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oor\Downloads\"/>
    </mc:Choice>
  </mc:AlternateContent>
  <xr:revisionPtr revIDLastSave="0" documentId="13_ncr:9_{DFEA4CE6-D4C2-4AFA-873D-77C635687DD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INSTRUCTIONS 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0" i="3" l="1"/>
  <c r="M140" i="3"/>
  <c r="L140" i="3"/>
  <c r="K140" i="3"/>
  <c r="J140" i="3"/>
  <c r="N139" i="3"/>
  <c r="M139" i="3"/>
  <c r="L139" i="3"/>
  <c r="K139" i="3"/>
  <c r="J139" i="3"/>
  <c r="N137" i="3"/>
  <c r="M137" i="3"/>
  <c r="L137" i="3"/>
  <c r="K137" i="3"/>
  <c r="J137" i="3"/>
  <c r="N136" i="3"/>
  <c r="M136" i="3"/>
  <c r="L136" i="3"/>
  <c r="K136" i="3"/>
  <c r="J136" i="3"/>
  <c r="N134" i="3"/>
  <c r="M134" i="3"/>
  <c r="L134" i="3"/>
  <c r="K134" i="3"/>
  <c r="J134" i="3"/>
  <c r="N133" i="3"/>
  <c r="M133" i="3"/>
  <c r="L133" i="3"/>
  <c r="K133" i="3"/>
  <c r="J133" i="3"/>
  <c r="N130" i="3"/>
  <c r="M130" i="3"/>
  <c r="L130" i="3"/>
  <c r="K130" i="3"/>
  <c r="J130" i="3"/>
  <c r="N128" i="3"/>
  <c r="M128" i="3"/>
  <c r="L128" i="3"/>
  <c r="K128" i="3"/>
  <c r="J128" i="3"/>
  <c r="N127" i="3"/>
  <c r="M127" i="3"/>
  <c r="L127" i="3"/>
  <c r="K127" i="3"/>
  <c r="J127" i="3"/>
  <c r="N113" i="3"/>
  <c r="M113" i="3"/>
  <c r="L113" i="3"/>
  <c r="K113" i="3"/>
  <c r="J113" i="3"/>
  <c r="N110" i="3"/>
  <c r="M110" i="3"/>
  <c r="L110" i="3"/>
  <c r="K110" i="3"/>
  <c r="J110" i="3"/>
  <c r="N109" i="3"/>
  <c r="M109" i="3"/>
  <c r="L109" i="3"/>
  <c r="K109" i="3"/>
  <c r="J109" i="3"/>
  <c r="N107" i="3"/>
  <c r="M107" i="3"/>
  <c r="L107" i="3"/>
  <c r="K107" i="3"/>
  <c r="J107" i="3"/>
  <c r="N106" i="3"/>
  <c r="M106" i="3"/>
  <c r="L106" i="3"/>
  <c r="K106" i="3"/>
  <c r="J106" i="3"/>
  <c r="N104" i="3"/>
  <c r="M104" i="3"/>
  <c r="L104" i="3"/>
  <c r="K104" i="3"/>
  <c r="J104" i="3"/>
  <c r="N103" i="3"/>
  <c r="M103" i="3"/>
  <c r="L103" i="3"/>
  <c r="K103" i="3"/>
  <c r="J103" i="3"/>
  <c r="N100" i="3"/>
  <c r="M100" i="3"/>
  <c r="L100" i="3"/>
  <c r="K100" i="3"/>
  <c r="J100" i="3"/>
  <c r="N98" i="3"/>
  <c r="M98" i="3"/>
  <c r="L98" i="3"/>
  <c r="K98" i="3"/>
  <c r="J98" i="3"/>
  <c r="N97" i="3"/>
  <c r="M97" i="3"/>
  <c r="L97" i="3"/>
  <c r="K97" i="3"/>
  <c r="J97" i="3"/>
  <c r="N83" i="3"/>
  <c r="M83" i="3"/>
  <c r="L83" i="3"/>
  <c r="K83" i="3"/>
  <c r="J83" i="3"/>
  <c r="N79" i="3"/>
  <c r="M79" i="3"/>
  <c r="L79" i="3"/>
  <c r="K79" i="3"/>
  <c r="J79" i="3"/>
  <c r="N76" i="3"/>
  <c r="M76" i="3"/>
  <c r="L76" i="3"/>
  <c r="K76" i="3"/>
  <c r="J76" i="3"/>
  <c r="N70" i="3"/>
  <c r="M70" i="3"/>
  <c r="L70" i="3"/>
  <c r="K70" i="3"/>
  <c r="J70" i="3"/>
  <c r="N53" i="3"/>
  <c r="M53" i="3"/>
  <c r="L53" i="3"/>
  <c r="K53" i="3"/>
  <c r="J53" i="3"/>
  <c r="K125" i="3"/>
  <c r="L125" i="3" s="1"/>
  <c r="M125" i="3" s="1"/>
  <c r="N125" i="3" s="1"/>
  <c r="K124" i="3"/>
  <c r="L124" i="3" s="1"/>
  <c r="J123" i="3"/>
  <c r="K121" i="3"/>
  <c r="L121" i="3" s="1"/>
  <c r="M121" i="3" s="1"/>
  <c r="N121" i="3" s="1"/>
  <c r="K120" i="3"/>
  <c r="K119" i="3" s="1"/>
  <c r="J119" i="3"/>
  <c r="K117" i="3"/>
  <c r="L117" i="3" s="1"/>
  <c r="M117" i="3" s="1"/>
  <c r="N117" i="3" s="1"/>
  <c r="K116" i="3"/>
  <c r="L116" i="3" s="1"/>
  <c r="J115" i="3"/>
  <c r="K95" i="3"/>
  <c r="L95" i="3" s="1"/>
  <c r="M95" i="3" s="1"/>
  <c r="N95" i="3" s="1"/>
  <c r="K94" i="3"/>
  <c r="L94" i="3" s="1"/>
  <c r="J93" i="3"/>
  <c r="L91" i="3"/>
  <c r="M91" i="3" s="1"/>
  <c r="N91" i="3" s="1"/>
  <c r="K91" i="3"/>
  <c r="K90" i="3"/>
  <c r="K89" i="3" s="1"/>
  <c r="J89" i="3"/>
  <c r="K87" i="3"/>
  <c r="L87" i="3" s="1"/>
  <c r="M87" i="3" s="1"/>
  <c r="N87" i="3" s="1"/>
  <c r="K86" i="3"/>
  <c r="K85" i="3" s="1"/>
  <c r="J85" i="3"/>
  <c r="K65" i="3"/>
  <c r="L65" i="3" s="1"/>
  <c r="M65" i="3" s="1"/>
  <c r="N65" i="3" s="1"/>
  <c r="K64" i="3"/>
  <c r="K63" i="3" s="1"/>
  <c r="J63" i="3"/>
  <c r="K61" i="3"/>
  <c r="L61" i="3" s="1"/>
  <c r="M61" i="3" s="1"/>
  <c r="N61" i="3" s="1"/>
  <c r="K60" i="3"/>
  <c r="L60" i="3" s="1"/>
  <c r="J59" i="3"/>
  <c r="N57" i="3"/>
  <c r="M57" i="3"/>
  <c r="L57" i="3"/>
  <c r="K57" i="3"/>
  <c r="K56" i="3"/>
  <c r="K55" i="3" s="1"/>
  <c r="J55" i="3"/>
  <c r="L123" i="3" l="1"/>
  <c r="M124" i="3"/>
  <c r="K123" i="3"/>
  <c r="L120" i="3"/>
  <c r="L115" i="3"/>
  <c r="M116" i="3"/>
  <c r="K115" i="3"/>
  <c r="M94" i="3"/>
  <c r="L93" i="3"/>
  <c r="K93" i="3"/>
  <c r="L90" i="3"/>
  <c r="L86" i="3"/>
  <c r="L64" i="3"/>
  <c r="M60" i="3"/>
  <c r="L59" i="3"/>
  <c r="K59" i="3"/>
  <c r="L56" i="3"/>
  <c r="M123" i="3" l="1"/>
  <c r="N124" i="3"/>
  <c r="N123" i="3" s="1"/>
  <c r="L119" i="3"/>
  <c r="M120" i="3"/>
  <c r="M115" i="3"/>
  <c r="N116" i="3"/>
  <c r="N115" i="3" s="1"/>
  <c r="M93" i="3"/>
  <c r="N94" i="3"/>
  <c r="N93" i="3" s="1"/>
  <c r="L89" i="3"/>
  <c r="M90" i="3"/>
  <c r="L85" i="3"/>
  <c r="M86" i="3"/>
  <c r="L63" i="3"/>
  <c r="M64" i="3"/>
  <c r="N60" i="3"/>
  <c r="N59" i="3" s="1"/>
  <c r="M59" i="3"/>
  <c r="L55" i="3"/>
  <c r="M56" i="3"/>
  <c r="M119" i="3" l="1"/>
  <c r="N120" i="3"/>
  <c r="N119" i="3" s="1"/>
  <c r="M89" i="3"/>
  <c r="N90" i="3"/>
  <c r="N89" i="3" s="1"/>
  <c r="M85" i="3"/>
  <c r="N86" i="3"/>
  <c r="N85" i="3" s="1"/>
  <c r="M63" i="3"/>
  <c r="N64" i="3"/>
  <c r="N63" i="3" s="1"/>
  <c r="M55" i="3"/>
  <c r="N56" i="3"/>
  <c r="N55" i="3" s="1"/>
  <c r="C19" i="4" l="1"/>
  <c r="D19" i="4"/>
  <c r="E19" i="4"/>
  <c r="F19" i="4"/>
  <c r="G19" i="4"/>
  <c r="H19" i="4"/>
  <c r="I19" i="4"/>
  <c r="B19" i="4"/>
  <c r="D18" i="4"/>
  <c r="E18" i="4"/>
  <c r="F18" i="4"/>
  <c r="G18" i="4"/>
  <c r="H18" i="4"/>
  <c r="I18" i="4"/>
  <c r="C18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58" i="4"/>
  <c r="D58" i="4"/>
  <c r="E58" i="4"/>
  <c r="F58" i="4"/>
  <c r="G58" i="4"/>
  <c r="H58" i="4"/>
  <c r="I58" i="4"/>
  <c r="B58" i="4"/>
  <c r="D51" i="4"/>
  <c r="E51" i="4"/>
  <c r="F51" i="4"/>
  <c r="G51" i="4"/>
  <c r="H51" i="4"/>
  <c r="I51" i="4"/>
  <c r="C51" i="4"/>
  <c r="C64" i="4"/>
  <c r="D64" i="4"/>
  <c r="E64" i="4"/>
  <c r="F64" i="4"/>
  <c r="G64" i="4"/>
  <c r="H64" i="4"/>
  <c r="I64" i="4"/>
  <c r="B64" i="4"/>
  <c r="D60" i="4"/>
  <c r="E60" i="4"/>
  <c r="F60" i="4"/>
  <c r="G60" i="4"/>
  <c r="H60" i="4"/>
  <c r="I60" i="4"/>
  <c r="C60" i="4"/>
  <c r="B60" i="4"/>
  <c r="C66" i="4"/>
  <c r="D66" i="4"/>
  <c r="E66" i="4"/>
  <c r="F66" i="4"/>
  <c r="G66" i="4"/>
  <c r="H66" i="4"/>
  <c r="I66" i="4"/>
  <c r="C65" i="4"/>
  <c r="D65" i="4"/>
  <c r="E65" i="4"/>
  <c r="F65" i="4"/>
  <c r="G65" i="4"/>
  <c r="H65" i="4"/>
  <c r="I65" i="4"/>
  <c r="B65" i="4"/>
  <c r="C43" i="4"/>
  <c r="D43" i="4"/>
  <c r="E43" i="4"/>
  <c r="F43" i="4"/>
  <c r="G43" i="4"/>
  <c r="H43" i="4"/>
  <c r="I43" i="4"/>
  <c r="B43" i="4"/>
  <c r="C31" i="4"/>
  <c r="D31" i="4"/>
  <c r="E31" i="4"/>
  <c r="F31" i="4"/>
  <c r="G31" i="4"/>
  <c r="H31" i="4"/>
  <c r="I31" i="4"/>
  <c r="B31" i="4"/>
  <c r="C22" i="4"/>
  <c r="D22" i="4"/>
  <c r="E22" i="4"/>
  <c r="F22" i="4"/>
  <c r="G22" i="4"/>
  <c r="H22" i="4"/>
  <c r="I22" i="4"/>
  <c r="B22" i="4"/>
  <c r="C70" i="4"/>
  <c r="D70" i="4"/>
  <c r="E70" i="4"/>
  <c r="F70" i="4"/>
  <c r="G70" i="4"/>
  <c r="H70" i="4"/>
  <c r="I70" i="4"/>
  <c r="B70" i="4"/>
  <c r="C52" i="4"/>
  <c r="D52" i="4"/>
  <c r="E52" i="4"/>
  <c r="F52" i="4"/>
  <c r="G52" i="4"/>
  <c r="H52" i="4"/>
  <c r="I52" i="4"/>
  <c r="B52" i="4"/>
  <c r="B59" i="4"/>
  <c r="C59" i="4"/>
  <c r="D59" i="4"/>
  <c r="E59" i="4"/>
  <c r="F59" i="4"/>
  <c r="G59" i="4"/>
  <c r="H59" i="4"/>
  <c r="I59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66" i="4"/>
  <c r="C68" i="4"/>
  <c r="D68" i="4"/>
  <c r="E68" i="4"/>
  <c r="F68" i="4"/>
  <c r="G68" i="4"/>
  <c r="H68" i="4"/>
  <c r="I68" i="4"/>
  <c r="C67" i="4"/>
  <c r="D67" i="4"/>
  <c r="E67" i="4"/>
  <c r="F67" i="4"/>
  <c r="G67" i="4"/>
  <c r="H67" i="4"/>
  <c r="I67" i="4"/>
  <c r="B68" i="4"/>
  <c r="B67" i="4"/>
  <c r="C62" i="4"/>
  <c r="D62" i="4"/>
  <c r="E62" i="4"/>
  <c r="F62" i="4"/>
  <c r="G62" i="4"/>
  <c r="H62" i="4"/>
  <c r="I62" i="4"/>
  <c r="B62" i="4"/>
  <c r="B50" i="4"/>
  <c r="C35" i="4"/>
  <c r="D35" i="4"/>
  <c r="E35" i="4"/>
  <c r="F35" i="4"/>
  <c r="G35" i="4"/>
  <c r="H35" i="4"/>
  <c r="I35" i="4"/>
  <c r="B35" i="4"/>
  <c r="C38" i="4"/>
  <c r="D38" i="4"/>
  <c r="E38" i="4"/>
  <c r="F38" i="4"/>
  <c r="G38" i="4"/>
  <c r="H38" i="4"/>
  <c r="I38" i="4"/>
  <c r="B38" i="4"/>
  <c r="I40" i="4"/>
  <c r="H40" i="4"/>
  <c r="G40" i="4"/>
  <c r="F40" i="4"/>
  <c r="E40" i="4"/>
  <c r="D40" i="4"/>
  <c r="C40" i="4"/>
  <c r="B40" i="4"/>
  <c r="C32" i="4"/>
  <c r="D32" i="4"/>
  <c r="E32" i="4"/>
  <c r="F32" i="4"/>
  <c r="G32" i="4"/>
  <c r="H32" i="4"/>
  <c r="I32" i="4"/>
  <c r="B32" i="4"/>
  <c r="C61" i="4"/>
  <c r="D61" i="4"/>
  <c r="E61" i="4"/>
  <c r="F61" i="4"/>
  <c r="G61" i="4"/>
  <c r="H61" i="4"/>
  <c r="I61" i="4"/>
  <c r="C47" i="4"/>
  <c r="D47" i="4"/>
  <c r="E47" i="4"/>
  <c r="F47" i="4"/>
  <c r="G47" i="4"/>
  <c r="H47" i="4"/>
  <c r="I47" i="4"/>
  <c r="C46" i="4"/>
  <c r="C49" i="4" s="1"/>
  <c r="D46" i="4"/>
  <c r="D49" i="4" s="1"/>
  <c r="E46" i="4"/>
  <c r="E49" i="4" s="1"/>
  <c r="F46" i="4"/>
  <c r="F49" i="4" s="1"/>
  <c r="G46" i="4"/>
  <c r="G49" i="4" s="1"/>
  <c r="H46" i="4"/>
  <c r="H49" i="4" s="1"/>
  <c r="I46" i="4"/>
  <c r="I49" i="4" s="1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39" i="4"/>
  <c r="D39" i="4"/>
  <c r="E39" i="4"/>
  <c r="F39" i="4"/>
  <c r="G39" i="4"/>
  <c r="H39" i="4"/>
  <c r="I39" i="4"/>
  <c r="D37" i="4"/>
  <c r="E37" i="4"/>
  <c r="G37" i="4"/>
  <c r="H37" i="4"/>
  <c r="I37" i="4"/>
  <c r="C36" i="4"/>
  <c r="D36" i="4"/>
  <c r="E36" i="4"/>
  <c r="F36" i="4"/>
  <c r="G36" i="4"/>
  <c r="H36" i="4"/>
  <c r="I36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C30" i="4"/>
  <c r="D30" i="4"/>
  <c r="E30" i="4"/>
  <c r="F30" i="4"/>
  <c r="G30" i="4"/>
  <c r="H30" i="4"/>
  <c r="I30" i="4"/>
  <c r="C29" i="4"/>
  <c r="D29" i="4"/>
  <c r="E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C21" i="4"/>
  <c r="D21" i="4"/>
  <c r="E21" i="4"/>
  <c r="F21" i="4"/>
  <c r="G21" i="4"/>
  <c r="H21" i="4"/>
  <c r="I21" i="4"/>
  <c r="C15" i="4"/>
  <c r="D15" i="4"/>
  <c r="E15" i="4"/>
  <c r="F15" i="4"/>
  <c r="G15" i="4"/>
  <c r="H15" i="4"/>
  <c r="I15" i="4"/>
  <c r="C12" i="4"/>
  <c r="D12" i="4"/>
  <c r="E12" i="4"/>
  <c r="F12" i="4"/>
  <c r="G12" i="4"/>
  <c r="H12" i="4"/>
  <c r="I12" i="4"/>
  <c r="C10" i="4"/>
  <c r="D10" i="4"/>
  <c r="E10" i="4"/>
  <c r="F10" i="4"/>
  <c r="G10" i="4"/>
  <c r="H10" i="4"/>
  <c r="I10" i="4"/>
  <c r="C9" i="4"/>
  <c r="D9" i="4"/>
  <c r="E9" i="4"/>
  <c r="F9" i="4"/>
  <c r="G9" i="4"/>
  <c r="H9" i="4"/>
  <c r="I9" i="4"/>
  <c r="J9" i="4"/>
  <c r="K9" i="4"/>
  <c r="L9" i="4"/>
  <c r="M9" i="4"/>
  <c r="N9" i="4"/>
  <c r="C8" i="4"/>
  <c r="D8" i="4"/>
  <c r="E8" i="4"/>
  <c r="F8" i="4"/>
  <c r="G8" i="4"/>
  <c r="H8" i="4"/>
  <c r="I8" i="4"/>
  <c r="C7" i="4"/>
  <c r="C11" i="4" s="1"/>
  <c r="C14" i="4" s="1"/>
  <c r="D7" i="4"/>
  <c r="D11" i="4" s="1"/>
  <c r="E7" i="4"/>
  <c r="E11" i="4" s="1"/>
  <c r="F7" i="4"/>
  <c r="F11" i="4" s="1"/>
  <c r="G7" i="4"/>
  <c r="G11" i="4" s="1"/>
  <c r="H7" i="4"/>
  <c r="H11" i="4" s="1"/>
  <c r="I7" i="4"/>
  <c r="I11" i="4" s="1"/>
  <c r="C6" i="4"/>
  <c r="D6" i="4"/>
  <c r="E6" i="4"/>
  <c r="F6" i="4"/>
  <c r="G6" i="4"/>
  <c r="H6" i="4"/>
  <c r="I6" i="4"/>
  <c r="J6" i="4"/>
  <c r="K6" i="4"/>
  <c r="L6" i="4"/>
  <c r="M6" i="4"/>
  <c r="N6" i="4"/>
  <c r="C5" i="4"/>
  <c r="D5" i="4"/>
  <c r="E5" i="4"/>
  <c r="F5" i="4"/>
  <c r="G5" i="4"/>
  <c r="H5" i="4"/>
  <c r="I5" i="4"/>
  <c r="C4" i="4"/>
  <c r="D4" i="4"/>
  <c r="E4" i="4"/>
  <c r="F4" i="4"/>
  <c r="G4" i="4"/>
  <c r="H4" i="4"/>
  <c r="I4" i="4"/>
  <c r="B61" i="4"/>
  <c r="C63" i="4"/>
  <c r="D63" i="4"/>
  <c r="E63" i="4"/>
  <c r="F63" i="4"/>
  <c r="G63" i="4"/>
  <c r="H63" i="4"/>
  <c r="I63" i="4"/>
  <c r="C57" i="4"/>
  <c r="D57" i="4"/>
  <c r="E57" i="4"/>
  <c r="F57" i="4"/>
  <c r="G57" i="4"/>
  <c r="H57" i="4"/>
  <c r="I57" i="4"/>
  <c r="B63" i="4"/>
  <c r="B57" i="4"/>
  <c r="B47" i="4"/>
  <c r="B46" i="4"/>
  <c r="B49" i="4" s="1"/>
  <c r="B53" i="4" s="1"/>
  <c r="B55" i="4" s="1"/>
  <c r="B42" i="4"/>
  <c r="B41" i="4"/>
  <c r="B39" i="4"/>
  <c r="B36" i="4"/>
  <c r="B34" i="4"/>
  <c r="B33" i="4"/>
  <c r="B30" i="4"/>
  <c r="B29" i="4"/>
  <c r="B28" i="4"/>
  <c r="B27" i="4"/>
  <c r="B26" i="4"/>
  <c r="B25" i="4"/>
  <c r="B23" i="4"/>
  <c r="B21" i="4"/>
  <c r="B15" i="4"/>
  <c r="B12" i="4"/>
  <c r="B10" i="4"/>
  <c r="B9" i="4"/>
  <c r="B8" i="4"/>
  <c r="B7" i="4"/>
  <c r="B11" i="4" s="1"/>
  <c r="B6" i="4"/>
  <c r="B5" i="4"/>
  <c r="B4" i="4"/>
  <c r="C3" i="4"/>
  <c r="C24" i="4" s="1"/>
  <c r="D3" i="4"/>
  <c r="D24" i="4" s="1"/>
  <c r="E3" i="4"/>
  <c r="E24" i="4" s="1"/>
  <c r="F3" i="4"/>
  <c r="F24" i="4" s="1"/>
  <c r="G3" i="4"/>
  <c r="G24" i="4" s="1"/>
  <c r="H3" i="4"/>
  <c r="H24" i="4" s="1"/>
  <c r="I3" i="4"/>
  <c r="I24" i="4" s="1"/>
  <c r="B3" i="4"/>
  <c r="B24" i="4" s="1"/>
  <c r="C60" i="1"/>
  <c r="G175" i="1"/>
  <c r="G176" i="1" s="1"/>
  <c r="F175" i="1"/>
  <c r="F176" i="1" s="1"/>
  <c r="C175" i="1"/>
  <c r="C176" i="1" s="1"/>
  <c r="B175" i="1"/>
  <c r="B176" i="1" s="1"/>
  <c r="G172" i="1"/>
  <c r="F172" i="1"/>
  <c r="E172" i="1"/>
  <c r="E175" i="1" s="1"/>
  <c r="E176" i="1" s="1"/>
  <c r="D172" i="1"/>
  <c r="D175" i="1" s="1"/>
  <c r="D176" i="1" s="1"/>
  <c r="C172" i="1"/>
  <c r="B172" i="1"/>
  <c r="C165" i="1"/>
  <c r="C164" i="1"/>
  <c r="G163" i="1"/>
  <c r="F163" i="1"/>
  <c r="C163" i="1"/>
  <c r="B163" i="1"/>
  <c r="G161" i="1"/>
  <c r="G164" i="1" s="1"/>
  <c r="G165" i="1" s="1"/>
  <c r="F161" i="1"/>
  <c r="F164" i="1" s="1"/>
  <c r="F165" i="1" s="1"/>
  <c r="E161" i="1"/>
  <c r="E163" i="1" s="1"/>
  <c r="D161" i="1"/>
  <c r="D163" i="1" s="1"/>
  <c r="C161" i="1"/>
  <c r="B161" i="1"/>
  <c r="B164" i="1" s="1"/>
  <c r="B165" i="1" s="1"/>
  <c r="E154" i="1"/>
  <c r="C154" i="1"/>
  <c r="E153" i="1"/>
  <c r="D153" i="1"/>
  <c r="D154" i="1" s="1"/>
  <c r="C153" i="1"/>
  <c r="G150" i="1"/>
  <c r="G153" i="1" s="1"/>
  <c r="G154" i="1" s="1"/>
  <c r="F150" i="1"/>
  <c r="F153" i="1" s="1"/>
  <c r="F154" i="1" s="1"/>
  <c r="E150" i="1"/>
  <c r="D150" i="1"/>
  <c r="C150" i="1"/>
  <c r="B150" i="1"/>
  <c r="B153" i="1" s="1"/>
  <c r="B154" i="1" s="1"/>
  <c r="G143" i="1"/>
  <c r="E143" i="1"/>
  <c r="G142" i="1"/>
  <c r="F142" i="1"/>
  <c r="F143" i="1" s="1"/>
  <c r="E142" i="1"/>
  <c r="C142" i="1"/>
  <c r="C143" i="1" s="1"/>
  <c r="B142" i="1"/>
  <c r="B143" i="1" s="1"/>
  <c r="G139" i="1"/>
  <c r="F139" i="1"/>
  <c r="E139" i="1"/>
  <c r="D139" i="1"/>
  <c r="D142" i="1" s="1"/>
  <c r="D143" i="1" s="1"/>
  <c r="C139" i="1"/>
  <c r="B139" i="1"/>
  <c r="G132" i="1"/>
  <c r="B132" i="1"/>
  <c r="G131" i="1"/>
  <c r="E131" i="1"/>
  <c r="E132" i="1" s="1"/>
  <c r="D131" i="1"/>
  <c r="D132" i="1" s="1"/>
  <c r="G124" i="1"/>
  <c r="F124" i="1"/>
  <c r="F131" i="1" s="1"/>
  <c r="F132" i="1" s="1"/>
  <c r="E124" i="1"/>
  <c r="D124" i="1"/>
  <c r="C124" i="1"/>
  <c r="C131" i="1" s="1"/>
  <c r="C132" i="1" s="1"/>
  <c r="B124" i="1"/>
  <c r="B131" i="1" s="1"/>
  <c r="G97" i="1"/>
  <c r="F97" i="1"/>
  <c r="E97" i="1"/>
  <c r="D97" i="1"/>
  <c r="C97" i="1"/>
  <c r="B97" i="1"/>
  <c r="G94" i="1"/>
  <c r="F94" i="1"/>
  <c r="G92" i="1"/>
  <c r="F92" i="1"/>
  <c r="E92" i="1"/>
  <c r="D92" i="1"/>
  <c r="C92" i="1"/>
  <c r="B92" i="1"/>
  <c r="G83" i="1"/>
  <c r="F83" i="1"/>
  <c r="E83" i="1"/>
  <c r="E94" i="1" s="1"/>
  <c r="D83" i="1"/>
  <c r="D94" i="1" s="1"/>
  <c r="C83" i="1"/>
  <c r="C94" i="1" s="1"/>
  <c r="B83" i="1"/>
  <c r="B94" i="1" s="1"/>
  <c r="G76" i="1"/>
  <c r="F76" i="1"/>
  <c r="E76" i="1"/>
  <c r="D76" i="1"/>
  <c r="C76" i="1"/>
  <c r="B76" i="1"/>
  <c r="G59" i="1"/>
  <c r="G58" i="1"/>
  <c r="F58" i="1"/>
  <c r="E58" i="1"/>
  <c r="E59" i="1" s="1"/>
  <c r="D58" i="1"/>
  <c r="C58" i="1"/>
  <c r="B58" i="1"/>
  <c r="G12" i="1"/>
  <c r="F12" i="1"/>
  <c r="E12" i="1"/>
  <c r="D12" i="1"/>
  <c r="C12" i="1"/>
  <c r="B12" i="1"/>
  <c r="G7" i="1"/>
  <c r="F7" i="1"/>
  <c r="E7" i="1"/>
  <c r="D7" i="1"/>
  <c r="C7" i="1"/>
  <c r="B7" i="1"/>
  <c r="G4" i="1"/>
  <c r="F4" i="1"/>
  <c r="E4" i="1"/>
  <c r="D4" i="1"/>
  <c r="C4" i="1"/>
  <c r="B4" i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42" i="3"/>
  <c r="H42" i="3"/>
  <c r="G42" i="3"/>
  <c r="F42" i="3"/>
  <c r="E42" i="3"/>
  <c r="D42" i="3"/>
  <c r="C42" i="3"/>
  <c r="B42" i="3"/>
  <c r="I38" i="3"/>
  <c r="H38" i="3"/>
  <c r="G38" i="3"/>
  <c r="G41" i="3" s="1"/>
  <c r="F38" i="3"/>
  <c r="E38" i="3"/>
  <c r="D38" i="3"/>
  <c r="C38" i="3"/>
  <c r="C35" i="3" s="1"/>
  <c r="B38" i="3"/>
  <c r="B39" i="3" s="1"/>
  <c r="K34" i="3"/>
  <c r="L34" i="3" s="1"/>
  <c r="M34" i="3" s="1"/>
  <c r="N34" i="3" s="1"/>
  <c r="K33" i="3"/>
  <c r="L33" i="3" s="1"/>
  <c r="M33" i="3" s="1"/>
  <c r="I33" i="3"/>
  <c r="H33" i="3"/>
  <c r="G33" i="3"/>
  <c r="F33" i="3"/>
  <c r="E33" i="3"/>
  <c r="D33" i="3"/>
  <c r="C33" i="3"/>
  <c r="B33" i="3"/>
  <c r="J32" i="3"/>
  <c r="I31" i="3"/>
  <c r="H31" i="3"/>
  <c r="G31" i="3"/>
  <c r="F31" i="3"/>
  <c r="E31" i="3"/>
  <c r="D31" i="3"/>
  <c r="C31" i="3"/>
  <c r="B31" i="3"/>
  <c r="B32" i="3" s="1"/>
  <c r="K30" i="3"/>
  <c r="L30" i="3" s="1"/>
  <c r="M30" i="3" s="1"/>
  <c r="N30" i="3" s="1"/>
  <c r="K29" i="3"/>
  <c r="I29" i="3"/>
  <c r="H29" i="3"/>
  <c r="G29" i="3"/>
  <c r="F29" i="3"/>
  <c r="E29" i="3"/>
  <c r="D29" i="3"/>
  <c r="C29" i="3"/>
  <c r="B29" i="3"/>
  <c r="J28" i="3"/>
  <c r="I27" i="3"/>
  <c r="H27" i="3"/>
  <c r="G27" i="3"/>
  <c r="F27" i="3"/>
  <c r="E27" i="3"/>
  <c r="D27" i="3"/>
  <c r="C27" i="3"/>
  <c r="B27" i="3"/>
  <c r="B28" i="3" s="1"/>
  <c r="K26" i="3"/>
  <c r="L26" i="3" s="1"/>
  <c r="M26" i="3" s="1"/>
  <c r="N26" i="3" s="1"/>
  <c r="K25" i="3"/>
  <c r="L25" i="3" s="1"/>
  <c r="I25" i="3"/>
  <c r="H25" i="3"/>
  <c r="G25" i="3"/>
  <c r="F25" i="3"/>
  <c r="E25" i="3"/>
  <c r="D25" i="3"/>
  <c r="C25" i="3"/>
  <c r="B25" i="3"/>
  <c r="J24" i="3"/>
  <c r="I23" i="3"/>
  <c r="H23" i="3"/>
  <c r="G23" i="3"/>
  <c r="F23" i="3"/>
  <c r="E23" i="3"/>
  <c r="D23" i="3"/>
  <c r="C23" i="3"/>
  <c r="B23" i="3"/>
  <c r="B24" i="3" s="1"/>
  <c r="B26" i="3" s="1"/>
  <c r="I21" i="3"/>
  <c r="H21" i="3"/>
  <c r="G21" i="3"/>
  <c r="F21" i="3"/>
  <c r="E21" i="3"/>
  <c r="D21" i="3"/>
  <c r="C21" i="3"/>
  <c r="B21" i="3"/>
  <c r="I41" i="3" l="1"/>
  <c r="J41" i="3" s="1"/>
  <c r="F53" i="4"/>
  <c r="F55" i="4" s="1"/>
  <c r="K28" i="3"/>
  <c r="C53" i="4"/>
  <c r="C55" i="4" s="1"/>
  <c r="K32" i="3"/>
  <c r="E53" i="4"/>
  <c r="E55" i="4" s="1"/>
  <c r="E43" i="3"/>
  <c r="E49" i="3"/>
  <c r="D53" i="4"/>
  <c r="D55" i="4" s="1"/>
  <c r="D32" i="3"/>
  <c r="D34" i="3" s="1"/>
  <c r="I53" i="4"/>
  <c r="I55" i="4" s="1"/>
  <c r="H53" i="4"/>
  <c r="H55" i="4" s="1"/>
  <c r="E46" i="3"/>
  <c r="B30" i="3"/>
  <c r="G53" i="4"/>
  <c r="G55" i="4" s="1"/>
  <c r="H14" i="4"/>
  <c r="H13" i="4"/>
  <c r="I14" i="4"/>
  <c r="I13" i="4"/>
  <c r="G14" i="4"/>
  <c r="G13" i="4"/>
  <c r="F14" i="4"/>
  <c r="F13" i="4"/>
  <c r="E14" i="4"/>
  <c r="E13" i="4"/>
  <c r="N33" i="3"/>
  <c r="N32" i="3" s="1"/>
  <c r="M32" i="3"/>
  <c r="D14" i="4"/>
  <c r="D13" i="4"/>
  <c r="B14" i="4"/>
  <c r="B13" i="4"/>
  <c r="H47" i="3"/>
  <c r="C13" i="4"/>
  <c r="B22" i="3"/>
  <c r="K24" i="3"/>
  <c r="D44" i="3"/>
  <c r="F22" i="3"/>
  <c r="H28" i="3"/>
  <c r="H30" i="3" s="1"/>
  <c r="L32" i="3"/>
  <c r="J27" i="3"/>
  <c r="K27" i="3" s="1"/>
  <c r="D35" i="3"/>
  <c r="D37" i="3" s="1"/>
  <c r="F28" i="3"/>
  <c r="F30" i="3" s="1"/>
  <c r="C44" i="3"/>
  <c r="D46" i="3"/>
  <c r="D39" i="3"/>
  <c r="D43" i="3"/>
  <c r="G24" i="3"/>
  <c r="G26" i="3" s="1"/>
  <c r="J23" i="3"/>
  <c r="D28" i="3"/>
  <c r="D30" i="3" s="1"/>
  <c r="H32" i="3"/>
  <c r="H34" i="3" s="1"/>
  <c r="E32" i="3"/>
  <c r="E34" i="3" s="1"/>
  <c r="B34" i="3"/>
  <c r="F50" i="3"/>
  <c r="E24" i="3"/>
  <c r="E26" i="3" s="1"/>
  <c r="G28" i="3"/>
  <c r="G30" i="3" s="1"/>
  <c r="E40" i="3"/>
  <c r="F32" i="3"/>
  <c r="F34" i="3" s="1"/>
  <c r="G35" i="3"/>
  <c r="H39" i="3"/>
  <c r="G43" i="3"/>
  <c r="I24" i="3"/>
  <c r="I26" i="3" s="1"/>
  <c r="H35" i="3"/>
  <c r="H37" i="3" s="1"/>
  <c r="G49" i="3"/>
  <c r="H24" i="3"/>
  <c r="H26" i="3" s="1"/>
  <c r="I43" i="3"/>
  <c r="H46" i="3"/>
  <c r="H49" i="3"/>
  <c r="C24" i="3"/>
  <c r="C26" i="3" s="1"/>
  <c r="I32" i="3"/>
  <c r="I34" i="3" s="1"/>
  <c r="B44" i="3"/>
  <c r="D47" i="3"/>
  <c r="I22" i="3"/>
  <c r="F24" i="3"/>
  <c r="F26" i="3" s="1"/>
  <c r="E28" i="3"/>
  <c r="E30" i="3" s="1"/>
  <c r="G32" i="3"/>
  <c r="G34" i="3" s="1"/>
  <c r="C39" i="3"/>
  <c r="E39" i="3"/>
  <c r="C43" i="3"/>
  <c r="H43" i="3"/>
  <c r="F46" i="3"/>
  <c r="E47" i="3"/>
  <c r="I49" i="3"/>
  <c r="C22" i="3"/>
  <c r="C37" i="3"/>
  <c r="D40" i="3"/>
  <c r="G46" i="3"/>
  <c r="B50" i="3"/>
  <c r="B49" i="3"/>
  <c r="C50" i="3"/>
  <c r="C49" i="3"/>
  <c r="J31" i="3"/>
  <c r="F40" i="3"/>
  <c r="G40" i="3"/>
  <c r="F43" i="3"/>
  <c r="G44" i="3"/>
  <c r="I47" i="3"/>
  <c r="J47" i="3" s="1"/>
  <c r="K47" i="3" s="1"/>
  <c r="L47" i="3" s="1"/>
  <c r="M47" i="3" s="1"/>
  <c r="N47" i="3" s="1"/>
  <c r="D50" i="3"/>
  <c r="F49" i="3"/>
  <c r="D22" i="3"/>
  <c r="C40" i="3"/>
  <c r="G22" i="3"/>
  <c r="E22" i="3"/>
  <c r="C32" i="3"/>
  <c r="C34" i="3" s="1"/>
  <c r="B41" i="3"/>
  <c r="B47" i="3"/>
  <c r="B46" i="3"/>
  <c r="E50" i="3"/>
  <c r="C28" i="3"/>
  <c r="C30" i="3" s="1"/>
  <c r="H41" i="3"/>
  <c r="C41" i="3"/>
  <c r="H44" i="3"/>
  <c r="C47" i="3"/>
  <c r="D24" i="3"/>
  <c r="D26" i="3" s="1"/>
  <c r="F41" i="3"/>
  <c r="I44" i="3"/>
  <c r="I46" i="3"/>
  <c r="I50" i="3"/>
  <c r="J50" i="3" s="1"/>
  <c r="J49" i="3" s="1"/>
  <c r="D164" i="1"/>
  <c r="D165" i="1" s="1"/>
  <c r="E164" i="1"/>
  <c r="E165" i="1" s="1"/>
  <c r="M25" i="3"/>
  <c r="L24" i="3"/>
  <c r="K41" i="3"/>
  <c r="I28" i="3"/>
  <c r="I30" i="3" s="1"/>
  <c r="B35" i="3"/>
  <c r="F39" i="3"/>
  <c r="I40" i="3"/>
  <c r="D41" i="3"/>
  <c r="B43" i="3"/>
  <c r="E44" i="3"/>
  <c r="C46" i="3"/>
  <c r="F47" i="3"/>
  <c r="D49" i="3"/>
  <c r="G50" i="3"/>
  <c r="I35" i="3"/>
  <c r="H40" i="3"/>
  <c r="G39" i="3"/>
  <c r="B40" i="3"/>
  <c r="E41" i="3"/>
  <c r="F44" i="3"/>
  <c r="G47" i="3"/>
  <c r="H50" i="3"/>
  <c r="L29" i="3"/>
  <c r="H22" i="3"/>
  <c r="E35" i="3"/>
  <c r="I39" i="3"/>
  <c r="F35" i="3"/>
  <c r="K31" i="3" l="1"/>
  <c r="L31" i="3" s="1"/>
  <c r="M31" i="3" s="1"/>
  <c r="N31" i="3" s="1"/>
  <c r="K23" i="3"/>
  <c r="D36" i="3"/>
  <c r="J21" i="3"/>
  <c r="J48" i="3" s="1"/>
  <c r="J38" i="3" s="1"/>
  <c r="H36" i="3"/>
  <c r="G37" i="3"/>
  <c r="K50" i="3"/>
  <c r="K49" i="3" s="1"/>
  <c r="L28" i="3"/>
  <c r="L27" i="3" s="1"/>
  <c r="M29" i="3"/>
  <c r="I36" i="3"/>
  <c r="I37" i="3"/>
  <c r="J37" i="3" s="1"/>
  <c r="K37" i="3" s="1"/>
  <c r="L37" i="3" s="1"/>
  <c r="M37" i="3" s="1"/>
  <c r="N37" i="3" s="1"/>
  <c r="L41" i="3"/>
  <c r="G36" i="3"/>
  <c r="F37" i="3"/>
  <c r="F36" i="3"/>
  <c r="B36" i="3"/>
  <c r="B37" i="3"/>
  <c r="C36" i="3"/>
  <c r="M24" i="3"/>
  <c r="N25" i="3"/>
  <c r="N24" i="3" s="1"/>
  <c r="E37" i="3"/>
  <c r="E36" i="3"/>
  <c r="J22" i="3"/>
  <c r="J45" i="3"/>
  <c r="J46" i="3" s="1"/>
  <c r="K21" i="3" l="1"/>
  <c r="K22" i="3" s="1"/>
  <c r="L23" i="3"/>
  <c r="M23" i="3" s="1"/>
  <c r="L50" i="3"/>
  <c r="M50" i="3" s="1"/>
  <c r="J35" i="3"/>
  <c r="J42" i="3" s="1"/>
  <c r="M41" i="3"/>
  <c r="M28" i="3"/>
  <c r="M27" i="3" s="1"/>
  <c r="N29" i="3"/>
  <c r="N28" i="3" s="1"/>
  <c r="J39" i="3"/>
  <c r="J40" i="3"/>
  <c r="L49" i="3"/>
  <c r="K35" i="3" l="1"/>
  <c r="K45" i="3"/>
  <c r="K46" i="3" s="1"/>
  <c r="K48" i="3"/>
  <c r="K38" i="3" s="1"/>
  <c r="J36" i="3"/>
  <c r="L21" i="3"/>
  <c r="L45" i="3" s="1"/>
  <c r="L46" i="3" s="1"/>
  <c r="N27" i="3"/>
  <c r="K39" i="3"/>
  <c r="K40" i="3"/>
  <c r="N50" i="3"/>
  <c r="N49" i="3" s="1"/>
  <c r="M49" i="3"/>
  <c r="N41" i="3"/>
  <c r="L35" i="3"/>
  <c r="K36" i="3"/>
  <c r="K42" i="3"/>
  <c r="J44" i="3"/>
  <c r="J43" i="3"/>
  <c r="N23" i="3"/>
  <c r="M21" i="3"/>
  <c r="L22" i="3" l="1"/>
  <c r="L48" i="3"/>
  <c r="L38" i="3" s="1"/>
  <c r="L40" i="3" s="1"/>
  <c r="N21" i="3"/>
  <c r="N45" i="3" s="1"/>
  <c r="M45" i="3"/>
  <c r="M46" i="3" s="1"/>
  <c r="M48" i="3"/>
  <c r="M38" i="3" s="1"/>
  <c r="M35" i="3"/>
  <c r="M22" i="3"/>
  <c r="K44" i="3"/>
  <c r="K43" i="3"/>
  <c r="L36" i="3"/>
  <c r="L39" i="3" l="1"/>
  <c r="L42" i="3"/>
  <c r="N48" i="3"/>
  <c r="N38" i="3" s="1"/>
  <c r="N40" i="3" s="1"/>
  <c r="N22" i="3"/>
  <c r="N35" i="3"/>
  <c r="M42" i="3"/>
  <c r="M36" i="3"/>
  <c r="L43" i="3"/>
  <c r="L44" i="3"/>
  <c r="M40" i="3"/>
  <c r="M39" i="3"/>
  <c r="N36" i="3"/>
  <c r="N46" i="3"/>
  <c r="N39" i="3" l="1"/>
  <c r="N42" i="3"/>
  <c r="N43" i="3" s="1"/>
  <c r="M43" i="3"/>
  <c r="M44" i="3"/>
  <c r="N44" i="3" l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6" i="3" l="1"/>
  <c r="H16" i="3"/>
  <c r="G16" i="3"/>
  <c r="F16" i="3"/>
  <c r="E16" i="3"/>
  <c r="D16" i="3"/>
  <c r="C16" i="3"/>
  <c r="B16" i="3"/>
  <c r="A20" i="3" l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172" i="1" l="1"/>
  <c r="I175" i="1" s="1"/>
  <c r="I176" i="1" s="1"/>
  <c r="H172" i="1"/>
  <c r="H175" i="1" s="1"/>
  <c r="H176" i="1" s="1"/>
  <c r="I161" i="1"/>
  <c r="I163" i="1" s="1"/>
  <c r="I164" i="1" s="1"/>
  <c r="I165" i="1" s="1"/>
  <c r="H161" i="1"/>
  <c r="H163" i="1" s="1"/>
  <c r="H164" i="1" s="1"/>
  <c r="H165" i="1" s="1"/>
  <c r="H125" i="1"/>
  <c r="I125" i="1"/>
  <c r="I150" i="1"/>
  <c r="I153" i="1" s="1"/>
  <c r="I154" i="1" s="1"/>
  <c r="H150" i="1"/>
  <c r="H153" i="1" s="1"/>
  <c r="H154" i="1" s="1"/>
  <c r="I119" i="1" l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I131" i="1" l="1"/>
  <c r="H92" i="1"/>
  <c r="I92" i="1"/>
  <c r="H83" i="1"/>
  <c r="I83" i="1"/>
  <c r="H58" i="1"/>
  <c r="I58" i="1"/>
  <c r="H45" i="1"/>
  <c r="H59" i="1" s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I7" i="1"/>
  <c r="H4" i="1"/>
  <c r="H10" i="1" s="1"/>
  <c r="I4" i="1"/>
  <c r="I10" i="1" s="1"/>
  <c r="H12" i="1" l="1"/>
  <c r="H20" i="1" s="1"/>
  <c r="H143" i="1"/>
  <c r="I12" i="1"/>
  <c r="I20" i="1" s="1"/>
  <c r="I143" i="1"/>
  <c r="H64" i="1"/>
  <c r="H76" i="1" s="1"/>
  <c r="H94" i="1" s="1"/>
  <c r="H96" i="1" s="1"/>
  <c r="B60" i="1"/>
  <c r="E60" i="1"/>
  <c r="F60" i="1"/>
  <c r="I59" i="1"/>
  <c r="I60" i="1" s="1"/>
  <c r="G60" i="1"/>
  <c r="H60" i="1"/>
  <c r="D60" i="1"/>
  <c r="I64" i="1" l="1"/>
  <c r="I76" i="1" s="1"/>
  <c r="I94" i="1" s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<sst xmlns="http://schemas.openxmlformats.org/spreadsheetml/2006/main" count="446" uniqueCount="216">
  <si>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</si>
  <si>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</si>
  <si>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</si>
  <si>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</si>
  <si>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</si>
  <si>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</si>
  <si>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</si>
  <si>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</si>
  <si>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</si>
  <si>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</si>
  <si>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</si>
  <si>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</si>
  <si>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</si>
  <si>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</si>
  <si>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</si>
  <si>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</si>
  <si>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</si>
  <si>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</si>
  <si>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</si>
  <si>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</si>
  <si>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</si>
  <si>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</si>
  <si>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</si>
  <si>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</si>
  <si>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</si>
  <si>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</si>
  <si>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</si>
  <si>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</si>
  <si>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</si>
  <si>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</si>
  <si>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</si>
  <si>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</si>
  <si>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</si>
  <si>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</si>
  <si>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</si>
  <si>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</si>
  <si>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</si>
  <si>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</si>
  <si>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</si>
  <si>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</si>
  <si>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</si>
  <si>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</si>
  <si>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</si>
  <si>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</si>
  <si>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</si>
  <si>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</si>
  <si>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</si>
  <si>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</si>
  <si>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</si>
  <si>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</si>
  <si>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</si>
  <si>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</si>
  <si>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</si>
  <si>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</si>
  <si>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</si>
  <si>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</si>
  <si>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</si>
  <si>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</si>
  <si>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</si>
  <si>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</si>
  <si>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</si>
  <si>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</si>
  <si>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</si>
  <si>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</si>
  <si>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</si>
  <si>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</si>
  <si>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</si>
  <si>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</si>
  <si>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</si>
  <si>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</si>
  <si>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</si>
  <si>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</si>
  <si>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</si>
  <si>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</si>
  <si>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</si>
  <si>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</si>
  <si>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</si>
  <si>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</si>
  <si>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</si>
  <si>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</si>
  <si>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</si>
  <si>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</si>
  <si>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</si>
  <si>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</si>
  <si>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</si>
  <si>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</si>
  <si>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</si>
  <si>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</si>
  <si>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</si>
  <si>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</si>
  <si>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</si>
  <si>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</si>
  <si>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</si>
  <si>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</si>
  <si>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</si>
  <si>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</si>
  <si>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</si>
  <si>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</si>
  <si>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</si>
  <si>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</si>
  <si>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</si>
  <si>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</si>
  <si>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</si>
  <si>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</si>
  <si>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</si>
  <si>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</si>
  <si>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</si>
  <si>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</si>
  <si>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</si>
  <si>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</si>
  <si>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</si>
  <si>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</si>
  <si>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</si>
  <si>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</si>
  <si>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</si>
  <si>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</si>
  <si>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</si>
  <si>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</si>
  <si>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</si>
  <si>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</si>
  <si>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</si>
  <si>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</si>
  <si>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</si>
  <si>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</si>
  <si>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</si>
  <si>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</si>
  <si>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</si>
  <si>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</si>
  <si>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</si>
  <si>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</si>
  <si>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</si>
  <si>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</si>
  <si>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</si>
  <si>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</si>
  <si>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</si>
  <si>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</si>
  <si>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</si>
  <si>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</si>
  <si>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</si>
  <si>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</si>
  <si>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</si>
  <si>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</si>
  <si>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</si>
  <si>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</si>
  <si>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</si>
  <si>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</si>
  <si>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</si>
  <si>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</si>
  <si>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</si>
  <si>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</si>
  <si>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</si>
  <si>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</si>
  <si>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</si>
  <si>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</si>
  <si>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</si>
  <si>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</si>
  <si>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</si>
  <si>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</si>
  <si>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</si>
  <si>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</si>
  <si>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</si>
  <si>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</si>
  <si>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</si>
  <si>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</si>
  <si>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</si>
  <si>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</si>
  <si>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</si>
  <si>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</si>
  <si>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</si>
  <si>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</si>
  <si>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</si>
  <si>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</si>
  <si>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</si>
  <si>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</si>
  <si>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</si>
  <si>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</si>
  <si>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</si>
  <si>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</si>
  <si>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</si>
  <si>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</si>
  <si>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</si>
  <si>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</si>
  <si>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</si>
  <si>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</si>
  <si>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</si>
  <si>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</si>
  <si>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</si>
  <si>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</si>
  <si>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</si>
  <si>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</si>
  <si>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</si>
  <si>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</si>
  <si>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</si>
  <si>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</si>
  <si>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</si>
  <si>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</si>
  <si>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</si>
  <si>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</si>
  <si>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</si>
  <si>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</si>
  <si>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</si>
  <si>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</si>
  <si>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</si>
  <si>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</si>
  <si>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</si>
  <si>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</si>
  <si>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—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</si>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</sst>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0" fontId="2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4" fontId="0" fillId="0" borderId="0" xfId="0" applyNumberFormat="1"/>
    <xf numFmtId="165" fontId="0" fillId="0" borderId="0" xfId="3" applyNumberFormat="1" applyFont="1"/>
    <xf numFmtId="165" fontId="2" fillId="0" borderId="0" xfId="3" applyNumberFormat="1" applyFont="1"/>
    <xf numFmtId="3" fontId="2" fillId="0" borderId="0" xfId="0" applyNumberFormat="1" applyFont="1"/>
    <xf numFmtId="3" fontId="2" fillId="0" borderId="5" xfId="0" applyNumberFormat="1" applyFont="1" applyBorder="1"/>
    <xf numFmtId="0" fontId="2" fillId="0" borderId="0" xfId="0" applyFont="1" applyAlignment="1">
      <alignment horizontal="left" indent="2"/>
    </xf>
    <xf numFmtId="165" fontId="13" fillId="0" borderId="0" xfId="1" applyNumberFormat="1" applyFont="1" applyFill="1" applyAlignment="1">
      <alignment horizontal="left"/>
    </xf>
    <xf numFmtId="165" fontId="5" fillId="0" borderId="0" xfId="1" applyNumberFormat="1" applyFont="1" applyBorder="1"/>
    <xf numFmtId="0" fontId="0" fillId="0" borderId="0" xfId="0" applyAlignment="1">
      <alignment horizontal="right"/>
    </xf>
    <xf numFmtId="10" fontId="0" fillId="0" borderId="0" xfId="0" applyNumberFormat="1"/>
    <xf numFmtId="168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2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joor\Downloads\$FRANK-WISDOM%201710155371_Task%209%20-%20Building%20Operational%20Forecast%20Model(1).xlsx" TargetMode="External"/><Relationship Id="rId1" Type="http://schemas.openxmlformats.org/officeDocument/2006/relationships/externalLinkPath" Target="$FRANK-WISDOM%201710155371_Task%209%20-%20Building%20Operational%20Forecast%20Model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joor\Downloads\&amp;FRANK-WISDOM%201730913522_Task%2010%20-%20Linking%20Balance%20sheet.xlsx" TargetMode="External"/><Relationship Id="rId1" Type="http://schemas.openxmlformats.org/officeDocument/2006/relationships/externalLinkPath" Target="&amp;FRANK-WISDOM%201730913522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</row>
        <row r="180">
          <cell r="B180">
            <v>0.08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</row>
        <row r="182">
          <cell r="B182">
            <v>-0.13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-0.08</v>
          </cell>
        </row>
        <row r="184">
          <cell r="B184">
            <v>0.12</v>
          </cell>
          <cell r="C184">
            <v>0.16</v>
          </cell>
          <cell r="D184">
            <v>0.06</v>
          </cell>
          <cell r="E184">
            <v>0.09</v>
          </cell>
          <cell r="F184">
            <v>7.0000000000000007E-2</v>
          </cell>
          <cell r="G184">
            <v>-0.06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07">
          <cell r="H107">
            <v>17179</v>
          </cell>
          <cell r="I107">
            <v>18353</v>
          </cell>
        </row>
        <row r="108">
          <cell r="H108">
            <v>11644</v>
          </cell>
          <cell r="I108">
            <v>12228</v>
          </cell>
        </row>
        <row r="109">
          <cell r="H109">
            <v>5028</v>
          </cell>
          <cell r="I109">
            <v>5492</v>
          </cell>
        </row>
        <row r="110">
          <cell r="H110">
            <v>507</v>
          </cell>
          <cell r="I110">
            <v>633</v>
          </cell>
        </row>
        <row r="134">
          <cell r="H134">
            <v>5089</v>
          </cell>
          <cell r="I134">
            <v>5114</v>
          </cell>
        </row>
        <row r="145">
          <cell r="H145">
            <v>617</v>
          </cell>
          <cell r="I145">
            <v>639</v>
          </cell>
        </row>
        <row r="156">
          <cell r="H156">
            <v>98</v>
          </cell>
          <cell r="I156">
            <v>146</v>
          </cell>
        </row>
        <row r="167">
          <cell r="H167">
            <v>130</v>
          </cell>
          <cell r="I167">
            <v>124</v>
          </cell>
        </row>
        <row r="180">
          <cell r="H180">
            <v>0.19</v>
          </cell>
          <cell r="I180">
            <v>0.05</v>
          </cell>
        </row>
        <row r="182">
          <cell r="H182">
            <v>0.19</v>
          </cell>
          <cell r="I182">
            <v>0.25</v>
          </cell>
        </row>
        <row r="184">
          <cell r="H184">
            <v>0.17</v>
          </cell>
          <cell r="I184">
            <v>0.09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10" workbookViewId="0">
      <selection activeCell="A4" sqref="A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207</v>
      </c>
    </row>
    <row r="3" spans="1:1" x14ac:dyDescent="0.3">
      <c r="A3" s="1" t="s">
        <v>208</v>
      </c>
    </row>
    <row r="4" spans="1:1" x14ac:dyDescent="0.3">
      <c r="A4" t="s">
        <v>209</v>
      </c>
    </row>
    <row r="5" spans="1:1" x14ac:dyDescent="0.3">
      <c r="A5" s="2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99" zoomScaleNormal="99" workbookViewId="0">
      <pane ySplit="1" topLeftCell="A171" activePane="bottomLeft" state="frozen"/>
      <selection pane="bottomLeft" activeCell="A105" sqref="A105:I175"/>
    </sheetView>
  </sheetViews>
  <sheetFormatPr defaultRowHeight="14.4" x14ac:dyDescent="0.3"/>
  <cols>
    <col min="1" max="1" width="114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3">
        <v>262</v>
      </c>
      <c r="I8" s="3">
        <v>205</v>
      </c>
    </row>
    <row r="9" spans="1:9" x14ac:dyDescent="0.3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v>6689</v>
      </c>
      <c r="C10" s="5">
        <v>7178</v>
      </c>
      <c r="D10" s="5">
        <v>7250</v>
      </c>
      <c r="E10" s="5">
        <v>7383</v>
      </c>
      <c r="F10" s="5">
        <v>8207</v>
      </c>
      <c r="G10" s="5">
        <v>6392</v>
      </c>
      <c r="H10" s="5">
        <f t="shared" ref="H10" si="5">+H4-H7-H8-H9</f>
        <v>6661</v>
      </c>
      <c r="I10" s="5">
        <f>+I4-I7-I8-I9</f>
        <v>6651</v>
      </c>
    </row>
    <row r="11" spans="1:9" x14ac:dyDescent="0.3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6">+B10-B11</f>
        <v>5757</v>
      </c>
      <c r="C12" s="7">
        <f>+C10-C11</f>
        <v>6315</v>
      </c>
      <c r="D12" s="7">
        <f t="shared" si="6"/>
        <v>6604</v>
      </c>
      <c r="E12" s="7">
        <f t="shared" si="6"/>
        <v>4991</v>
      </c>
      <c r="F12" s="7">
        <f t="shared" si="6"/>
        <v>7435</v>
      </c>
      <c r="G12" s="7">
        <f t="shared" si="6"/>
        <v>6044</v>
      </c>
      <c r="H12" s="7">
        <f t="shared" ref="H12" si="7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C17" s="64">
        <v>1697.9</v>
      </c>
      <c r="D17" s="64">
        <v>1657.8</v>
      </c>
      <c r="E17" s="64">
        <v>1623.8</v>
      </c>
      <c r="F17" s="64">
        <v>1579.7</v>
      </c>
      <c r="G17" s="64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C18" s="64">
        <v>1742.5</v>
      </c>
      <c r="D18" s="64">
        <v>1692</v>
      </c>
      <c r="E18" s="64">
        <v>1659.1</v>
      </c>
      <c r="F18" s="64">
        <v>1618.4</v>
      </c>
      <c r="G18" s="64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ref="H20" si="8">+ROUND(((H12/H18)-H15),2)</f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9">+SUM(B25:B29)</f>
        <v>15587</v>
      </c>
      <c r="C30" s="5">
        <f t="shared" si="9"/>
        <v>15025</v>
      </c>
      <c r="D30" s="5">
        <f t="shared" si="9"/>
        <v>16061</v>
      </c>
      <c r="E30" s="5">
        <f t="shared" si="9"/>
        <v>15134</v>
      </c>
      <c r="F30" s="5">
        <f t="shared" si="9"/>
        <v>16525</v>
      </c>
      <c r="G30" s="5">
        <f t="shared" si="9"/>
        <v>20556</v>
      </c>
      <c r="H30" s="5">
        <f t="shared" si="9"/>
        <v>26291</v>
      </c>
      <c r="I30" s="5">
        <f>+SUM(I25:I29)</f>
        <v>28213</v>
      </c>
    </row>
    <row r="31" spans="1:9" x14ac:dyDescent="0.3">
      <c r="A31" s="2" t="s">
        <v>37</v>
      </c>
      <c r="B31" s="8">
        <v>2996</v>
      </c>
      <c r="C31" s="8">
        <v>3451</v>
      </c>
      <c r="D31" s="8">
        <v>3975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">
      <c r="A32" s="2" t="s">
        <v>38</v>
      </c>
      <c r="F32" t="s">
        <v>206</v>
      </c>
      <c r="G32" s="8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3">
        <v>269</v>
      </c>
      <c r="I33" s="3">
        <v>286</v>
      </c>
    </row>
    <row r="34" spans="1:9" x14ac:dyDescent="0.3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0">+SUM(B30:B35)</f>
        <v>21582</v>
      </c>
      <c r="C36" s="7">
        <f t="shared" si="10"/>
        <v>21327</v>
      </c>
      <c r="D36" s="7">
        <f t="shared" si="10"/>
        <v>23245</v>
      </c>
      <c r="E36" s="7">
        <f t="shared" si="10"/>
        <v>22536</v>
      </c>
      <c r="F36" s="7">
        <f t="shared" si="10"/>
        <v>23717</v>
      </c>
      <c r="G36" s="7">
        <f t="shared" si="10"/>
        <v>31342</v>
      </c>
      <c r="H36" s="7">
        <f t="shared" si="10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10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3">
        <v>0</v>
      </c>
      <c r="I39" s="3">
        <v>500</v>
      </c>
    </row>
    <row r="40" spans="1:9" x14ac:dyDescent="0.3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65"/>
      <c r="C42" s="65"/>
      <c r="D42" s="65"/>
      <c r="E42" s="65"/>
      <c r="F42">
        <v>0</v>
      </c>
      <c r="G42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1">+SUM(B39:B44)</f>
        <v>6332</v>
      </c>
      <c r="C45" s="5">
        <f t="shared" si="11"/>
        <v>5358</v>
      </c>
      <c r="D45" s="5">
        <f t="shared" si="11"/>
        <v>5474</v>
      </c>
      <c r="E45" s="5">
        <f t="shared" si="11"/>
        <v>6040</v>
      </c>
      <c r="F45" s="5">
        <f t="shared" si="11"/>
        <v>7866</v>
      </c>
      <c r="G45" s="5">
        <f t="shared" si="11"/>
        <v>8284</v>
      </c>
      <c r="H45" s="5">
        <f t="shared" si="11"/>
        <v>9674</v>
      </c>
      <c r="I45" s="5">
        <f>+SUM(I39:I44)</f>
        <v>10730</v>
      </c>
    </row>
    <row r="46" spans="1:9" x14ac:dyDescent="0.3">
      <c r="A46" s="2" t="s">
        <v>49</v>
      </c>
      <c r="B46" s="8">
        <v>1079</v>
      </c>
      <c r="C46" s="8">
        <v>2010</v>
      </c>
      <c r="D46">
        <v>0</v>
      </c>
      <c r="E46">
        <v>0</v>
      </c>
      <c r="F46" s="8">
        <v>3464</v>
      </c>
      <c r="G46" s="8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t="s">
        <v>206</v>
      </c>
      <c r="C47" t="s">
        <v>206</v>
      </c>
      <c r="D47" s="8">
        <v>3471</v>
      </c>
      <c r="E47" s="8">
        <v>3468</v>
      </c>
      <c r="F47" t="s">
        <v>206</v>
      </c>
      <c r="G47" s="8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0</v>
      </c>
      <c r="G48" s="8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10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69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3">
        <v>3</v>
      </c>
      <c r="I54" s="3">
        <v>3</v>
      </c>
    </row>
    <row r="55" spans="1:9" x14ac:dyDescent="0.3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2">+SUM(B53:B57)</f>
        <v>12707</v>
      </c>
      <c r="C58" s="5">
        <f t="shared" si="12"/>
        <v>12258</v>
      </c>
      <c r="D58" s="5">
        <f t="shared" si="12"/>
        <v>12407</v>
      </c>
      <c r="E58" s="5">
        <f t="shared" si="12"/>
        <v>9812</v>
      </c>
      <c r="F58" s="5">
        <f t="shared" si="12"/>
        <v>9040</v>
      </c>
      <c r="G58" s="5">
        <f t="shared" si="12"/>
        <v>8055</v>
      </c>
      <c r="H58" s="5">
        <f t="shared" ref="H58" si="13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v>21582</v>
      </c>
      <c r="C59" s="7">
        <v>21327</v>
      </c>
      <c r="D59" s="7">
        <v>23245</v>
      </c>
      <c r="E59" s="7">
        <f t="shared" ref="E59:G59" si="14">+SUM(E45:E50)+E58</f>
        <v>22536</v>
      </c>
      <c r="F59" s="7">
        <v>23717</v>
      </c>
      <c r="G59" s="7">
        <f t="shared" si="14"/>
        <v>31342</v>
      </c>
      <c r="H59" s="7">
        <f t="shared" ref="H59" si="15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6">+B59-B36</f>
        <v>0</v>
      </c>
      <c r="C60" s="13">
        <f>+C59-C36</f>
        <v>0</v>
      </c>
      <c r="D60" s="13">
        <f t="shared" si="16"/>
        <v>0</v>
      </c>
      <c r="E60" s="13">
        <f t="shared" si="16"/>
        <v>0</v>
      </c>
      <c r="F60" s="13">
        <f t="shared" si="16"/>
        <v>0</v>
      </c>
      <c r="G60" s="13">
        <f t="shared" si="16"/>
        <v>0</v>
      </c>
      <c r="H60" s="13">
        <f t="shared" si="16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66"/>
      <c r="C64" s="67">
        <v>3760</v>
      </c>
      <c r="D64" s="67">
        <v>4240</v>
      </c>
      <c r="E64" s="67">
        <v>1933</v>
      </c>
      <c r="F64" s="67">
        <v>4029</v>
      </c>
      <c r="G64" s="67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10" t="s">
        <v>65</v>
      </c>
      <c r="B65" s="65"/>
      <c r="C65" s="65"/>
      <c r="D65" s="65"/>
      <c r="E65" s="65"/>
      <c r="F65" s="65"/>
      <c r="G65" s="65"/>
      <c r="H65" s="3"/>
      <c r="I65" s="3"/>
    </row>
    <row r="66" spans="1:9" x14ac:dyDescent="0.3">
      <c r="A66" s="11" t="s">
        <v>66</v>
      </c>
      <c r="B66">
        <v>572</v>
      </c>
      <c r="C66">
        <v>632</v>
      </c>
      <c r="D66">
        <v>675</v>
      </c>
      <c r="E66">
        <v>747</v>
      </c>
      <c r="F66">
        <v>705</v>
      </c>
      <c r="G66">
        <v>721</v>
      </c>
      <c r="H66" s="3">
        <v>744</v>
      </c>
      <c r="I66" s="3">
        <v>717</v>
      </c>
    </row>
    <row r="67" spans="1:9" x14ac:dyDescent="0.3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3">
        <v>53</v>
      </c>
      <c r="I69" s="3">
        <v>123</v>
      </c>
    </row>
    <row r="70" spans="1:9" x14ac:dyDescent="0.3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3">
        <v>-138</v>
      </c>
      <c r="I70" s="3">
        <v>-26</v>
      </c>
    </row>
    <row r="71" spans="1:9" x14ac:dyDescent="0.3">
      <c r="A71" s="10" t="s">
        <v>71</v>
      </c>
      <c r="B71" s="65"/>
      <c r="C71" s="65"/>
      <c r="D71" s="65"/>
      <c r="E71" s="65"/>
      <c r="F71" s="65"/>
      <c r="G71" s="65"/>
      <c r="H71" s="3"/>
      <c r="I71" s="3"/>
    </row>
    <row r="72" spans="1:9" x14ac:dyDescent="0.3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17">+SUM(B64:B75)</f>
        <v>1373</v>
      </c>
      <c r="C76" s="26">
        <f t="shared" si="17"/>
        <v>3382</v>
      </c>
      <c r="D76" s="26">
        <f t="shared" si="17"/>
        <v>3815</v>
      </c>
      <c r="E76" s="26">
        <f t="shared" si="17"/>
        <v>4955</v>
      </c>
      <c r="F76" s="26">
        <f t="shared" si="17"/>
        <v>5903</v>
      </c>
      <c r="G76" s="26">
        <f t="shared" si="17"/>
        <v>2485</v>
      </c>
      <c r="H76" s="26">
        <f t="shared" ref="H76" si="18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>
        <v>0</v>
      </c>
      <c r="C82">
        <v>6</v>
      </c>
      <c r="D82">
        <v>-34</v>
      </c>
      <c r="E82">
        <v>-22</v>
      </c>
      <c r="F82">
        <v>5</v>
      </c>
      <c r="G82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19">+SUM(B78:B82)</f>
        <v>-28</v>
      </c>
      <c r="C83" s="26">
        <f t="shared" si="19"/>
        <v>-1194</v>
      </c>
      <c r="D83" s="26">
        <f t="shared" si="19"/>
        <v>-1021</v>
      </c>
      <c r="E83" s="26">
        <f t="shared" si="19"/>
        <v>276</v>
      </c>
      <c r="F83" s="26">
        <f t="shared" si="19"/>
        <v>-264</v>
      </c>
      <c r="G83" s="26">
        <f t="shared" si="19"/>
        <v>-1028</v>
      </c>
      <c r="H83" s="26">
        <f t="shared" ref="H83" si="20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>
        <v>0</v>
      </c>
      <c r="C85">
        <v>981</v>
      </c>
      <c r="D85" s="8">
        <v>1482</v>
      </c>
      <c r="E85">
        <v>0</v>
      </c>
      <c r="F85">
        <v>0</v>
      </c>
      <c r="G85">
        <v>0</v>
      </c>
      <c r="H85" s="3">
        <v>0</v>
      </c>
      <c r="I85" s="3">
        <v>0</v>
      </c>
    </row>
    <row r="86" spans="1:9" x14ac:dyDescent="0.3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206</v>
      </c>
      <c r="G86" s="8">
        <v>6134</v>
      </c>
      <c r="H86" s="3">
        <v>-52</v>
      </c>
      <c r="I86" s="3">
        <v>15</v>
      </c>
    </row>
    <row r="87" spans="1:9" x14ac:dyDescent="0.3">
      <c r="A87" s="2" t="s">
        <v>84</v>
      </c>
      <c r="B87">
        <v>-19</v>
      </c>
      <c r="C87" t="s">
        <v>206</v>
      </c>
      <c r="D87" t="s">
        <v>206</v>
      </c>
      <c r="E87">
        <v>13</v>
      </c>
      <c r="F87">
        <v>-325</v>
      </c>
      <c r="G87">
        <v>49</v>
      </c>
      <c r="H87" s="3">
        <v>-197</v>
      </c>
      <c r="I87" s="3">
        <v>0</v>
      </c>
    </row>
    <row r="88" spans="1:9" x14ac:dyDescent="0.3">
      <c r="A88" s="2" t="s">
        <v>85</v>
      </c>
      <c r="B88">
        <v>514</v>
      </c>
      <c r="C88">
        <v>507</v>
      </c>
      <c r="D88">
        <v>0</v>
      </c>
      <c r="E88">
        <v>733</v>
      </c>
      <c r="F88">
        <v>700</v>
      </c>
      <c r="G88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65"/>
      <c r="C91" s="65"/>
      <c r="D91" s="65"/>
      <c r="E91">
        <v>-84</v>
      </c>
      <c r="F91">
        <v>-50</v>
      </c>
      <c r="G91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G92" si="21">+SUM(B85:B91)</f>
        <v>-3001</v>
      </c>
      <c r="C92" s="26">
        <f t="shared" si="21"/>
        <v>-2839</v>
      </c>
      <c r="D92" s="26">
        <f t="shared" si="21"/>
        <v>-2547</v>
      </c>
      <c r="E92" s="26">
        <f t="shared" si="21"/>
        <v>-4822</v>
      </c>
      <c r="F92" s="26">
        <f t="shared" si="21"/>
        <v>-5293</v>
      </c>
      <c r="G92" s="26">
        <f t="shared" si="21"/>
        <v>2491</v>
      </c>
      <c r="H92" s="26">
        <f t="shared" ref="H92" si="22">+SUM(H85:H91)</f>
        <v>-1459</v>
      </c>
      <c r="I92" s="26">
        <f>+SUM(I85:I91)</f>
        <v>-4836</v>
      </c>
    </row>
    <row r="93" spans="1:9" x14ac:dyDescent="0.3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3">+B76+B83+B92+B93</f>
        <v>-1739</v>
      </c>
      <c r="C94" s="26">
        <f t="shared" si="23"/>
        <v>-756</v>
      </c>
      <c r="D94" s="26">
        <f t="shared" si="23"/>
        <v>227</v>
      </c>
      <c r="E94" s="26">
        <f t="shared" si="23"/>
        <v>454</v>
      </c>
      <c r="F94" s="26">
        <f t="shared" si="23"/>
        <v>217</v>
      </c>
      <c r="G94" s="26">
        <f t="shared" si="23"/>
        <v>3882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3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68">
        <v>3852</v>
      </c>
      <c r="C96" s="68">
        <v>3138</v>
      </c>
      <c r="D96" s="68">
        <v>3808</v>
      </c>
      <c r="E96" s="68">
        <v>4249</v>
      </c>
      <c r="F96" s="68">
        <v>4466</v>
      </c>
      <c r="G96" s="68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3">
      <c r="A98" s="1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10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7568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28">+SUM(H112:H114)</f>
        <v>11456</v>
      </c>
      <c r="I111" s="3">
        <f t="shared" si="28"/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29">+SUM(H116:H118)</f>
        <v>8290</v>
      </c>
      <c r="I115" s="3">
        <f t="shared" si="29"/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4317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0">+SUM(H120:H122)</f>
        <v>5343</v>
      </c>
      <c r="I119" s="3">
        <f t="shared" si="30"/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1250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1">+B107+B111+B115+B119+B123</f>
        <v>28701</v>
      </c>
      <c r="C124" s="5">
        <f t="shared" si="31"/>
        <v>30507</v>
      </c>
      <c r="D124" s="5">
        <f t="shared" si="31"/>
        <v>32233</v>
      </c>
      <c r="E124" s="5">
        <f t="shared" si="31"/>
        <v>34485</v>
      </c>
      <c r="F124" s="5">
        <f t="shared" si="31"/>
        <v>37218</v>
      </c>
      <c r="G124" s="5">
        <f t="shared" si="31"/>
        <v>35568</v>
      </c>
      <c r="H124" s="5">
        <f t="shared" ref="H124:I124" si="32">+H107+H111+H115+H119+H123</f>
        <v>42293</v>
      </c>
      <c r="I124" s="5">
        <f t="shared" si="32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>
        <v>18318</v>
      </c>
      <c r="C126" s="3">
        <v>19871</v>
      </c>
      <c r="D126" s="3">
        <v>21081</v>
      </c>
      <c r="E126" s="3">
        <v>22268</v>
      </c>
      <c r="F126" s="3">
        <v>24222</v>
      </c>
      <c r="G126" s="3">
        <v>23305</v>
      </c>
      <c r="H126" s="3">
        <v>1986</v>
      </c>
      <c r="I126" s="3">
        <v>2094</v>
      </c>
    </row>
    <row r="127" spans="1:9" x14ac:dyDescent="0.3">
      <c r="A127" s="11" t="s">
        <v>114</v>
      </c>
      <c r="B127" s="3">
        <v>8636</v>
      </c>
      <c r="C127" s="3">
        <v>9067</v>
      </c>
      <c r="D127" s="3">
        <v>9654</v>
      </c>
      <c r="E127" s="3">
        <v>10733</v>
      </c>
      <c r="F127" s="3">
        <v>11550</v>
      </c>
      <c r="G127" s="3">
        <v>10953</v>
      </c>
      <c r="H127" s="3">
        <v>104</v>
      </c>
      <c r="I127" s="3">
        <v>103</v>
      </c>
    </row>
    <row r="128" spans="1:9" x14ac:dyDescent="0.3">
      <c r="A128" s="11" t="s">
        <v>115</v>
      </c>
      <c r="B128" s="3">
        <v>1632</v>
      </c>
      <c r="C128" s="3">
        <v>1496</v>
      </c>
      <c r="D128" s="3">
        <v>1425</v>
      </c>
      <c r="E128" s="3">
        <v>1396</v>
      </c>
      <c r="F128" s="3">
        <v>1404</v>
      </c>
      <c r="G128" s="3">
        <v>1280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3">+B124+B125+B130</f>
        <v>30601</v>
      </c>
      <c r="C131" s="7">
        <f t="shared" si="33"/>
        <v>32376</v>
      </c>
      <c r="D131" s="7">
        <f t="shared" si="33"/>
        <v>34350</v>
      </c>
      <c r="E131" s="7">
        <f t="shared" si="33"/>
        <v>36397</v>
      </c>
      <c r="F131" s="7">
        <f t="shared" si="33"/>
        <v>39117</v>
      </c>
      <c r="G131" s="7">
        <f t="shared" si="33"/>
        <v>37403</v>
      </c>
      <c r="H131" s="7">
        <f t="shared" ref="H131" si="34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5">+C131-C2</f>
        <v>0</v>
      </c>
      <c r="D132" s="13">
        <f t="shared" si="35"/>
        <v>0</v>
      </c>
      <c r="E132" s="13">
        <f t="shared" si="35"/>
        <v>0</v>
      </c>
      <c r="F132" s="13">
        <f t="shared" si="35"/>
        <v>0</v>
      </c>
      <c r="G132" s="13">
        <f t="shared" si="35"/>
        <v>0</v>
      </c>
      <c r="H132" s="13">
        <f t="shared" ref="H132" si="36"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65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65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37">+SUM(B134:B138)</f>
        <v>4817</v>
      </c>
      <c r="C139" s="5">
        <f t="shared" si="37"/>
        <v>5328</v>
      </c>
      <c r="D139" s="5">
        <f t="shared" si="37"/>
        <v>5192</v>
      </c>
      <c r="E139" s="5">
        <f t="shared" si="37"/>
        <v>5525</v>
      </c>
      <c r="F139" s="5">
        <f t="shared" si="37"/>
        <v>6357</v>
      </c>
      <c r="G139" s="5">
        <f t="shared" si="37"/>
        <v>4646</v>
      </c>
      <c r="H139" s="5">
        <f t="shared" ref="H139:I139" si="38">+SUM(H134:H138)</f>
        <v>8641</v>
      </c>
      <c r="I139" s="5">
        <f t="shared" si="38"/>
        <v>8406</v>
      </c>
    </row>
    <row r="140" spans="1:9" x14ac:dyDescent="0.3">
      <c r="A140" s="2" t="s">
        <v>104</v>
      </c>
      <c r="B140" s="8">
        <v>1982</v>
      </c>
      <c r="C140" s="8">
        <v>1955</v>
      </c>
      <c r="D140" s="8">
        <v>2042</v>
      </c>
      <c r="E140" s="8">
        <v>1886</v>
      </c>
      <c r="F140" s="8">
        <v>1906</v>
      </c>
      <c r="G140" s="8">
        <v>1846</v>
      </c>
      <c r="H140" s="3">
        <v>543</v>
      </c>
      <c r="I140" s="3">
        <v>669</v>
      </c>
    </row>
    <row r="141" spans="1:9" x14ac:dyDescent="0.3">
      <c r="A141" s="2" t="s">
        <v>108</v>
      </c>
      <c r="B141">
        <v>-82</v>
      </c>
      <c r="C141">
        <v>-86</v>
      </c>
      <c r="D141">
        <v>75</v>
      </c>
      <c r="E141">
        <v>26</v>
      </c>
      <c r="F141">
        <v>-7</v>
      </c>
      <c r="G141">
        <v>-11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G142" si="39">+SUM(B139:B141)</f>
        <v>6717</v>
      </c>
      <c r="C142" s="7">
        <f t="shared" si="39"/>
        <v>7197</v>
      </c>
      <c r="D142" s="7">
        <f t="shared" si="39"/>
        <v>7309</v>
      </c>
      <c r="E142" s="7">
        <f t="shared" si="39"/>
        <v>7437</v>
      </c>
      <c r="F142" s="7">
        <f t="shared" si="39"/>
        <v>8256</v>
      </c>
      <c r="G142" s="7">
        <f t="shared" si="39"/>
        <v>6481</v>
      </c>
      <c r="H142" s="7">
        <f t="shared" ref="H142:I142" si="40">+SUM(H139:H141)</f>
        <v>6923</v>
      </c>
      <c r="I142" s="7">
        <f t="shared" si="40"/>
        <v>6856</v>
      </c>
    </row>
    <row r="143" spans="1:9" s="12" customFormat="1" ht="15" thickTop="1" x14ac:dyDescent="0.3">
      <c r="A143" s="12" t="s">
        <v>111</v>
      </c>
      <c r="B143" s="13">
        <f t="shared" ref="B143:G143" si="41">+B142-B10-B8</f>
        <v>0</v>
      </c>
      <c r="C143" s="13">
        <f t="shared" si="41"/>
        <v>0</v>
      </c>
      <c r="D143" s="13">
        <f t="shared" si="41"/>
        <v>0</v>
      </c>
      <c r="E143" s="13">
        <f t="shared" si="41"/>
        <v>0</v>
      </c>
      <c r="F143" s="13">
        <f t="shared" si="41"/>
        <v>0</v>
      </c>
      <c r="G143" s="13">
        <f t="shared" si="41"/>
        <v>0</v>
      </c>
      <c r="H143" s="13">
        <f t="shared" ref="H143" si="42">+H142-H10-H8</f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>
        <v>632</v>
      </c>
      <c r="C145">
        <v>742</v>
      </c>
      <c r="D145">
        <v>819</v>
      </c>
      <c r="E145">
        <v>848</v>
      </c>
      <c r="F145">
        <v>814</v>
      </c>
      <c r="G145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>
        <v>451</v>
      </c>
      <c r="C146">
        <v>589</v>
      </c>
      <c r="D146">
        <v>709</v>
      </c>
      <c r="E146">
        <v>849</v>
      </c>
      <c r="F146">
        <v>929</v>
      </c>
      <c r="G146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>
        <v>254</v>
      </c>
      <c r="C147">
        <v>234</v>
      </c>
      <c r="D147">
        <v>225</v>
      </c>
      <c r="E147">
        <v>256</v>
      </c>
      <c r="F147">
        <v>237</v>
      </c>
      <c r="G147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>
        <v>340</v>
      </c>
      <c r="C148">
        <v>340</v>
      </c>
      <c r="D148">
        <v>326</v>
      </c>
      <c r="E148">
        <v>339</v>
      </c>
      <c r="F148">
        <v>326</v>
      </c>
      <c r="G148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>
        <v>484</v>
      </c>
      <c r="C149">
        <v>484</v>
      </c>
      <c r="D149">
        <v>533</v>
      </c>
      <c r="E149">
        <v>597</v>
      </c>
      <c r="F149">
        <v>665</v>
      </c>
      <c r="G149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3">+SUM(B145:B149)</f>
        <v>2161</v>
      </c>
      <c r="C150" s="5">
        <f t="shared" si="43"/>
        <v>2389</v>
      </c>
      <c r="D150" s="5">
        <f t="shared" si="43"/>
        <v>2612</v>
      </c>
      <c r="E150" s="5">
        <f t="shared" si="43"/>
        <v>2889</v>
      </c>
      <c r="F150" s="5">
        <f t="shared" si="43"/>
        <v>2971</v>
      </c>
      <c r="G150" s="5">
        <f t="shared" si="43"/>
        <v>2870</v>
      </c>
      <c r="H150" s="5">
        <f t="shared" ref="H150:I150" si="44">+SUM(H145:H149)</f>
        <v>2971</v>
      </c>
      <c r="I150" s="5">
        <f t="shared" si="44"/>
        <v>2925</v>
      </c>
    </row>
    <row r="151" spans="1:9" x14ac:dyDescent="0.3">
      <c r="A151" s="2" t="s">
        <v>104</v>
      </c>
      <c r="B151">
        <v>122</v>
      </c>
      <c r="C151">
        <v>125</v>
      </c>
      <c r="D151">
        <v>125</v>
      </c>
      <c r="E151">
        <v>115</v>
      </c>
      <c r="F151">
        <v>100</v>
      </c>
      <c r="G151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>
        <v>713</v>
      </c>
      <c r="C152">
        <v>937</v>
      </c>
      <c r="D152">
        <v>1238</v>
      </c>
      <c r="E152">
        <v>1450</v>
      </c>
      <c r="F152">
        <v>1673</v>
      </c>
      <c r="G152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5">+SUM(B150:B152)</f>
        <v>2996</v>
      </c>
      <c r="C153" s="7">
        <f t="shared" si="45"/>
        <v>3451</v>
      </c>
      <c r="D153" s="7">
        <f t="shared" si="45"/>
        <v>3975</v>
      </c>
      <c r="E153" s="7">
        <f t="shared" si="45"/>
        <v>4454</v>
      </c>
      <c r="F153" s="7">
        <f t="shared" si="45"/>
        <v>4744</v>
      </c>
      <c r="G153" s="7">
        <f t="shared" si="45"/>
        <v>4866</v>
      </c>
      <c r="H153" s="7">
        <f t="shared" ref="H153" si="46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G154" si="47">+B153-B31</f>
        <v>0</v>
      </c>
      <c r="C154" s="13">
        <f t="shared" si="47"/>
        <v>0</v>
      </c>
      <c r="D154" s="13">
        <f t="shared" si="47"/>
        <v>0</v>
      </c>
      <c r="E154" s="13">
        <f t="shared" si="47"/>
        <v>0</v>
      </c>
      <c r="F154" s="13">
        <f t="shared" si="47"/>
        <v>0</v>
      </c>
      <c r="G154" s="13">
        <f t="shared" si="47"/>
        <v>0</v>
      </c>
      <c r="H154" s="13">
        <f t="shared" ref="H154" si="48">+H153-H31</f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>
        <v>208</v>
      </c>
      <c r="C156">
        <v>242</v>
      </c>
      <c r="D156">
        <v>223</v>
      </c>
      <c r="E156">
        <v>196</v>
      </c>
      <c r="F156">
        <v>117</v>
      </c>
      <c r="G156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>
        <v>216</v>
      </c>
      <c r="C157">
        <v>215</v>
      </c>
      <c r="D157">
        <v>162</v>
      </c>
      <c r="E157">
        <v>240</v>
      </c>
      <c r="F157">
        <v>233</v>
      </c>
      <c r="G157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>
        <v>69</v>
      </c>
      <c r="C158">
        <v>44</v>
      </c>
      <c r="D158">
        <v>51</v>
      </c>
      <c r="E158">
        <v>76</v>
      </c>
      <c r="F158">
        <v>49</v>
      </c>
      <c r="G158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>
        <v>37</v>
      </c>
      <c r="C159">
        <v>51</v>
      </c>
      <c r="D159">
        <v>39</v>
      </c>
      <c r="E159">
        <v>49</v>
      </c>
      <c r="F159">
        <v>47</v>
      </c>
      <c r="G159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>
        <v>225</v>
      </c>
      <c r="C160">
        <v>258</v>
      </c>
      <c r="D160">
        <v>278</v>
      </c>
      <c r="E160">
        <v>286</v>
      </c>
      <c r="F160">
        <v>278</v>
      </c>
      <c r="G160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49">+SUM(B156:B160)</f>
        <v>755</v>
      </c>
      <c r="C161" s="5">
        <f t="shared" si="49"/>
        <v>810</v>
      </c>
      <c r="D161" s="5">
        <f t="shared" si="49"/>
        <v>753</v>
      </c>
      <c r="E161" s="5">
        <f t="shared" si="49"/>
        <v>847</v>
      </c>
      <c r="F161" s="5">
        <f t="shared" si="49"/>
        <v>724</v>
      </c>
      <c r="G161" s="5">
        <f t="shared" si="49"/>
        <v>756</v>
      </c>
      <c r="H161" s="5">
        <f t="shared" ref="H161:I161" si="50">+SUM(H156:H160)</f>
        <v>677</v>
      </c>
      <c r="I161" s="5">
        <f t="shared" si="50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G163" si="51">-(SUM(B161:B162)+B81)</f>
        <v>139</v>
      </c>
      <c r="C163" s="3">
        <f t="shared" si="51"/>
        <v>294</v>
      </c>
      <c r="D163" s="3">
        <f t="shared" si="51"/>
        <v>322</v>
      </c>
      <c r="E163" s="3">
        <f t="shared" si="51"/>
        <v>159</v>
      </c>
      <c r="F163" s="3">
        <f t="shared" si="51"/>
        <v>377</v>
      </c>
      <c r="G163" s="3">
        <f t="shared" si="51"/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G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ref="H165" si="56">+H164+H81</f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>
        <v>121</v>
      </c>
      <c r="C167">
        <v>133</v>
      </c>
      <c r="D167">
        <v>140</v>
      </c>
      <c r="E167">
        <v>160</v>
      </c>
      <c r="F167">
        <v>149</v>
      </c>
      <c r="G167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>
        <v>75</v>
      </c>
      <c r="C168">
        <v>72</v>
      </c>
      <c r="D168">
        <v>91</v>
      </c>
      <c r="E168">
        <v>116</v>
      </c>
      <c r="F168">
        <v>111</v>
      </c>
      <c r="G168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>
        <v>46</v>
      </c>
      <c r="C169">
        <v>48</v>
      </c>
      <c r="D169">
        <v>54</v>
      </c>
      <c r="E169">
        <v>56</v>
      </c>
      <c r="F169">
        <v>50</v>
      </c>
      <c r="G169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>
        <v>27</v>
      </c>
      <c r="C170">
        <v>38</v>
      </c>
      <c r="D170">
        <v>38</v>
      </c>
      <c r="E170">
        <v>55</v>
      </c>
      <c r="F170">
        <v>53</v>
      </c>
      <c r="G170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>
        <v>210</v>
      </c>
      <c r="C171">
        <v>230</v>
      </c>
      <c r="D171">
        <v>233</v>
      </c>
      <c r="E171">
        <v>217</v>
      </c>
      <c r="F171">
        <v>195</v>
      </c>
      <c r="G171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7">+SUM(B167:B171)</f>
        <v>479</v>
      </c>
      <c r="C172" s="5">
        <f t="shared" si="57"/>
        <v>521</v>
      </c>
      <c r="D172" s="5">
        <f t="shared" si="57"/>
        <v>556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3">
      <c r="A173" s="2" t="s">
        <v>104</v>
      </c>
      <c r="B173">
        <v>18</v>
      </c>
      <c r="C173">
        <v>27</v>
      </c>
      <c r="D173">
        <v>28</v>
      </c>
      <c r="E173">
        <v>33</v>
      </c>
      <c r="F173">
        <v>31</v>
      </c>
      <c r="G17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>
        <v>75</v>
      </c>
      <c r="C174">
        <v>84</v>
      </c>
      <c r="D174">
        <v>91</v>
      </c>
      <c r="E174">
        <v>110</v>
      </c>
      <c r="F174">
        <v>116</v>
      </c>
      <c r="G174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9">+SUM(B172:B174)</f>
        <v>572</v>
      </c>
      <c r="C175" s="7">
        <f t="shared" si="59"/>
        <v>632</v>
      </c>
      <c r="D175" s="7">
        <f t="shared" si="59"/>
        <v>675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G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ref="H176" si="62">+H175-H66</f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7.0000000000000007E-2</v>
      </c>
      <c r="C179" s="34">
        <v>7.0000000000000007E-2</v>
      </c>
      <c r="D179" s="34">
        <v>7.0000000000000007E-2</v>
      </c>
      <c r="E179" s="34">
        <v>7.0000000000000007E-2</v>
      </c>
      <c r="F179" s="34">
        <v>7.0000000000000007E-2</v>
      </c>
      <c r="G179" s="34">
        <v>7.0000000000000007E-2</v>
      </c>
      <c r="H179" s="34">
        <v>7.0000000000000007E-2</v>
      </c>
      <c r="I179" s="34">
        <v>7.0000000000000007E-2</v>
      </c>
    </row>
    <row r="180" spans="1:9" x14ac:dyDescent="0.3">
      <c r="A180" s="31" t="s">
        <v>113</v>
      </c>
      <c r="B180" s="30">
        <v>0.08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0.19</v>
      </c>
      <c r="I180" s="30">
        <v>0.05</v>
      </c>
    </row>
    <row r="181" spans="1:9" x14ac:dyDescent="0.3">
      <c r="A181" s="31" t="s">
        <v>114</v>
      </c>
      <c r="B181" s="30">
        <v>0.03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0.19</v>
      </c>
      <c r="I181" s="30">
        <v>0.09</v>
      </c>
    </row>
    <row r="182" spans="1:9" x14ac:dyDescent="0.3">
      <c r="A182" s="31" t="s">
        <v>115</v>
      </c>
      <c r="B182" s="30">
        <v>-0.13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-0.08</v>
      </c>
      <c r="H182" s="30">
        <v>0.19</v>
      </c>
      <c r="I182" s="30">
        <v>0.25</v>
      </c>
    </row>
    <row r="183" spans="1:9" x14ac:dyDescent="0.3">
      <c r="A183" s="33" t="s">
        <v>101</v>
      </c>
      <c r="B183" s="34">
        <v>0.12</v>
      </c>
      <c r="C183" s="34">
        <v>0.12</v>
      </c>
      <c r="D183" s="34">
        <v>0.12</v>
      </c>
      <c r="E183" s="34">
        <v>0.12</v>
      </c>
      <c r="F183" s="34">
        <v>0.12</v>
      </c>
      <c r="G183" s="34">
        <v>0.12</v>
      </c>
      <c r="H183" s="34">
        <v>0.12</v>
      </c>
      <c r="I183" s="34">
        <v>0.12</v>
      </c>
    </row>
    <row r="184" spans="1:9" x14ac:dyDescent="0.3">
      <c r="A184" s="31" t="s">
        <v>113</v>
      </c>
      <c r="B184" s="30">
        <v>0.12</v>
      </c>
      <c r="C184" s="30">
        <v>0.16</v>
      </c>
      <c r="D184" s="30">
        <v>0.06</v>
      </c>
      <c r="E184" s="30">
        <v>0.09</v>
      </c>
      <c r="F184" s="30">
        <v>7.0000000000000007E-2</v>
      </c>
      <c r="G184" s="30">
        <v>-0.06</v>
      </c>
      <c r="H184" s="30">
        <v>0.17</v>
      </c>
      <c r="I184" s="30">
        <v>0.09</v>
      </c>
    </row>
    <row r="185" spans="1:9" x14ac:dyDescent="0.3">
      <c r="A185" s="31" t="s">
        <v>114</v>
      </c>
      <c r="B185" s="30">
        <v>0.09</v>
      </c>
      <c r="C185" s="30">
        <v>0.17</v>
      </c>
      <c r="D185" s="30">
        <v>0.23</v>
      </c>
      <c r="E185" s="30">
        <v>0.16</v>
      </c>
      <c r="F185" s="30">
        <v>0.05</v>
      </c>
      <c r="G185" s="30">
        <v>-0.01</v>
      </c>
      <c r="H185" s="30">
        <v>0.17</v>
      </c>
      <c r="I185" s="30">
        <v>0.16</v>
      </c>
    </row>
    <row r="186" spans="1:9" x14ac:dyDescent="0.3">
      <c r="A186" s="31" t="s">
        <v>115</v>
      </c>
      <c r="B186" s="30">
        <v>7.0000000000000007E-2</v>
      </c>
      <c r="C186" s="30">
        <v>0.06</v>
      </c>
      <c r="D186" s="30">
        <v>0.11</v>
      </c>
      <c r="E186" s="30">
        <v>0.05</v>
      </c>
      <c r="F186" s="30">
        <v>-0.03</v>
      </c>
      <c r="G186" s="30">
        <v>-7.0000000000000007E-2</v>
      </c>
      <c r="H186" s="30">
        <v>0.17</v>
      </c>
      <c r="I186" s="30">
        <v>0.17</v>
      </c>
    </row>
    <row r="187" spans="1:9" x14ac:dyDescent="0.3">
      <c r="A187" s="33" t="s">
        <v>102</v>
      </c>
      <c r="B187" s="34">
        <v>-0.13</v>
      </c>
      <c r="C187" s="34">
        <v>-0.13</v>
      </c>
      <c r="D187" s="34">
        <v>-0.13</v>
      </c>
      <c r="E187" s="34">
        <v>-0.13</v>
      </c>
      <c r="F187" s="34">
        <v>-0.13</v>
      </c>
      <c r="G187" s="34">
        <v>-0.13</v>
      </c>
      <c r="H187" s="34">
        <v>-0.13</v>
      </c>
      <c r="I187" s="34">
        <v>-0.13</v>
      </c>
    </row>
    <row r="188" spans="1:9" x14ac:dyDescent="0.3">
      <c r="A188" s="31" t="s">
        <v>113</v>
      </c>
      <c r="B188" s="30">
        <v>0.14000000000000001</v>
      </c>
      <c r="C188" s="30">
        <v>0.12</v>
      </c>
      <c r="D188" s="30">
        <v>0.1</v>
      </c>
      <c r="E188" s="30">
        <v>-0.05</v>
      </c>
      <c r="F188" s="30">
        <v>-0.13</v>
      </c>
      <c r="G188" s="30">
        <v>-0.1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0.17</v>
      </c>
      <c r="C189" s="30">
        <v>0.2</v>
      </c>
      <c r="D189" s="30">
        <v>0.25</v>
      </c>
      <c r="E189" s="30">
        <v>0.21</v>
      </c>
      <c r="F189" s="30">
        <v>0.19</v>
      </c>
      <c r="G189" s="30">
        <v>-0.06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0.06</v>
      </c>
      <c r="C190" s="30">
        <v>0.12</v>
      </c>
      <c r="D190" s="30">
        <v>0.11</v>
      </c>
      <c r="E190" s="30">
        <v>0.06</v>
      </c>
      <c r="F190" s="30">
        <v>0.01</v>
      </c>
      <c r="G190" s="30">
        <v>-7.0000000000000007E-2</v>
      </c>
      <c r="H190" s="30">
        <v>0.24</v>
      </c>
      <c r="I190" s="30">
        <v>-0.06</v>
      </c>
    </row>
    <row r="191" spans="1:9" x14ac:dyDescent="0.3">
      <c r="A191" s="33" t="s">
        <v>106</v>
      </c>
      <c r="B191" s="34">
        <v>0.16</v>
      </c>
      <c r="C191" s="34">
        <v>0.16</v>
      </c>
      <c r="D191" s="34">
        <v>0.16</v>
      </c>
      <c r="E191" s="34">
        <v>0.16</v>
      </c>
      <c r="F191" s="34">
        <v>0.16</v>
      </c>
      <c r="G191" s="34">
        <v>0.16</v>
      </c>
      <c r="H191" s="34">
        <v>0.16</v>
      </c>
      <c r="I191" s="34">
        <v>0.16</v>
      </c>
    </row>
    <row r="192" spans="1:9" x14ac:dyDescent="0.3">
      <c r="A192" s="31" t="s">
        <v>113</v>
      </c>
      <c r="B192" s="30">
        <v>0.12</v>
      </c>
      <c r="C192" s="30">
        <v>0.18</v>
      </c>
      <c r="D192" s="30">
        <v>0.06</v>
      </c>
      <c r="E192" s="30">
        <v>0.1</v>
      </c>
      <c r="F192" s="30">
        <v>0.13</v>
      </c>
      <c r="G192" s="30">
        <v>0.01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0.15</v>
      </c>
      <c r="D193" s="30">
        <v>0.23</v>
      </c>
      <c r="E193" s="30">
        <v>0.14000000000000001</v>
      </c>
      <c r="F193" s="30">
        <v>0.12</v>
      </c>
      <c r="G193" s="30">
        <v>0.03</v>
      </c>
      <c r="H193" s="30">
        <v>0.08</v>
      </c>
      <c r="I193" s="30">
        <v>0.12</v>
      </c>
    </row>
    <row r="194" spans="1:9" x14ac:dyDescent="0.3">
      <c r="A194" s="31" t="s">
        <v>115</v>
      </c>
      <c r="B194" s="30">
        <v>0.08</v>
      </c>
      <c r="C194" s="30">
        <v>7.0000000000000007E-2</v>
      </c>
      <c r="D194" s="30">
        <v>0.11</v>
      </c>
      <c r="E194" s="30">
        <v>0.09</v>
      </c>
      <c r="F194" s="30">
        <v>0.08</v>
      </c>
      <c r="G194" s="30">
        <v>-0.04</v>
      </c>
      <c r="H194" s="30">
        <v>0.08</v>
      </c>
      <c r="I194" s="30">
        <v>0.28000000000000003</v>
      </c>
    </row>
    <row r="195" spans="1:9" x14ac:dyDescent="0.3">
      <c r="A195" s="33" t="s">
        <v>107</v>
      </c>
      <c r="B195" s="34">
        <v>3.02</v>
      </c>
      <c r="C195" s="34">
        <v>3.02</v>
      </c>
      <c r="D195" s="34">
        <v>3.02</v>
      </c>
      <c r="E195" s="34">
        <v>3.02</v>
      </c>
      <c r="F195" s="34">
        <v>3.02</v>
      </c>
      <c r="G195" s="34">
        <v>3.02</v>
      </c>
      <c r="H195" s="34">
        <v>3.02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0.12</v>
      </c>
      <c r="D196" s="37">
        <v>0.08</v>
      </c>
      <c r="E196" s="37">
        <v>0.06</v>
      </c>
      <c r="F196" s="37">
        <v>7.0000000000000007E-2</v>
      </c>
      <c r="G196" s="37">
        <v>0.06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0.02</v>
      </c>
      <c r="D197" s="34">
        <v>-0.08</v>
      </c>
      <c r="E197" s="34">
        <v>-0.01</v>
      </c>
      <c r="F197" s="34">
        <v>-0.01</v>
      </c>
      <c r="G197" s="34">
        <v>-0.1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>
        <v>0.13</v>
      </c>
      <c r="C198" s="30">
        <v>0.15</v>
      </c>
      <c r="D198" s="30">
        <v>0.06</v>
      </c>
      <c r="E198" s="30">
        <v>0.04</v>
      </c>
      <c r="F198" s="30">
        <v>0.08</v>
      </c>
      <c r="G198" s="30">
        <v>-0.04</v>
      </c>
      <c r="H198" s="30">
        <v>0.16</v>
      </c>
      <c r="I198" s="30">
        <v>0.06</v>
      </c>
    </row>
    <row r="199" spans="1:9" x14ac:dyDescent="0.3">
      <c r="A199" s="31" t="s">
        <v>114</v>
      </c>
      <c r="B199" s="30">
        <v>0.1</v>
      </c>
      <c r="C199" s="30">
        <v>0.11</v>
      </c>
      <c r="D199" s="30">
        <v>0.09</v>
      </c>
      <c r="E199" s="30">
        <v>0.11</v>
      </c>
      <c r="F199" s="30">
        <v>0.08</v>
      </c>
      <c r="G199" s="30">
        <v>-0.06</v>
      </c>
      <c r="H199" s="30">
        <v>0.16</v>
      </c>
      <c r="I199" s="30">
        <v>-0.03</v>
      </c>
    </row>
    <row r="200" spans="1:9" x14ac:dyDescent="0.3">
      <c r="A200" s="31" t="s">
        <v>115</v>
      </c>
      <c r="B200" s="30">
        <v>0.01</v>
      </c>
      <c r="C200" s="30">
        <v>0.04</v>
      </c>
      <c r="D200" s="30">
        <v>-0.02</v>
      </c>
      <c r="E200" s="30">
        <v>-0.02</v>
      </c>
      <c r="F200" s="30">
        <v>-0.05</v>
      </c>
      <c r="G200" s="30">
        <v>-0.08</v>
      </c>
      <c r="H200" s="30">
        <v>0.16</v>
      </c>
      <c r="I200" s="30">
        <v>-0.16</v>
      </c>
    </row>
    <row r="201" spans="1:9" x14ac:dyDescent="0.3">
      <c r="A201" s="31" t="s">
        <v>121</v>
      </c>
      <c r="B201" s="30">
        <v>0.01</v>
      </c>
      <c r="C201" s="30">
        <v>0.04</v>
      </c>
      <c r="D201" s="30">
        <v>-0.02</v>
      </c>
      <c r="E201" s="30">
        <v>-0.02</v>
      </c>
      <c r="F201" s="30">
        <v>-0.05</v>
      </c>
      <c r="G201" s="30">
        <v>-0.08</v>
      </c>
      <c r="H201" s="30">
        <v>0.16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0.06</v>
      </c>
      <c r="C203" s="36">
        <v>7.0000000000000007E-2</v>
      </c>
      <c r="D203" s="36">
        <v>0.08</v>
      </c>
      <c r="E203" s="36">
        <v>7.0000000000000007E-2</v>
      </c>
      <c r="F203" s="36">
        <v>0.06</v>
      </c>
      <c r="G203" s="36">
        <v>0.05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0"/>
  <sheetViews>
    <sheetView topLeftCell="A44" workbookViewId="0">
      <selection activeCell="J143" sqref="J143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61">
        <v>30601</v>
      </c>
      <c r="C3" s="61">
        <v>32376</v>
      </c>
      <c r="D3" s="61">
        <v>34350</v>
      </c>
      <c r="E3" s="61">
        <v>36397</v>
      </c>
      <c r="F3" s="61">
        <v>39117</v>
      </c>
      <c r="G3" s="61">
        <v>37403</v>
      </c>
      <c r="H3" s="61">
        <v>44538</v>
      </c>
      <c r="I3" s="61">
        <v>46710</v>
      </c>
      <c r="J3" s="61">
        <v>49045.5</v>
      </c>
      <c r="K3" s="61">
        <v>51497.78</v>
      </c>
      <c r="L3" s="61">
        <v>54072.66</v>
      </c>
      <c r="M3" s="61">
        <v>56776.3</v>
      </c>
      <c r="N3" s="61">
        <v>59615.11</v>
      </c>
      <c r="O3" t="s">
        <v>142</v>
      </c>
    </row>
    <row r="4" spans="1:15" x14ac:dyDescent="0.3">
      <c r="A4" s="41" t="s">
        <v>129</v>
      </c>
      <c r="B4" s="62">
        <v>0.06</v>
      </c>
      <c r="C4" s="62">
        <v>0.06</v>
      </c>
      <c r="D4" s="62">
        <v>0.06</v>
      </c>
      <c r="E4" s="62">
        <v>7.0000000000000007E-2</v>
      </c>
      <c r="F4" s="62">
        <v>-0.04</v>
      </c>
      <c r="G4" s="62">
        <v>0.19</v>
      </c>
      <c r="H4" s="62">
        <v>0.05</v>
      </c>
      <c r="I4" s="62">
        <v>0.05</v>
      </c>
      <c r="J4" s="62">
        <v>0.05</v>
      </c>
      <c r="K4" s="62">
        <v>0.05</v>
      </c>
      <c r="L4" s="62">
        <v>0.05</v>
      </c>
      <c r="M4" s="62">
        <v>0.05</v>
      </c>
      <c r="N4" s="62">
        <v>0.05</v>
      </c>
    </row>
    <row r="5" spans="1:15" x14ac:dyDescent="0.3">
      <c r="A5" s="40" t="s">
        <v>130</v>
      </c>
      <c r="B5" s="61">
        <v>7200</v>
      </c>
      <c r="C5" s="61">
        <v>7600</v>
      </c>
      <c r="D5" s="61">
        <v>8000</v>
      </c>
      <c r="E5" s="61">
        <v>8300</v>
      </c>
      <c r="F5" s="61">
        <v>8500</v>
      </c>
      <c r="G5" s="61">
        <v>7000</v>
      </c>
      <c r="H5" s="61">
        <v>9500</v>
      </c>
      <c r="I5" s="61">
        <v>9800</v>
      </c>
      <c r="J5" s="61">
        <v>10113.6</v>
      </c>
      <c r="K5" s="61">
        <v>10437.24</v>
      </c>
      <c r="L5" s="61">
        <v>10771.23</v>
      </c>
      <c r="M5" s="61">
        <v>11115.91</v>
      </c>
      <c r="N5" s="61">
        <v>11471.61</v>
      </c>
      <c r="O5" t="s">
        <v>143</v>
      </c>
    </row>
    <row r="6" spans="1:15" x14ac:dyDescent="0.3">
      <c r="A6" s="41" t="s">
        <v>129</v>
      </c>
      <c r="B6" s="63">
        <v>5.6000000000000001E-2</v>
      </c>
      <c r="C6" s="63">
        <v>5.2999999999999999E-2</v>
      </c>
      <c r="D6" s="63">
        <v>3.7999999999999999E-2</v>
      </c>
      <c r="E6" s="63">
        <v>2.4E-2</v>
      </c>
      <c r="F6" s="63">
        <v>-0.17599999999999999</v>
      </c>
      <c r="G6" s="63">
        <v>0.35699999999999998</v>
      </c>
      <c r="H6" s="63">
        <v>3.2000000000000001E-2</v>
      </c>
      <c r="I6" s="63">
        <v>3.2000000000000001E-2</v>
      </c>
      <c r="J6" s="63">
        <v>3.2000000000000001E-2</v>
      </c>
      <c r="K6" s="63">
        <v>3.2000000000000001E-2</v>
      </c>
      <c r="L6" s="63">
        <v>3.2000000000000001E-2</v>
      </c>
      <c r="M6" s="63">
        <v>3.2000000000000001E-2</v>
      </c>
      <c r="N6" s="63">
        <v>3.2000000000000001E-2</v>
      </c>
    </row>
    <row r="7" spans="1:15" x14ac:dyDescent="0.3">
      <c r="A7" s="41" t="s">
        <v>131</v>
      </c>
      <c r="B7" s="63">
        <v>0.23499999999999999</v>
      </c>
      <c r="C7" s="63">
        <v>0.23499999999999999</v>
      </c>
      <c r="D7" s="63">
        <v>0.23300000000000001</v>
      </c>
      <c r="E7" s="63">
        <v>0.22800000000000001</v>
      </c>
      <c r="F7" s="63">
        <v>0.217</v>
      </c>
      <c r="G7" s="63">
        <v>0.187</v>
      </c>
      <c r="H7" s="63">
        <v>0.21299999999999999</v>
      </c>
      <c r="I7" s="63">
        <v>0.21</v>
      </c>
      <c r="J7" s="63">
        <v>0.21</v>
      </c>
      <c r="K7" s="63">
        <v>0.21</v>
      </c>
      <c r="L7" s="63">
        <v>0.21</v>
      </c>
      <c r="M7" s="63">
        <v>0.21</v>
      </c>
      <c r="N7" s="63">
        <v>0.21</v>
      </c>
    </row>
    <row r="8" spans="1:15" x14ac:dyDescent="0.3">
      <c r="A8" s="40" t="s">
        <v>132</v>
      </c>
      <c r="B8" s="61">
        <v>1500</v>
      </c>
      <c r="C8" s="61">
        <v>1600</v>
      </c>
      <c r="D8" s="61">
        <v>1700</v>
      </c>
      <c r="E8" s="61">
        <v>1800</v>
      </c>
      <c r="F8" s="61">
        <v>1850</v>
      </c>
      <c r="G8" s="61">
        <v>1750</v>
      </c>
      <c r="H8" s="61">
        <v>1900</v>
      </c>
      <c r="I8" s="61">
        <v>2000</v>
      </c>
      <c r="J8" s="61">
        <v>2106</v>
      </c>
      <c r="K8" s="61">
        <v>2217.62</v>
      </c>
      <c r="L8" s="61">
        <v>2335.15</v>
      </c>
      <c r="M8" s="61">
        <v>2458.91</v>
      </c>
      <c r="N8" s="61">
        <v>2589.2399999999998</v>
      </c>
      <c r="O8" t="s">
        <v>144</v>
      </c>
    </row>
    <row r="9" spans="1:15" x14ac:dyDescent="0.3">
      <c r="A9" s="41" t="s">
        <v>129</v>
      </c>
      <c r="B9" s="63">
        <v>6.7000000000000004E-2</v>
      </c>
      <c r="C9" s="63">
        <v>6.3E-2</v>
      </c>
      <c r="D9" s="63">
        <v>5.8999999999999997E-2</v>
      </c>
      <c r="E9" s="63">
        <v>2.8000000000000001E-2</v>
      </c>
      <c r="F9" s="63">
        <v>-5.3999999999999999E-2</v>
      </c>
      <c r="G9" s="63">
        <v>8.5999999999999993E-2</v>
      </c>
      <c r="H9" s="63">
        <v>5.2999999999999999E-2</v>
      </c>
      <c r="I9" s="63">
        <v>5.2999999999999999E-2</v>
      </c>
      <c r="J9" s="63">
        <v>5.2999999999999999E-2</v>
      </c>
      <c r="K9" s="63">
        <v>5.2999999999999999E-2</v>
      </c>
      <c r="L9" s="63">
        <v>5.2999999999999999E-2</v>
      </c>
      <c r="M9" s="63">
        <v>5.2999999999999999E-2</v>
      </c>
      <c r="N9" s="63">
        <v>5.2999999999999999E-2</v>
      </c>
    </row>
    <row r="10" spans="1:15" x14ac:dyDescent="0.3">
      <c r="A10" s="41" t="s">
        <v>133</v>
      </c>
      <c r="B10" s="63">
        <v>4.9000000000000002E-2</v>
      </c>
      <c r="C10" s="63">
        <v>4.9000000000000002E-2</v>
      </c>
      <c r="D10" s="63">
        <v>0.05</v>
      </c>
      <c r="E10" s="63">
        <v>4.9000000000000002E-2</v>
      </c>
      <c r="F10" s="63">
        <v>4.7E-2</v>
      </c>
      <c r="G10" s="63">
        <v>4.7E-2</v>
      </c>
      <c r="H10" s="63">
        <v>4.2999999999999997E-2</v>
      </c>
      <c r="I10" s="63">
        <v>4.2999999999999997E-2</v>
      </c>
      <c r="J10" s="63">
        <v>4.2999999999999997E-2</v>
      </c>
      <c r="K10" s="63">
        <v>4.2999999999999997E-2</v>
      </c>
      <c r="L10" s="63">
        <v>4.2999999999999997E-2</v>
      </c>
      <c r="M10" s="63">
        <v>4.2999999999999997E-2</v>
      </c>
      <c r="N10" s="63">
        <v>4.2999999999999997E-2</v>
      </c>
    </row>
    <row r="11" spans="1:15" x14ac:dyDescent="0.3">
      <c r="A11" s="40" t="s">
        <v>134</v>
      </c>
      <c r="B11" s="61">
        <v>4500</v>
      </c>
      <c r="C11" s="61">
        <v>4800</v>
      </c>
      <c r="D11" s="61">
        <v>5100</v>
      </c>
      <c r="E11" s="61">
        <v>5200</v>
      </c>
      <c r="F11" s="61">
        <v>5400</v>
      </c>
      <c r="G11" s="61">
        <v>3000</v>
      </c>
      <c r="H11" s="61">
        <v>6923</v>
      </c>
      <c r="I11" s="61">
        <v>6856</v>
      </c>
      <c r="J11" s="61">
        <v>6787.44</v>
      </c>
      <c r="K11" s="61">
        <v>6719.57</v>
      </c>
      <c r="L11" s="61">
        <v>6652.37</v>
      </c>
      <c r="M11" s="61">
        <v>6585.85</v>
      </c>
      <c r="N11" s="61">
        <v>6519.99</v>
      </c>
      <c r="O11" t="s">
        <v>145</v>
      </c>
    </row>
    <row r="12" spans="1:15" x14ac:dyDescent="0.3">
      <c r="A12" s="41" t="s">
        <v>129</v>
      </c>
      <c r="B12" s="63">
        <v>6.7000000000000004E-2</v>
      </c>
      <c r="C12" s="63">
        <v>6.3E-2</v>
      </c>
      <c r="D12" s="63">
        <v>0.02</v>
      </c>
      <c r="E12" s="63">
        <v>3.7999999999999999E-2</v>
      </c>
      <c r="F12" s="63">
        <v>-0.44400000000000001</v>
      </c>
      <c r="G12" s="63">
        <v>1.3069999999999999</v>
      </c>
      <c r="H12" s="63">
        <v>-0.01</v>
      </c>
      <c r="I12" s="63">
        <v>-0.01</v>
      </c>
      <c r="J12" s="63">
        <v>-0.01</v>
      </c>
      <c r="K12" s="63">
        <v>-0.01</v>
      </c>
      <c r="L12" s="63">
        <v>-0.01</v>
      </c>
      <c r="M12" s="63">
        <v>-0.01</v>
      </c>
      <c r="N12" s="63">
        <v>-0.01</v>
      </c>
    </row>
    <row r="13" spans="1:15" x14ac:dyDescent="0.3">
      <c r="A13" s="41" t="s">
        <v>131</v>
      </c>
      <c r="B13" s="63">
        <v>0.14699999999999999</v>
      </c>
      <c r="C13" s="63">
        <v>0.15</v>
      </c>
      <c r="D13" s="63">
        <v>0.152</v>
      </c>
      <c r="E13" s="63">
        <v>0.14299999999999999</v>
      </c>
      <c r="F13" s="63">
        <v>0.14499999999999999</v>
      </c>
      <c r="G13" s="63">
        <v>0.08</v>
      </c>
      <c r="H13" s="63">
        <v>0.155</v>
      </c>
      <c r="I13" s="63">
        <v>0.14699999999999999</v>
      </c>
      <c r="J13" s="63">
        <v>0.14699999999999999</v>
      </c>
      <c r="K13" s="63">
        <v>0.14699999999999999</v>
      </c>
      <c r="L13" s="63">
        <v>0.14699999999999999</v>
      </c>
      <c r="M13" s="63">
        <v>0.14699999999999999</v>
      </c>
      <c r="N13" s="63">
        <v>0.14699999999999999</v>
      </c>
    </row>
    <row r="14" spans="1:15" x14ac:dyDescent="0.3">
      <c r="A14" s="40" t="s">
        <v>135</v>
      </c>
      <c r="B14" s="61">
        <v>1200</v>
      </c>
      <c r="C14" s="61">
        <v>1300</v>
      </c>
      <c r="D14" s="61">
        <v>1350</v>
      </c>
      <c r="E14" s="61">
        <v>1400</v>
      </c>
      <c r="F14" s="61">
        <v>1500</v>
      </c>
      <c r="G14" s="61">
        <v>1000</v>
      </c>
      <c r="H14" s="61">
        <v>1600</v>
      </c>
      <c r="I14" s="61">
        <v>1700</v>
      </c>
      <c r="J14" s="61">
        <v>1807.1</v>
      </c>
      <c r="K14" s="61">
        <v>1920.95</v>
      </c>
      <c r="L14" s="61">
        <v>2041.97</v>
      </c>
      <c r="M14" s="61">
        <v>2170.61</v>
      </c>
      <c r="N14" s="61">
        <v>2307.36</v>
      </c>
      <c r="O14" t="s">
        <v>146</v>
      </c>
    </row>
    <row r="15" spans="1:15" x14ac:dyDescent="0.3">
      <c r="A15" s="41" t="s">
        <v>129</v>
      </c>
      <c r="B15" s="63">
        <v>8.3000000000000004E-2</v>
      </c>
      <c r="C15" s="63">
        <v>3.7999999999999999E-2</v>
      </c>
      <c r="D15" s="63">
        <v>3.6999999999999998E-2</v>
      </c>
      <c r="E15" s="63">
        <v>7.0999999999999994E-2</v>
      </c>
      <c r="F15" s="63">
        <v>-0.33300000000000002</v>
      </c>
      <c r="G15" s="63">
        <v>0.6</v>
      </c>
      <c r="H15" s="63">
        <v>6.3E-2</v>
      </c>
      <c r="I15" s="63">
        <v>6.3E-2</v>
      </c>
      <c r="J15" s="63">
        <v>6.3E-2</v>
      </c>
      <c r="K15" s="63">
        <v>6.3E-2</v>
      </c>
      <c r="L15" s="63">
        <v>6.3E-2</v>
      </c>
      <c r="M15" s="63">
        <v>6.3E-2</v>
      </c>
      <c r="N15" s="63">
        <v>6.3E-2</v>
      </c>
    </row>
    <row r="16" spans="1:15" x14ac:dyDescent="0.3">
      <c r="A16" s="41" t="s">
        <v>133</v>
      </c>
      <c r="B16" s="46">
        <f>+IFERROR(B14/B$3,"nm")</f>
        <v>3.9214404758014444E-2</v>
      </c>
      <c r="C16" s="46">
        <f t="shared" ref="C16:I16" si="1">+IFERROR(C14/C$3,"nm")</f>
        <v>4.0153199901161354E-2</v>
      </c>
      <c r="D16" s="46">
        <f t="shared" si="1"/>
        <v>3.9301310043668124E-2</v>
      </c>
      <c r="E16" s="46">
        <f t="shared" si="1"/>
        <v>3.8464708629832131E-2</v>
      </c>
      <c r="F16" s="46">
        <f t="shared" si="1"/>
        <v>3.8346498964644531E-2</v>
      </c>
      <c r="G16" s="46">
        <f t="shared" si="1"/>
        <v>2.6735823329679439E-2</v>
      </c>
      <c r="H16" s="46">
        <f t="shared" si="1"/>
        <v>3.5924379181822265E-2</v>
      </c>
      <c r="I16" s="46">
        <f t="shared" si="1"/>
        <v>3.6394776279169344E-2</v>
      </c>
      <c r="J16" s="63">
        <v>3.5999999999999997E-2</v>
      </c>
      <c r="K16" s="63">
        <v>3.5999999999999997E-2</v>
      </c>
      <c r="L16" s="63">
        <v>3.5999999999999997E-2</v>
      </c>
      <c r="M16" s="63">
        <v>3.5999999999999997E-2</v>
      </c>
      <c r="N16" s="63">
        <v>3.5999999999999997E-2</v>
      </c>
    </row>
    <row r="17" spans="1:15" x14ac:dyDescent="0.3">
      <c r="A17" s="9" t="s">
        <v>141</v>
      </c>
      <c r="B17" s="61">
        <v>3011</v>
      </c>
      <c r="C17" s="61">
        <v>3520</v>
      </c>
      <c r="D17" s="61">
        <v>3989</v>
      </c>
      <c r="E17" s="61">
        <v>4544</v>
      </c>
      <c r="F17" s="61">
        <v>4744</v>
      </c>
      <c r="G17" s="61">
        <v>4866</v>
      </c>
      <c r="H17" s="61">
        <v>4904</v>
      </c>
      <c r="I17" s="61">
        <v>4791</v>
      </c>
      <c r="J17" s="61">
        <v>4680.8100000000004</v>
      </c>
      <c r="K17" s="61">
        <v>4573.1499999999996</v>
      </c>
      <c r="L17" s="61">
        <v>4467.97</v>
      </c>
      <c r="M17" s="61">
        <v>4365.2</v>
      </c>
      <c r="N17" s="61">
        <v>4264.8</v>
      </c>
      <c r="O17" t="s">
        <v>147</v>
      </c>
    </row>
    <row r="18" spans="1:15" x14ac:dyDescent="0.3">
      <c r="A18" s="41" t="s">
        <v>129</v>
      </c>
      <c r="B18" s="63">
        <v>0.16900000000000001</v>
      </c>
      <c r="C18" s="63">
        <v>0.13300000000000001</v>
      </c>
      <c r="D18" s="63">
        <v>0.14000000000000001</v>
      </c>
      <c r="E18" s="63">
        <v>0.14000000000000001</v>
      </c>
      <c r="F18" s="63">
        <v>4.3999999999999997E-2</v>
      </c>
      <c r="G18" s="63">
        <v>2.5999999999999999E-2</v>
      </c>
      <c r="H18" s="63">
        <v>8.0000000000000002E-3</v>
      </c>
      <c r="I18" s="63">
        <v>-2.3E-2</v>
      </c>
      <c r="J18" s="63">
        <v>-2.3E-2</v>
      </c>
      <c r="K18" s="63">
        <v>-2.3E-2</v>
      </c>
      <c r="L18" s="63">
        <v>-2.3E-2</v>
      </c>
      <c r="M18" s="63">
        <v>-2.3E-2</v>
      </c>
      <c r="N18" s="63">
        <v>-2.3E-2</v>
      </c>
    </row>
    <row r="19" spans="1:15" x14ac:dyDescent="0.3">
      <c r="A19" s="41" t="s">
        <v>133</v>
      </c>
      <c r="B19" s="63">
        <v>9.8000000000000004E-2</v>
      </c>
      <c r="C19" s="63">
        <v>0.109</v>
      </c>
      <c r="D19" s="63">
        <v>0.11600000000000001</v>
      </c>
      <c r="E19" s="63">
        <v>0.125</v>
      </c>
      <c r="F19" s="63">
        <v>0.121</v>
      </c>
      <c r="G19" s="63">
        <v>0.13</v>
      </c>
      <c r="H19" s="63">
        <v>0.11</v>
      </c>
      <c r="I19" s="63">
        <v>0.10299999999999999</v>
      </c>
      <c r="J19" s="63">
        <v>0.10299999999999999</v>
      </c>
      <c r="K19" s="63">
        <v>0.10299999999999999</v>
      </c>
      <c r="L19" s="63">
        <v>0.10299999999999999</v>
      </c>
      <c r="M19" s="63">
        <v>0.10299999999999999</v>
      </c>
      <c r="N19" s="63">
        <v>0.10299999999999999</v>
      </c>
    </row>
    <row r="20" spans="1:15" x14ac:dyDescent="0.3">
      <c r="A20" s="42" t="str">
        <f>+Historicals!A107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+[2]Historicals!H107</f>
        <v>17179</v>
      </c>
      <c r="I21" s="9">
        <f>+[2]Historicals!I107</f>
        <v>18353</v>
      </c>
      <c r="J21" s="9">
        <f>+SUM(J23+J27+J31)</f>
        <v>18353</v>
      </c>
      <c r="K21" s="9">
        <f t="shared" ref="K21:N21" si="2">+SUM(K23+K27+K31)</f>
        <v>18353</v>
      </c>
      <c r="L21" s="9">
        <f t="shared" si="2"/>
        <v>18353</v>
      </c>
      <c r="M21" s="9">
        <f t="shared" si="2"/>
        <v>18353</v>
      </c>
      <c r="N21" s="9">
        <f t="shared" si="2"/>
        <v>18353</v>
      </c>
    </row>
    <row r="22" spans="1:15" x14ac:dyDescent="0.3">
      <c r="A22" s="43" t="s">
        <v>129</v>
      </c>
      <c r="B22" s="46" t="str">
        <f t="shared" ref="B22:H22" si="3">+IFERROR(B21/A21-1,"nm")</f>
        <v>nm</v>
      </c>
      <c r="C22" s="46">
        <f t="shared" si="3"/>
        <v>7.4526928675400228E-2</v>
      </c>
      <c r="D22" s="46">
        <f t="shared" si="3"/>
        <v>3.0615009482525046E-2</v>
      </c>
      <c r="E22" s="46">
        <f t="shared" si="3"/>
        <v>-2.372502628811779E-2</v>
      </c>
      <c r="F22" s="46">
        <f t="shared" si="3"/>
        <v>7.0481319421070276E-2</v>
      </c>
      <c r="G22" s="46">
        <f t="shared" si="3"/>
        <v>-8.9171173437303519E-2</v>
      </c>
      <c r="H22" s="46">
        <f t="shared" si="3"/>
        <v>0.18606738470035911</v>
      </c>
      <c r="I22" s="46">
        <f>+IFERROR(I21/H21-1,"nm")</f>
        <v>6.8339251411607238E-2</v>
      </c>
      <c r="J22" s="46">
        <f t="shared" ref="J22:N22" si="4">+IFERROR(J21/I21-1,"nm")</f>
        <v>0</v>
      </c>
      <c r="K22" s="46">
        <f t="shared" si="4"/>
        <v>0</v>
      </c>
      <c r="L22" s="46">
        <f t="shared" si="4"/>
        <v>0</v>
      </c>
      <c r="M22" s="46">
        <f t="shared" si="4"/>
        <v>0</v>
      </c>
      <c r="N22" s="46">
        <f t="shared" si="4"/>
        <v>0</v>
      </c>
    </row>
    <row r="23" spans="1:15" x14ac:dyDescent="0.3">
      <c r="A23" s="44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+[2]Historicals!H108</f>
        <v>11644</v>
      </c>
      <c r="I23" s="3">
        <f>+[2]Historicals!I108</f>
        <v>12228</v>
      </c>
      <c r="J23" s="3">
        <f>+I23*(1+J24)</f>
        <v>12228</v>
      </c>
      <c r="K23" s="3">
        <f t="shared" ref="K23:N23" si="5">+J23*(1+K24)</f>
        <v>12228</v>
      </c>
      <c r="L23" s="3">
        <f t="shared" si="5"/>
        <v>12228</v>
      </c>
      <c r="M23" s="3">
        <f t="shared" si="5"/>
        <v>12228</v>
      </c>
      <c r="N23" s="3">
        <f t="shared" si="5"/>
        <v>12228</v>
      </c>
    </row>
    <row r="24" spans="1:15" x14ac:dyDescent="0.3">
      <c r="A24" s="43" t="s">
        <v>129</v>
      </c>
      <c r="B24" s="46" t="str">
        <f t="shared" ref="B24:H24" si="6">+IFERROR(B23/A23-1,"nm")</f>
        <v>nm</v>
      </c>
      <c r="C24" s="46">
        <f t="shared" si="6"/>
        <v>9.3228309428638578E-2</v>
      </c>
      <c r="D24" s="46">
        <f t="shared" si="6"/>
        <v>4.1402301322722934E-2</v>
      </c>
      <c r="E24" s="46">
        <f t="shared" si="6"/>
        <v>-3.7381247418422192E-2</v>
      </c>
      <c r="F24" s="46">
        <f t="shared" si="6"/>
        <v>7.755846384895948E-2</v>
      </c>
      <c r="G24" s="46">
        <f t="shared" si="6"/>
        <v>-7.1279243404678949E-2</v>
      </c>
      <c r="H24" s="46">
        <f t="shared" si="6"/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7">+K25+K26</f>
        <v>0</v>
      </c>
      <c r="L24" s="46">
        <f t="shared" si="7"/>
        <v>0</v>
      </c>
      <c r="M24" s="46">
        <f t="shared" si="7"/>
        <v>0</v>
      </c>
      <c r="N24" s="46">
        <f t="shared" si="7"/>
        <v>0</v>
      </c>
    </row>
    <row r="25" spans="1:15" x14ac:dyDescent="0.3">
      <c r="A25" s="43" t="s">
        <v>137</v>
      </c>
      <c r="B25" s="46">
        <f>+[1]Historicals!B180</f>
        <v>0.08</v>
      </c>
      <c r="C25" s="46">
        <f>+[1]Historicals!C180</f>
        <v>0.1</v>
      </c>
      <c r="D25" s="46">
        <f>+[1]Historicals!D180</f>
        <v>0.04</v>
      </c>
      <c r="E25" s="46">
        <f>+[1]Historicals!E180</f>
        <v>-0.04</v>
      </c>
      <c r="F25" s="46">
        <f>+[1]Historicals!F180</f>
        <v>0.08</v>
      </c>
      <c r="G25" s="46">
        <f>+[1]Historicals!G180</f>
        <v>-7.0000000000000007E-2</v>
      </c>
      <c r="H25" s="46">
        <f>+[2]Historicals!H180</f>
        <v>0.19</v>
      </c>
      <c r="I25" s="46">
        <f>+[2]Historicals!I180</f>
        <v>0.05</v>
      </c>
      <c r="J25" s="48">
        <v>0</v>
      </c>
      <c r="K25" s="48">
        <f t="shared" ref="K25:N26" si="8">+J25</f>
        <v>0</v>
      </c>
      <c r="L25" s="48">
        <f t="shared" si="8"/>
        <v>0</v>
      </c>
      <c r="M25" s="48">
        <f t="shared" si="8"/>
        <v>0</v>
      </c>
      <c r="N25" s="48">
        <f t="shared" si="8"/>
        <v>0</v>
      </c>
    </row>
    <row r="26" spans="1:15" x14ac:dyDescent="0.3">
      <c r="A26" s="43" t="s">
        <v>138</v>
      </c>
      <c r="B26" s="46" t="str">
        <f t="shared" ref="B26:H26" si="9">+IFERROR(B24-B25,"nm")</f>
        <v>nm</v>
      </c>
      <c r="C26" s="46">
        <f t="shared" si="9"/>
        <v>-6.7716905713614273E-3</v>
      </c>
      <c r="D26" s="46">
        <f t="shared" si="9"/>
        <v>1.4023013227229333E-3</v>
      </c>
      <c r="E26" s="46">
        <f t="shared" si="9"/>
        <v>2.6187525815778087E-3</v>
      </c>
      <c r="F26" s="46">
        <f t="shared" si="9"/>
        <v>-2.4415361510405215E-3</v>
      </c>
      <c r="G26" s="46">
        <f t="shared" si="9"/>
        <v>-1.2792434046789425E-3</v>
      </c>
      <c r="H26" s="46">
        <f t="shared" si="9"/>
        <v>5.815092721620746E-2</v>
      </c>
      <c r="I26" s="46">
        <f>+IFERROR(I24-I25,"nm")</f>
        <v>1.5458605290268046E-4</v>
      </c>
      <c r="J26" s="48">
        <v>0</v>
      </c>
      <c r="K26" s="48">
        <f t="shared" si="8"/>
        <v>0</v>
      </c>
      <c r="L26" s="48">
        <f t="shared" si="8"/>
        <v>0</v>
      </c>
      <c r="M26" s="48">
        <f t="shared" si="8"/>
        <v>0</v>
      </c>
      <c r="N26" s="48">
        <f t="shared" si="8"/>
        <v>0</v>
      </c>
    </row>
    <row r="27" spans="1:15" x14ac:dyDescent="0.3">
      <c r="A27" s="44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+[2]Historicals!H109</f>
        <v>5028</v>
      </c>
      <c r="I27" s="3">
        <f>+[2]Historicals!I109</f>
        <v>5492</v>
      </c>
      <c r="J27" s="3">
        <f>+I27*(1+J28)</f>
        <v>5492</v>
      </c>
      <c r="K27" s="3">
        <f t="shared" ref="K27:N27" si="10">+J27*(1+K28)</f>
        <v>5492</v>
      </c>
      <c r="L27" s="3">
        <f t="shared" si="10"/>
        <v>5492</v>
      </c>
      <c r="M27" s="3">
        <f t="shared" si="10"/>
        <v>5492</v>
      </c>
      <c r="N27" s="3">
        <f t="shared" si="10"/>
        <v>5492</v>
      </c>
    </row>
    <row r="28" spans="1:15" x14ac:dyDescent="0.3">
      <c r="A28" s="43" t="s">
        <v>129</v>
      </c>
      <c r="B28" s="46" t="str">
        <f t="shared" ref="B28:H28" si="11">+IFERROR(B27/A27-1,"nm")</f>
        <v>nm</v>
      </c>
      <c r="C28" s="46">
        <f t="shared" si="11"/>
        <v>7.6190476190476142E-2</v>
      </c>
      <c r="D28" s="46">
        <f t="shared" si="11"/>
        <v>2.9498525073746285E-2</v>
      </c>
      <c r="E28" s="46">
        <f t="shared" si="11"/>
        <v>1.0642652476463343E-2</v>
      </c>
      <c r="F28" s="46">
        <f t="shared" si="11"/>
        <v>6.5208586472256025E-2</v>
      </c>
      <c r="G28" s="46">
        <f t="shared" si="11"/>
        <v>-0.11806083650190113</v>
      </c>
      <c r="H28" s="46">
        <f t="shared" si="11"/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:N28" si="12">+K29+K30</f>
        <v>0</v>
      </c>
      <c r="L28" s="46">
        <f t="shared" si="12"/>
        <v>0</v>
      </c>
      <c r="M28" s="46">
        <f t="shared" si="12"/>
        <v>0</v>
      </c>
      <c r="N28" s="46">
        <f t="shared" si="12"/>
        <v>0</v>
      </c>
    </row>
    <row r="29" spans="1:15" x14ac:dyDescent="0.3">
      <c r="A29" s="43" t="s">
        <v>137</v>
      </c>
      <c r="B29" s="46">
        <f>+[1]Historicals!B184</f>
        <v>0.12</v>
      </c>
      <c r="C29" s="46">
        <f>+[1]Historicals!C184</f>
        <v>0.16</v>
      </c>
      <c r="D29" s="46">
        <f>+[1]Historicals!D184</f>
        <v>0.06</v>
      </c>
      <c r="E29" s="46">
        <f>+[1]Historicals!E184</f>
        <v>0.09</v>
      </c>
      <c r="F29" s="46">
        <f>+[1]Historicals!F184</f>
        <v>7.0000000000000007E-2</v>
      </c>
      <c r="G29" s="46">
        <f>+[1]Historicals!G184</f>
        <v>-0.06</v>
      </c>
      <c r="H29" s="46">
        <f>+[2]Historicals!H184</f>
        <v>0.17</v>
      </c>
      <c r="I29" s="46">
        <f>+[2]Historicals!I184</f>
        <v>0.09</v>
      </c>
      <c r="J29" s="48">
        <v>0</v>
      </c>
      <c r="K29" s="48">
        <f t="shared" ref="K29:N30" si="13">+J29</f>
        <v>0</v>
      </c>
      <c r="L29" s="48">
        <f t="shared" si="13"/>
        <v>0</v>
      </c>
      <c r="M29" s="48">
        <f t="shared" si="13"/>
        <v>0</v>
      </c>
      <c r="N29" s="48">
        <f t="shared" si="13"/>
        <v>0</v>
      </c>
    </row>
    <row r="30" spans="1:15" x14ac:dyDescent="0.3">
      <c r="A30" s="43" t="s">
        <v>138</v>
      </c>
      <c r="B30" s="46" t="str">
        <f t="shared" ref="B30:H30" si="14">+IFERROR(B28-B29,"nm")</f>
        <v>nm</v>
      </c>
      <c r="C30" s="46">
        <f t="shared" si="14"/>
        <v>-8.3809523809523861E-2</v>
      </c>
      <c r="D30" s="46">
        <f t="shared" si="14"/>
        <v>-3.0501474926253713E-2</v>
      </c>
      <c r="E30" s="46">
        <f t="shared" si="14"/>
        <v>-7.9357347523536653E-2</v>
      </c>
      <c r="F30" s="46">
        <f t="shared" si="14"/>
        <v>-4.7914135277439818E-3</v>
      </c>
      <c r="G30" s="46">
        <f t="shared" si="14"/>
        <v>-5.8060836501901136E-2</v>
      </c>
      <c r="H30" s="46">
        <f t="shared" si="14"/>
        <v>-8.6145721060573471E-2</v>
      </c>
      <c r="I30" s="46">
        <f>+IFERROR(I28-I29,"nm")</f>
        <v>2.2832140015910107E-3</v>
      </c>
      <c r="J30" s="48">
        <v>0</v>
      </c>
      <c r="K30" s="48">
        <f t="shared" si="13"/>
        <v>0</v>
      </c>
      <c r="L30" s="48">
        <f t="shared" si="13"/>
        <v>0</v>
      </c>
      <c r="M30" s="48">
        <f t="shared" si="13"/>
        <v>0</v>
      </c>
      <c r="N30" s="48">
        <f t="shared" si="13"/>
        <v>0</v>
      </c>
    </row>
    <row r="31" spans="1:15" x14ac:dyDescent="0.3">
      <c r="A31" s="44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+[2]Historicals!H110</f>
        <v>507</v>
      </c>
      <c r="I31" s="3">
        <f>+[2]Historicals!I110</f>
        <v>633</v>
      </c>
      <c r="J31" s="3">
        <f>+I31*(1+J32)</f>
        <v>633</v>
      </c>
      <c r="K31" s="3">
        <f t="shared" ref="K31:N31" si="15">+J31*(1+K32)</f>
        <v>633</v>
      </c>
      <c r="L31" s="3">
        <f t="shared" si="15"/>
        <v>633</v>
      </c>
      <c r="M31" s="3">
        <f t="shared" si="15"/>
        <v>633</v>
      </c>
      <c r="N31" s="3">
        <f t="shared" si="15"/>
        <v>633</v>
      </c>
    </row>
    <row r="32" spans="1:15" x14ac:dyDescent="0.3">
      <c r="A32" s="43" t="s">
        <v>129</v>
      </c>
      <c r="B32" s="46" t="str">
        <f t="shared" ref="B32:H32" si="16">+IFERROR(B31/A31-1,"nm")</f>
        <v>nm</v>
      </c>
      <c r="C32" s="46">
        <f t="shared" si="16"/>
        <v>-0.12742718446601942</v>
      </c>
      <c r="D32" s="46">
        <f t="shared" si="16"/>
        <v>-0.10152990264255912</v>
      </c>
      <c r="E32" s="46">
        <f t="shared" si="16"/>
        <v>-7.8947368421052655E-2</v>
      </c>
      <c r="F32" s="46">
        <f t="shared" si="16"/>
        <v>3.3613445378151141E-3</v>
      </c>
      <c r="G32" s="46">
        <f t="shared" si="16"/>
        <v>-0.13567839195979903</v>
      </c>
      <c r="H32" s="46">
        <f t="shared" si="16"/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:N32" si="17">+K33+K34</f>
        <v>0</v>
      </c>
      <c r="L32" s="46">
        <f t="shared" si="17"/>
        <v>0</v>
      </c>
      <c r="M32" s="46">
        <f t="shared" si="17"/>
        <v>0</v>
      </c>
      <c r="N32" s="46">
        <f t="shared" si="17"/>
        <v>0</v>
      </c>
    </row>
    <row r="33" spans="1:14" x14ac:dyDescent="0.3">
      <c r="A33" s="43" t="s">
        <v>137</v>
      </c>
      <c r="B33" s="46">
        <f>+[1]Historicals!B182</f>
        <v>-0.13</v>
      </c>
      <c r="C33" s="46">
        <f>+[1]Historicals!C182</f>
        <v>-0.13</v>
      </c>
      <c r="D33" s="46">
        <f>+[1]Historicals!D182</f>
        <v>-0.1</v>
      </c>
      <c r="E33" s="46">
        <f>+[1]Historicals!E182</f>
        <v>-0.08</v>
      </c>
      <c r="F33" s="46">
        <f>+[1]Historicals!F182</f>
        <v>0</v>
      </c>
      <c r="G33" s="46">
        <f>+[1]Historicals!G182</f>
        <v>-0.08</v>
      </c>
      <c r="H33" s="46">
        <f>+[2]Historicals!H182</f>
        <v>0.19</v>
      </c>
      <c r="I33" s="46">
        <f>+[2]Historicals!I182</f>
        <v>0.25</v>
      </c>
      <c r="J33" s="48">
        <v>0</v>
      </c>
      <c r="K33" s="48">
        <f t="shared" ref="K33:N34" si="18">+J33</f>
        <v>0</v>
      </c>
      <c r="L33" s="48">
        <f t="shared" si="18"/>
        <v>0</v>
      </c>
      <c r="M33" s="48">
        <f t="shared" si="18"/>
        <v>0</v>
      </c>
      <c r="N33" s="48">
        <f t="shared" si="18"/>
        <v>0</v>
      </c>
    </row>
    <row r="34" spans="1:14" x14ac:dyDescent="0.3">
      <c r="A34" s="43" t="s">
        <v>138</v>
      </c>
      <c r="B34" s="46" t="str">
        <f t="shared" ref="B34:H34" si="19">+IFERROR(B32-B33,"nm")</f>
        <v>nm</v>
      </c>
      <c r="C34" s="46">
        <f t="shared" si="19"/>
        <v>2.572815533980588E-3</v>
      </c>
      <c r="D34" s="46">
        <f t="shared" si="19"/>
        <v>-1.5299026425591167E-3</v>
      </c>
      <c r="E34" s="46">
        <f t="shared" si="19"/>
        <v>1.0526315789473467E-3</v>
      </c>
      <c r="F34" s="46">
        <f t="shared" si="19"/>
        <v>3.3613445378151141E-3</v>
      </c>
      <c r="G34" s="46">
        <f t="shared" si="19"/>
        <v>-5.5678391959799026E-2</v>
      </c>
      <c r="H34" s="46">
        <f t="shared" si="19"/>
        <v>-0.20744186046511631</v>
      </c>
      <c r="I34" s="46">
        <f>+IFERROR(I32-I33,"nm")</f>
        <v>-1.4792899408284654E-3</v>
      </c>
      <c r="J34" s="48">
        <v>0</v>
      </c>
      <c r="K34" s="48">
        <f t="shared" si="18"/>
        <v>0</v>
      </c>
      <c r="L34" s="48">
        <f t="shared" si="18"/>
        <v>0</v>
      </c>
      <c r="M34" s="48">
        <f t="shared" si="18"/>
        <v>0</v>
      </c>
      <c r="N34" s="48">
        <f t="shared" si="18"/>
        <v>0</v>
      </c>
    </row>
    <row r="35" spans="1:14" x14ac:dyDescent="0.3">
      <c r="A35" s="9" t="s">
        <v>130</v>
      </c>
      <c r="B35" s="47">
        <f t="shared" ref="B35:H35" si="20">+B42+B38</f>
        <v>3766</v>
      </c>
      <c r="C35" s="47">
        <f t="shared" si="20"/>
        <v>3896</v>
      </c>
      <c r="D35" s="47">
        <f t="shared" si="20"/>
        <v>4015</v>
      </c>
      <c r="E35" s="47">
        <f t="shared" si="20"/>
        <v>3760</v>
      </c>
      <c r="F35" s="47">
        <f t="shared" si="20"/>
        <v>4074</v>
      </c>
      <c r="G35" s="47">
        <f t="shared" si="20"/>
        <v>3047</v>
      </c>
      <c r="H35" s="47">
        <f t="shared" si="20"/>
        <v>5219</v>
      </c>
      <c r="I35" s="47">
        <f>+I42+I38</f>
        <v>5238</v>
      </c>
      <c r="J35" s="47">
        <f>+J21*J37</f>
        <v>5238</v>
      </c>
      <c r="K35" s="47">
        <f t="shared" ref="K35:N35" si="21">+K21*K37</f>
        <v>5238</v>
      </c>
      <c r="L35" s="47">
        <f t="shared" si="21"/>
        <v>5238</v>
      </c>
      <c r="M35" s="47">
        <f t="shared" si="21"/>
        <v>5238</v>
      </c>
      <c r="N35" s="47">
        <f t="shared" si="21"/>
        <v>5238</v>
      </c>
    </row>
    <row r="36" spans="1:14" x14ac:dyDescent="0.3">
      <c r="A36" s="45" t="s">
        <v>129</v>
      </c>
      <c r="B36" s="46" t="str">
        <f t="shared" ref="B36:H36" si="22">+IFERROR(B35/A35-1,"nm")</f>
        <v>nm</v>
      </c>
      <c r="C36" s="46">
        <f t="shared" si="22"/>
        <v>3.4519383961763239E-2</v>
      </c>
      <c r="D36" s="46">
        <f t="shared" si="22"/>
        <v>3.0544147843942548E-2</v>
      </c>
      <c r="E36" s="46">
        <f t="shared" si="22"/>
        <v>-6.3511830635118338E-2</v>
      </c>
      <c r="F36" s="46">
        <f t="shared" si="22"/>
        <v>8.3510638297872308E-2</v>
      </c>
      <c r="G36" s="46">
        <f t="shared" si="22"/>
        <v>-0.25208640157093765</v>
      </c>
      <c r="H36" s="46">
        <f t="shared" si="22"/>
        <v>0.71283229405973092</v>
      </c>
      <c r="I36" s="46">
        <f>+IFERROR(I35/H35-1,"nm")</f>
        <v>3.6405441655489312E-3</v>
      </c>
      <c r="J36" s="46">
        <f t="shared" ref="J36:N36" si="23">+IFERROR(J35/I35-1,"nm")</f>
        <v>0</v>
      </c>
      <c r="K36" s="46">
        <f t="shared" si="23"/>
        <v>0</v>
      </c>
      <c r="L36" s="46">
        <f t="shared" si="23"/>
        <v>0</v>
      </c>
      <c r="M36" s="46">
        <f t="shared" si="23"/>
        <v>0</v>
      </c>
      <c r="N36" s="46">
        <f t="shared" si="23"/>
        <v>0</v>
      </c>
    </row>
    <row r="37" spans="1:14" x14ac:dyDescent="0.3">
      <c r="A37" s="45" t="s">
        <v>131</v>
      </c>
      <c r="B37" s="46">
        <f t="shared" ref="B37:H37" si="24">+IFERROR(B35/B$21,"nm")</f>
        <v>0.27409024745269289</v>
      </c>
      <c r="C37" s="46">
        <f t="shared" si="24"/>
        <v>0.26388512598211866</v>
      </c>
      <c r="D37" s="46">
        <f t="shared" si="24"/>
        <v>0.26386698212407994</v>
      </c>
      <c r="E37" s="46">
        <f t="shared" si="24"/>
        <v>0.25311342982160889</v>
      </c>
      <c r="F37" s="46">
        <f t="shared" si="24"/>
        <v>0.25619418941013711</v>
      </c>
      <c r="G37" s="46">
        <f t="shared" si="24"/>
        <v>0.2103700635183651</v>
      </c>
      <c r="H37" s="46">
        <f t="shared" si="24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25">+J37</f>
        <v>0.28540293140086087</v>
      </c>
      <c r="L37" s="48">
        <f t="shared" si="25"/>
        <v>0.28540293140086087</v>
      </c>
      <c r="M37" s="48">
        <f t="shared" si="25"/>
        <v>0.28540293140086087</v>
      </c>
      <c r="N37" s="48">
        <f t="shared" si="25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+[2]Historicals!H167</f>
        <v>130</v>
      </c>
      <c r="I38" s="9">
        <f>+[2]Historicals!I167</f>
        <v>124</v>
      </c>
      <c r="J38" s="47">
        <f>+J41*J48</f>
        <v>124.00000000000001</v>
      </c>
      <c r="K38" s="47">
        <f t="shared" ref="K38:N38" si="26">+K41*K48</f>
        <v>124.00000000000001</v>
      </c>
      <c r="L38" s="47">
        <f t="shared" si="26"/>
        <v>124.00000000000001</v>
      </c>
      <c r="M38" s="47">
        <f t="shared" si="26"/>
        <v>124.00000000000001</v>
      </c>
      <c r="N38" s="47">
        <f t="shared" si="26"/>
        <v>124.00000000000001</v>
      </c>
    </row>
    <row r="39" spans="1:14" x14ac:dyDescent="0.3">
      <c r="A39" s="45" t="s">
        <v>129</v>
      </c>
      <c r="B39" s="46" t="str">
        <f t="shared" ref="B39:H39" si="27">+IFERROR(B38/A38-1,"nm")</f>
        <v>nm</v>
      </c>
      <c r="C39" s="46">
        <f t="shared" si="27"/>
        <v>9.9173553719008156E-2</v>
      </c>
      <c r="D39" s="46">
        <f t="shared" si="27"/>
        <v>5.2631578947368363E-2</v>
      </c>
      <c r="E39" s="46">
        <f t="shared" si="27"/>
        <v>0.14285714285714279</v>
      </c>
      <c r="F39" s="46">
        <f t="shared" si="27"/>
        <v>-6.8749999999999978E-2</v>
      </c>
      <c r="G39" s="46">
        <f t="shared" si="27"/>
        <v>-6.7114093959731447E-3</v>
      </c>
      <c r="H39" s="46">
        <f t="shared" si="27"/>
        <v>-0.1216216216216216</v>
      </c>
      <c r="I39" s="46">
        <f>+IFERROR(I38/H38-1,"nm")</f>
        <v>-4.6153846153846101E-2</v>
      </c>
      <c r="J39" s="46">
        <f t="shared" ref="J39:N39" si="28">+IFERROR(J38/I38-1,"nm")</f>
        <v>2.2204460492503131E-16</v>
      </c>
      <c r="K39" s="46">
        <f t="shared" si="28"/>
        <v>0</v>
      </c>
      <c r="L39" s="46">
        <f t="shared" si="28"/>
        <v>0</v>
      </c>
      <c r="M39" s="46">
        <f t="shared" si="28"/>
        <v>0</v>
      </c>
      <c r="N39" s="46">
        <f t="shared" si="28"/>
        <v>0</v>
      </c>
    </row>
    <row r="40" spans="1:14" x14ac:dyDescent="0.3">
      <c r="A40" s="45" t="s">
        <v>133</v>
      </c>
      <c r="B40" s="46">
        <f t="shared" ref="B40:H40" si="29">+IFERROR(B38/B$21,"nm")</f>
        <v>8.8064046579330417E-3</v>
      </c>
      <c r="C40" s="46">
        <f t="shared" si="29"/>
        <v>9.0083988079111346E-3</v>
      </c>
      <c r="D40" s="46">
        <f t="shared" si="29"/>
        <v>9.2008412197686646E-3</v>
      </c>
      <c r="E40" s="46">
        <f t="shared" si="29"/>
        <v>1.0770784247728038E-2</v>
      </c>
      <c r="F40" s="46">
        <f t="shared" si="29"/>
        <v>9.3698905798012821E-3</v>
      </c>
      <c r="G40" s="46">
        <f t="shared" si="29"/>
        <v>1.0218171775752554E-2</v>
      </c>
      <c r="H40" s="46">
        <f t="shared" si="29"/>
        <v>7.5673787764130628E-3</v>
      </c>
      <c r="I40" s="46">
        <f>+IFERROR(I38/I$21,"nm")</f>
        <v>6.7563886013185855E-3</v>
      </c>
      <c r="J40" s="46">
        <f t="shared" ref="J40:N40" si="30">+IFERROR(J38/J$21,"nm")</f>
        <v>6.7563886013185864E-3</v>
      </c>
      <c r="K40" s="46">
        <f t="shared" si="30"/>
        <v>6.7563886013185864E-3</v>
      </c>
      <c r="L40" s="46">
        <f t="shared" si="30"/>
        <v>6.7563886013185864E-3</v>
      </c>
      <c r="M40" s="46">
        <f t="shared" si="30"/>
        <v>6.7563886013185864E-3</v>
      </c>
      <c r="N40" s="46">
        <f t="shared" si="30"/>
        <v>6.7563886013185864E-3</v>
      </c>
    </row>
    <row r="41" spans="1:14" x14ac:dyDescent="0.3">
      <c r="A41" s="45" t="s">
        <v>140</v>
      </c>
      <c r="B41" s="46">
        <f t="shared" ref="B41:H41" si="31">+IFERROR(B38/B48,"nm")</f>
        <v>0.19145569620253164</v>
      </c>
      <c r="C41" s="46">
        <f t="shared" si="31"/>
        <v>0.17924528301886791</v>
      </c>
      <c r="D41" s="46">
        <f t="shared" si="31"/>
        <v>0.17094017094017094</v>
      </c>
      <c r="E41" s="46">
        <f t="shared" si="31"/>
        <v>0.18867924528301888</v>
      </c>
      <c r="F41" s="46">
        <f t="shared" si="31"/>
        <v>0.18304668304668303</v>
      </c>
      <c r="G41" s="46">
        <f t="shared" si="31"/>
        <v>0.22945736434108527</v>
      </c>
      <c r="H41" s="46">
        <f t="shared" si="31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32">+J41</f>
        <v>0.19405320813771518</v>
      </c>
      <c r="L41" s="48">
        <f t="shared" si="32"/>
        <v>0.19405320813771518</v>
      </c>
      <c r="M41" s="48">
        <f t="shared" si="32"/>
        <v>0.19405320813771518</v>
      </c>
      <c r="N41" s="48">
        <f t="shared" si="32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+[2]Historicals!H134</f>
        <v>5089</v>
      </c>
      <c r="I42" s="9">
        <f>+[2]Historicals!I134</f>
        <v>5114</v>
      </c>
      <c r="J42" s="9">
        <f>+J35-J38</f>
        <v>5114</v>
      </c>
      <c r="K42" s="9">
        <f t="shared" ref="K42:N42" si="33">+K35-K38</f>
        <v>5114</v>
      </c>
      <c r="L42" s="9">
        <f t="shared" si="33"/>
        <v>5114</v>
      </c>
      <c r="M42" s="9">
        <f t="shared" si="33"/>
        <v>5114</v>
      </c>
      <c r="N42" s="9">
        <f t="shared" si="33"/>
        <v>5114</v>
      </c>
    </row>
    <row r="43" spans="1:14" x14ac:dyDescent="0.3">
      <c r="A43" s="45" t="s">
        <v>129</v>
      </c>
      <c r="B43" s="46" t="str">
        <f t="shared" ref="B43:H43" si="34">+IFERROR(B42/A42-1,"nm")</f>
        <v>nm</v>
      </c>
      <c r="C43" s="46">
        <f t="shared" si="34"/>
        <v>3.2373113854595292E-2</v>
      </c>
      <c r="D43" s="46">
        <f t="shared" si="34"/>
        <v>2.9763486579856391E-2</v>
      </c>
      <c r="E43" s="46">
        <f t="shared" si="34"/>
        <v>-7.096774193548383E-2</v>
      </c>
      <c r="F43" s="46">
        <f t="shared" si="34"/>
        <v>9.0277777777777679E-2</v>
      </c>
      <c r="G43" s="46">
        <f t="shared" si="34"/>
        <v>-0.26140127388535028</v>
      </c>
      <c r="H43" s="46">
        <f t="shared" si="34"/>
        <v>0.75543290789927564</v>
      </c>
      <c r="I43" s="46">
        <f>+IFERROR(I42/H42-1,"nm")</f>
        <v>4.9125564943997002E-3</v>
      </c>
      <c r="J43" s="46">
        <f t="shared" ref="J43:N43" si="35">+IFERROR(J42/I42-1,"nm")</f>
        <v>0</v>
      </c>
      <c r="K43" s="46">
        <f t="shared" si="35"/>
        <v>0</v>
      </c>
      <c r="L43" s="46">
        <f t="shared" si="35"/>
        <v>0</v>
      </c>
      <c r="M43" s="46">
        <f t="shared" si="35"/>
        <v>0</v>
      </c>
      <c r="N43" s="46">
        <f t="shared" si="35"/>
        <v>0</v>
      </c>
    </row>
    <row r="44" spans="1:14" x14ac:dyDescent="0.3">
      <c r="A44" s="45" t="s">
        <v>131</v>
      </c>
      <c r="B44" s="46">
        <f t="shared" ref="B44:H44" si="36">+IFERROR(B42/B$21,"nm")</f>
        <v>0.26528384279475981</v>
      </c>
      <c r="C44" s="46">
        <f t="shared" si="36"/>
        <v>0.25487672717420751</v>
      </c>
      <c r="D44" s="46">
        <f t="shared" si="36"/>
        <v>0.25466614090431128</v>
      </c>
      <c r="E44" s="46">
        <f t="shared" si="36"/>
        <v>0.24234264557388085</v>
      </c>
      <c r="F44" s="46">
        <f t="shared" si="36"/>
        <v>0.2468242988303358</v>
      </c>
      <c r="G44" s="46">
        <f t="shared" si="36"/>
        <v>0.20015189174261253</v>
      </c>
      <c r="H44" s="46">
        <f t="shared" si="36"/>
        <v>0.29623377379358518</v>
      </c>
      <c r="I44" s="46">
        <f>+IFERROR(I42/I$21,"nm")</f>
        <v>0.27864654279954232</v>
      </c>
      <c r="J44" s="46">
        <f t="shared" ref="J44:N44" si="37">+IFERROR(J42/J$21,"nm")</f>
        <v>0.27864654279954232</v>
      </c>
      <c r="K44" s="46">
        <f t="shared" si="37"/>
        <v>0.27864654279954232</v>
      </c>
      <c r="L44" s="46">
        <f t="shared" si="37"/>
        <v>0.27864654279954232</v>
      </c>
      <c r="M44" s="46">
        <f t="shared" si="37"/>
        <v>0.27864654279954232</v>
      </c>
      <c r="N44" s="46">
        <f t="shared" si="37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+[2]Historicals!H156</f>
        <v>98</v>
      </c>
      <c r="I45" s="9">
        <f>+[2]Historicals!I156</f>
        <v>146</v>
      </c>
      <c r="J45" s="47">
        <f>+J21*J47</f>
        <v>146</v>
      </c>
      <c r="K45" s="47">
        <f t="shared" ref="K45:N45" si="38">+K21*K47</f>
        <v>146</v>
      </c>
      <c r="L45" s="47">
        <f t="shared" si="38"/>
        <v>146</v>
      </c>
      <c r="M45" s="47">
        <f t="shared" si="38"/>
        <v>146</v>
      </c>
      <c r="N45" s="47">
        <f t="shared" si="38"/>
        <v>146</v>
      </c>
    </row>
    <row r="46" spans="1:14" x14ac:dyDescent="0.3">
      <c r="A46" s="45" t="s">
        <v>129</v>
      </c>
      <c r="B46" s="46" t="str">
        <f t="shared" ref="B46:H46" si="39">+IFERROR(B45/A45-1,"nm")</f>
        <v>nm</v>
      </c>
      <c r="C46" s="46">
        <f t="shared" si="39"/>
        <v>0.16346153846153855</v>
      </c>
      <c r="D46" s="46">
        <f t="shared" si="39"/>
        <v>-7.8512396694214837E-2</v>
      </c>
      <c r="E46" s="46">
        <f t="shared" si="39"/>
        <v>-0.12107623318385652</v>
      </c>
      <c r="F46" s="46">
        <f t="shared" si="39"/>
        <v>-0.40306122448979587</v>
      </c>
      <c r="G46" s="46">
        <f t="shared" si="39"/>
        <v>-5.9829059829059839E-2</v>
      </c>
      <c r="H46" s="46">
        <f t="shared" si="39"/>
        <v>-0.10909090909090913</v>
      </c>
      <c r="I46" s="46">
        <f>+IFERROR(I45/H45-1,"nm")</f>
        <v>0.48979591836734704</v>
      </c>
      <c r="J46" s="46">
        <f t="shared" ref="J46:N46" si="40">+IFERROR(J45/I45-1,"nm")</f>
        <v>0</v>
      </c>
      <c r="K46" s="46">
        <f t="shared" si="40"/>
        <v>0</v>
      </c>
      <c r="L46" s="46">
        <f t="shared" si="40"/>
        <v>0</v>
      </c>
      <c r="M46" s="46">
        <f t="shared" si="40"/>
        <v>0</v>
      </c>
      <c r="N46" s="46">
        <f t="shared" si="40"/>
        <v>0</v>
      </c>
    </row>
    <row r="47" spans="1:14" x14ac:dyDescent="0.3">
      <c r="A47" s="45" t="s">
        <v>133</v>
      </c>
      <c r="B47" s="46">
        <f t="shared" ref="B47:H47" si="41">+IFERROR(B45/B$21,"nm")</f>
        <v>1.5138282387190683E-2</v>
      </c>
      <c r="C47" s="46">
        <f t="shared" si="41"/>
        <v>1.6391221891086428E-2</v>
      </c>
      <c r="D47" s="46">
        <f t="shared" si="41"/>
        <v>1.4655625657202945E-2</v>
      </c>
      <c r="E47" s="46">
        <f t="shared" si="41"/>
        <v>1.3194210703466847E-2</v>
      </c>
      <c r="F47" s="46">
        <f t="shared" si="41"/>
        <v>7.3575650861526856E-3</v>
      </c>
      <c r="G47" s="46">
        <f t="shared" si="41"/>
        <v>7.5945871306268989E-3</v>
      </c>
      <c r="H47" s="46">
        <f t="shared" si="41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42">+J47</f>
        <v>7.9551027080041418E-3</v>
      </c>
      <c r="L47" s="48">
        <f t="shared" si="42"/>
        <v>7.9551027080041418E-3</v>
      </c>
      <c r="M47" s="48">
        <f t="shared" si="42"/>
        <v>7.9551027080041418E-3</v>
      </c>
      <c r="N47" s="48">
        <f t="shared" si="42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+[2]Historicals!H145</f>
        <v>617</v>
      </c>
      <c r="I48" s="9">
        <f>+[2]Historicals!I145</f>
        <v>639</v>
      </c>
      <c r="J48" s="47">
        <f>+J21*J50</f>
        <v>639.00000000000011</v>
      </c>
      <c r="K48" s="47">
        <f t="shared" ref="K48:N48" si="43">+K21*K50</f>
        <v>639.00000000000011</v>
      </c>
      <c r="L48" s="47">
        <f t="shared" si="43"/>
        <v>639.00000000000011</v>
      </c>
      <c r="M48" s="47">
        <f t="shared" si="43"/>
        <v>639.00000000000011</v>
      </c>
      <c r="N48" s="47">
        <f t="shared" si="43"/>
        <v>639.00000000000011</v>
      </c>
    </row>
    <row r="49" spans="1:14" x14ac:dyDescent="0.3">
      <c r="A49" s="45" t="s">
        <v>129</v>
      </c>
      <c r="B49" s="46" t="str">
        <f t="shared" ref="B49:H49" si="44">+IFERROR(B48/A48-1,"nm")</f>
        <v>nm</v>
      </c>
      <c r="C49" s="46">
        <f t="shared" si="44"/>
        <v>0.17405063291139244</v>
      </c>
      <c r="D49" s="46">
        <f t="shared" si="44"/>
        <v>0.10377358490566047</v>
      </c>
      <c r="E49" s="46">
        <f t="shared" si="44"/>
        <v>3.5409035409035505E-2</v>
      </c>
      <c r="F49" s="46">
        <f t="shared" si="44"/>
        <v>-4.0094339622641528E-2</v>
      </c>
      <c r="G49" s="46">
        <f t="shared" si="44"/>
        <v>-0.20761670761670759</v>
      </c>
      <c r="H49" s="46">
        <f t="shared" si="44"/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:N49" si="45">+K50+K51</f>
        <v>3.4817196098730456E-2</v>
      </c>
      <c r="L49" s="46">
        <f t="shared" si="45"/>
        <v>3.4817196098730456E-2</v>
      </c>
      <c r="M49" s="46">
        <f t="shared" si="45"/>
        <v>3.4817196098730456E-2</v>
      </c>
      <c r="N49" s="46">
        <f t="shared" si="45"/>
        <v>3.4817196098730456E-2</v>
      </c>
    </row>
    <row r="50" spans="1:14" x14ac:dyDescent="0.3">
      <c r="A50" s="45" t="s">
        <v>133</v>
      </c>
      <c r="B50" s="46">
        <f t="shared" ref="B50:H50" si="46">+IFERROR(B48/B$21,"nm")</f>
        <v>4.599708879184862E-2</v>
      </c>
      <c r="C50" s="46">
        <f t="shared" si="46"/>
        <v>5.0257382823083174E-2</v>
      </c>
      <c r="D50" s="46">
        <f t="shared" si="46"/>
        <v>5.3824921135646686E-2</v>
      </c>
      <c r="E50" s="46">
        <f t="shared" si="46"/>
        <v>5.7085156512958597E-2</v>
      </c>
      <c r="F50" s="46">
        <f t="shared" si="46"/>
        <v>5.1188529744686205E-2</v>
      </c>
      <c r="G50" s="46">
        <f t="shared" si="46"/>
        <v>4.4531897265948632E-2</v>
      </c>
      <c r="H50" s="46">
        <f t="shared" si="46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47">+J50</f>
        <v>3.4817196098730456E-2</v>
      </c>
      <c r="L50" s="48">
        <f t="shared" si="47"/>
        <v>3.4817196098730456E-2</v>
      </c>
      <c r="M50" s="48">
        <f t="shared" si="47"/>
        <v>3.4817196098730456E-2</v>
      </c>
      <c r="N50" s="48">
        <f t="shared" si="47"/>
        <v>3.4817196098730456E-2</v>
      </c>
    </row>
    <row r="51" spans="1:14" x14ac:dyDescent="0.3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61">
        <v>5709</v>
      </c>
      <c r="C52" s="61">
        <v>5884</v>
      </c>
      <c r="D52" s="61">
        <v>7970</v>
      </c>
      <c r="E52" s="61">
        <v>9242</v>
      </c>
      <c r="F52" s="61">
        <v>9812</v>
      </c>
      <c r="G52" s="61">
        <v>9347</v>
      </c>
      <c r="H52" s="61">
        <v>11456</v>
      </c>
      <c r="I52" s="61">
        <v>12479</v>
      </c>
      <c r="J52" s="76">
        <v>14350.85</v>
      </c>
      <c r="K52" s="76">
        <v>15642.4265</v>
      </c>
      <c r="L52" s="76">
        <v>16893.820619999999</v>
      </c>
      <c r="M52" s="76">
        <v>18076.388063400009</v>
      </c>
      <c r="N52" s="76">
        <v>19160.971347204009</v>
      </c>
    </row>
    <row r="53" spans="1:14" x14ac:dyDescent="0.3">
      <c r="A53" s="43" t="s">
        <v>129</v>
      </c>
      <c r="B53" s="62">
        <v>0.15</v>
      </c>
      <c r="C53" s="62">
        <v>0.03</v>
      </c>
      <c r="D53" s="62">
        <v>0.16</v>
      </c>
      <c r="E53" s="62">
        <v>0.16</v>
      </c>
      <c r="F53" s="62">
        <v>0.05</v>
      </c>
      <c r="G53" s="62">
        <v>-0.05</v>
      </c>
      <c r="H53" s="62">
        <v>0.23</v>
      </c>
      <c r="I53" s="62">
        <v>0.09</v>
      </c>
      <c r="J53" s="46">
        <f t="shared" ref="J53" si="48">+IFERROR(J52/I52-1,"nm")</f>
        <v>0.15000000000000013</v>
      </c>
      <c r="K53" s="46">
        <f t="shared" ref="K53" si="49">+IFERROR(K52/J52-1,"nm")</f>
        <v>8.9999999999999858E-2</v>
      </c>
      <c r="L53" s="46">
        <f t="shared" ref="L53" si="50">+IFERROR(L52/K52-1,"nm")</f>
        <v>7.9999999999999849E-2</v>
      </c>
      <c r="M53" s="46">
        <f t="shared" ref="M53" si="51">+IFERROR(M52/L52-1,"nm")</f>
        <v>7.0000000000000506E-2</v>
      </c>
      <c r="N53" s="46">
        <f t="shared" ref="N53" si="52">+IFERROR(N52/M52-1,"nm")</f>
        <v>6.0000000000000053E-2</v>
      </c>
    </row>
    <row r="54" spans="1:14" x14ac:dyDescent="0.3">
      <c r="A54" s="44" t="s">
        <v>113</v>
      </c>
      <c r="B54" s="72">
        <v>3876</v>
      </c>
      <c r="C54" s="72">
        <v>3985</v>
      </c>
      <c r="D54" s="72">
        <v>5192</v>
      </c>
      <c r="E54" s="72">
        <v>5875</v>
      </c>
      <c r="F54" s="72">
        <v>6293</v>
      </c>
      <c r="G54" s="72">
        <v>5892</v>
      </c>
      <c r="H54" s="72">
        <v>6970</v>
      </c>
      <c r="I54" s="72">
        <v>8377</v>
      </c>
      <c r="J54" s="75">
        <v>9801.09</v>
      </c>
      <c r="K54" s="75">
        <v>10781.199000000001</v>
      </c>
      <c r="L54" s="75">
        <v>11751.50691</v>
      </c>
      <c r="M54" s="75">
        <v>12691.627462799999</v>
      </c>
      <c r="N54" s="75">
        <v>13580.041385196</v>
      </c>
    </row>
    <row r="55" spans="1:14" x14ac:dyDescent="0.3">
      <c r="A55" s="43" t="s">
        <v>129</v>
      </c>
      <c r="B55" s="62">
        <v>0.17</v>
      </c>
      <c r="C55" s="62">
        <v>0.03</v>
      </c>
      <c r="D55" s="62">
        <v>0.13</v>
      </c>
      <c r="E55" s="62">
        <v>7.0000000000000007E-2</v>
      </c>
      <c r="F55" s="62">
        <v>0.06</v>
      </c>
      <c r="G55" s="62">
        <v>-0.06</v>
      </c>
      <c r="H55" s="62">
        <v>0.18</v>
      </c>
      <c r="I55" s="62">
        <v>7.0000000000000007E-2</v>
      </c>
      <c r="J55" s="46">
        <f>+J56+J57</f>
        <v>0</v>
      </c>
      <c r="K55" s="46">
        <f t="shared" ref="K55:N55" si="53">+K56+K57</f>
        <v>0</v>
      </c>
      <c r="L55" s="46">
        <f t="shared" si="53"/>
        <v>0</v>
      </c>
      <c r="M55" s="46">
        <f t="shared" si="53"/>
        <v>0</v>
      </c>
      <c r="N55" s="46">
        <f t="shared" si="53"/>
        <v>0</v>
      </c>
    </row>
    <row r="56" spans="1:14" x14ac:dyDescent="0.3">
      <c r="A56" s="43" t="s">
        <v>137</v>
      </c>
      <c r="B56" s="62">
        <v>0.1</v>
      </c>
      <c r="C56" s="62">
        <v>0.12</v>
      </c>
      <c r="D56" s="62">
        <v>0.09</v>
      </c>
      <c r="E56" s="62">
        <v>0.05</v>
      </c>
      <c r="F56" s="62">
        <v>0.04</v>
      </c>
      <c r="G56" s="62">
        <v>-0.03</v>
      </c>
      <c r="H56" s="62">
        <v>0.13</v>
      </c>
      <c r="I56" s="62">
        <v>0.1</v>
      </c>
      <c r="J56" s="48">
        <v>0</v>
      </c>
      <c r="K56" s="48">
        <f t="shared" ref="K56:K57" si="54">+J56</f>
        <v>0</v>
      </c>
      <c r="L56" s="48">
        <f t="shared" ref="L56:L57" si="55">+K56</f>
        <v>0</v>
      </c>
      <c r="M56" s="48">
        <f t="shared" ref="M56:M57" si="56">+L56</f>
        <v>0</v>
      </c>
      <c r="N56" s="48">
        <f t="shared" ref="N56:N57" si="57">+M56</f>
        <v>0</v>
      </c>
    </row>
    <row r="57" spans="1:14" x14ac:dyDescent="0.3">
      <c r="A57" s="43" t="s">
        <v>138</v>
      </c>
      <c r="B57" s="62">
        <v>7.0000000000000007E-2</v>
      </c>
      <c r="C57" s="62">
        <v>0.06</v>
      </c>
      <c r="D57" s="62">
        <v>0.04</v>
      </c>
      <c r="E57" s="62">
        <v>0.02</v>
      </c>
      <c r="F57" s="62">
        <v>0.02</v>
      </c>
      <c r="G57" s="62">
        <v>-0.03</v>
      </c>
      <c r="H57" s="62">
        <v>0.05</v>
      </c>
      <c r="I57" s="62">
        <v>0.02</v>
      </c>
      <c r="J57" s="48">
        <v>0</v>
      </c>
      <c r="K57" s="48">
        <f t="shared" si="54"/>
        <v>0</v>
      </c>
      <c r="L57" s="48">
        <f t="shared" si="55"/>
        <v>0</v>
      </c>
      <c r="M57" s="48">
        <f t="shared" si="56"/>
        <v>0</v>
      </c>
      <c r="N57" s="48">
        <f t="shared" si="57"/>
        <v>0</v>
      </c>
    </row>
    <row r="58" spans="1:14" x14ac:dyDescent="0.3">
      <c r="A58" s="44" t="s">
        <v>114</v>
      </c>
      <c r="B58" s="72">
        <v>1555</v>
      </c>
      <c r="C58" s="72">
        <v>1628</v>
      </c>
      <c r="D58" s="72">
        <v>2395</v>
      </c>
      <c r="E58" s="72">
        <v>2940</v>
      </c>
      <c r="F58" s="72">
        <v>3087</v>
      </c>
      <c r="G58" s="72">
        <v>3053</v>
      </c>
      <c r="H58" s="72">
        <v>3996</v>
      </c>
      <c r="I58" s="72">
        <v>4102</v>
      </c>
      <c r="J58" s="75">
        <v>4635.2599999999993</v>
      </c>
      <c r="K58" s="75">
        <v>5191.4911999999986</v>
      </c>
      <c r="L58" s="75">
        <v>5710.6403200000004</v>
      </c>
      <c r="M58" s="75">
        <v>6224.5979488000003</v>
      </c>
      <c r="N58" s="75">
        <v>6722.5657847040011</v>
      </c>
    </row>
    <row r="59" spans="1:14" x14ac:dyDescent="0.3">
      <c r="A59" s="43" t="s">
        <v>129</v>
      </c>
      <c r="B59" s="62">
        <v>0.09</v>
      </c>
      <c r="C59" s="62">
        <v>0.05</v>
      </c>
      <c r="D59" s="62">
        <v>0.23</v>
      </c>
      <c r="E59" s="62">
        <v>0.05</v>
      </c>
      <c r="F59" s="62">
        <v>0.06</v>
      </c>
      <c r="G59" s="62">
        <v>-0.01</v>
      </c>
      <c r="H59" s="62">
        <v>0.31</v>
      </c>
      <c r="I59" s="62">
        <v>0.13</v>
      </c>
      <c r="J59" s="46">
        <f>+J60+J61</f>
        <v>0</v>
      </c>
      <c r="K59" s="46">
        <f t="shared" ref="K59:N59" si="58">+K60+K61</f>
        <v>0</v>
      </c>
      <c r="L59" s="46">
        <f t="shared" si="58"/>
        <v>0</v>
      </c>
      <c r="M59" s="46">
        <f t="shared" si="58"/>
        <v>0</v>
      </c>
      <c r="N59" s="46">
        <f t="shared" si="58"/>
        <v>0</v>
      </c>
    </row>
    <row r="60" spans="1:14" x14ac:dyDescent="0.3">
      <c r="A60" s="43" t="s">
        <v>137</v>
      </c>
      <c r="B60" s="62">
        <v>0.05</v>
      </c>
      <c r="C60" s="62">
        <v>0.03</v>
      </c>
      <c r="D60" s="62">
        <v>0.16</v>
      </c>
      <c r="E60" s="62">
        <v>0.03</v>
      </c>
      <c r="F60" s="62">
        <v>0.04</v>
      </c>
      <c r="G60" s="62">
        <v>0.02</v>
      </c>
      <c r="H60" s="62">
        <v>0.25</v>
      </c>
      <c r="I60" s="62">
        <v>0.15</v>
      </c>
      <c r="J60" s="48">
        <v>0</v>
      </c>
      <c r="K60" s="48">
        <f t="shared" ref="K60:K61" si="59">+J60</f>
        <v>0</v>
      </c>
      <c r="L60" s="48">
        <f t="shared" ref="L60:L61" si="60">+K60</f>
        <v>0</v>
      </c>
      <c r="M60" s="48">
        <f t="shared" ref="M60:M61" si="61">+L60</f>
        <v>0</v>
      </c>
      <c r="N60" s="48">
        <f t="shared" ref="N60:N61" si="62">+M60</f>
        <v>0</v>
      </c>
    </row>
    <row r="61" spans="1:14" x14ac:dyDescent="0.3">
      <c r="A61" s="43" t="s">
        <v>138</v>
      </c>
      <c r="B61" s="62">
        <v>0.04</v>
      </c>
      <c r="C61" s="62">
        <v>0.02</v>
      </c>
      <c r="D61" s="62">
        <v>7.0000000000000007E-2</v>
      </c>
      <c r="E61" s="62">
        <v>0.02</v>
      </c>
      <c r="F61" s="62">
        <v>0.02</v>
      </c>
      <c r="G61" s="62">
        <v>-0.03</v>
      </c>
      <c r="H61" s="62">
        <v>0.06</v>
      </c>
      <c r="I61" s="62">
        <v>-0.02</v>
      </c>
      <c r="J61" s="48">
        <v>0</v>
      </c>
      <c r="K61" s="48">
        <f t="shared" si="59"/>
        <v>0</v>
      </c>
      <c r="L61" s="48">
        <f t="shared" si="60"/>
        <v>0</v>
      </c>
      <c r="M61" s="48">
        <f t="shared" si="61"/>
        <v>0</v>
      </c>
      <c r="N61" s="48">
        <f t="shared" si="62"/>
        <v>0</v>
      </c>
    </row>
    <row r="62" spans="1:14" x14ac:dyDescent="0.3">
      <c r="A62" s="44" t="s">
        <v>115</v>
      </c>
      <c r="B62" s="72">
        <v>278</v>
      </c>
      <c r="C62" s="72">
        <v>271</v>
      </c>
      <c r="D62" s="72">
        <v>383</v>
      </c>
      <c r="E62" s="72">
        <v>427</v>
      </c>
      <c r="F62" s="72">
        <v>432</v>
      </c>
      <c r="G62" s="72">
        <v>402</v>
      </c>
      <c r="H62" s="72">
        <v>490</v>
      </c>
      <c r="I62" s="72">
        <v>490</v>
      </c>
      <c r="J62" s="75">
        <v>543.90000000000009</v>
      </c>
      <c r="K62" s="75">
        <v>598.29000000000019</v>
      </c>
      <c r="L62" s="75">
        <v>652.13610000000028</v>
      </c>
      <c r="M62" s="75">
        <v>704.30698800000039</v>
      </c>
      <c r="N62" s="75">
        <v>753.60847716000046</v>
      </c>
    </row>
    <row r="63" spans="1:14" x14ac:dyDescent="0.3">
      <c r="A63" s="43" t="s">
        <v>129</v>
      </c>
      <c r="B63" s="62">
        <v>0.1</v>
      </c>
      <c r="C63" s="62">
        <v>-0.02</v>
      </c>
      <c r="D63" s="62">
        <v>0.11</v>
      </c>
      <c r="E63" s="62">
        <v>0.01</v>
      </c>
      <c r="F63" s="63">
        <v>5.0000000000000001E-3</v>
      </c>
      <c r="G63" s="62">
        <v>-7.0000000000000007E-2</v>
      </c>
      <c r="H63" s="62">
        <v>0.22</v>
      </c>
      <c r="I63" s="62">
        <v>0</v>
      </c>
      <c r="J63" s="46">
        <f>+J64+J65</f>
        <v>0</v>
      </c>
      <c r="K63" s="46">
        <f t="shared" ref="K63:N63" si="63">+K64+K65</f>
        <v>0</v>
      </c>
      <c r="L63" s="46">
        <f t="shared" si="63"/>
        <v>0</v>
      </c>
      <c r="M63" s="46">
        <f t="shared" si="63"/>
        <v>0</v>
      </c>
      <c r="N63" s="46">
        <f t="shared" si="63"/>
        <v>0</v>
      </c>
    </row>
    <row r="64" spans="1:14" x14ac:dyDescent="0.3">
      <c r="A64" s="43" t="s">
        <v>137</v>
      </c>
      <c r="B64" s="62">
        <v>0.06</v>
      </c>
      <c r="C64" s="62">
        <v>-0.01</v>
      </c>
      <c r="D64" s="62">
        <v>0.06</v>
      </c>
      <c r="E64" s="62">
        <v>0</v>
      </c>
      <c r="F64" s="63">
        <v>-5.0000000000000001E-3</v>
      </c>
      <c r="G64" s="62">
        <v>-0.03</v>
      </c>
      <c r="H64" s="62">
        <v>0.19</v>
      </c>
      <c r="I64" s="62">
        <v>0.01</v>
      </c>
      <c r="J64" s="48">
        <v>0</v>
      </c>
      <c r="K64" s="48">
        <f t="shared" ref="K64:K65" si="64">+J64</f>
        <v>0</v>
      </c>
      <c r="L64" s="48">
        <f t="shared" ref="L64:L65" si="65">+K64</f>
        <v>0</v>
      </c>
      <c r="M64" s="48">
        <f t="shared" ref="M64:M65" si="66">+L64</f>
        <v>0</v>
      </c>
      <c r="N64" s="48">
        <f t="shared" ref="N64:N65" si="67">+M64</f>
        <v>0</v>
      </c>
    </row>
    <row r="65" spans="1:14" x14ac:dyDescent="0.3">
      <c r="A65" s="43" t="s">
        <v>138</v>
      </c>
      <c r="B65" s="62">
        <v>0.04</v>
      </c>
      <c r="C65" s="62">
        <v>0</v>
      </c>
      <c r="D65" s="62">
        <v>0.05</v>
      </c>
      <c r="E65" s="62">
        <v>-0.01</v>
      </c>
      <c r="F65" s="62">
        <v>0.01</v>
      </c>
      <c r="G65" s="62">
        <v>-0.04</v>
      </c>
      <c r="H65" s="62">
        <v>0.03</v>
      </c>
      <c r="I65" s="62">
        <v>-0.01</v>
      </c>
      <c r="J65" s="48">
        <v>0</v>
      </c>
      <c r="K65" s="48">
        <f t="shared" si="64"/>
        <v>0</v>
      </c>
      <c r="L65" s="48">
        <f t="shared" si="65"/>
        <v>0</v>
      </c>
      <c r="M65" s="48">
        <f t="shared" si="66"/>
        <v>0</v>
      </c>
      <c r="N65" s="48">
        <f t="shared" si="67"/>
        <v>0</v>
      </c>
    </row>
    <row r="66" spans="1:14" x14ac:dyDescent="0.3">
      <c r="A66" s="9" t="s">
        <v>130</v>
      </c>
      <c r="B66" s="61">
        <v>1100</v>
      </c>
      <c r="C66" s="61">
        <v>1250</v>
      </c>
      <c r="D66" s="61">
        <v>1500</v>
      </c>
      <c r="E66" s="61">
        <v>1600</v>
      </c>
      <c r="F66" s="61">
        <v>1800</v>
      </c>
      <c r="G66" s="61">
        <v>1500</v>
      </c>
      <c r="H66" s="61">
        <v>2100</v>
      </c>
      <c r="I66" s="61">
        <v>2250</v>
      </c>
      <c r="J66" s="76">
        <v>2407.5</v>
      </c>
      <c r="K66" s="76">
        <v>2551.9499999999998</v>
      </c>
      <c r="L66" s="76">
        <v>2705.067</v>
      </c>
      <c r="M66" s="76">
        <v>2840.32035</v>
      </c>
      <c r="N66" s="76">
        <v>2982.336367500001</v>
      </c>
    </row>
    <row r="67" spans="1:14" x14ac:dyDescent="0.3">
      <c r="A67" s="45" t="s">
        <v>129</v>
      </c>
      <c r="B67" s="63">
        <v>3.5000000000000003E-2</v>
      </c>
      <c r="C67" s="62">
        <v>0.05</v>
      </c>
      <c r="D67" s="62">
        <v>0.08</v>
      </c>
      <c r="E67" s="63">
        <v>3.5000000000000003E-2</v>
      </c>
      <c r="F67" s="62">
        <v>0.05</v>
      </c>
      <c r="G67" s="63">
        <v>-0.16700000000000001</v>
      </c>
      <c r="H67" s="62">
        <v>0.4</v>
      </c>
      <c r="I67" s="62">
        <v>7.0000000000000007E-2</v>
      </c>
      <c r="J67" s="77"/>
      <c r="K67" s="77">
        <v>13.636363636363649</v>
      </c>
      <c r="L67" s="77">
        <v>20</v>
      </c>
      <c r="M67" s="77">
        <v>6.6666666666666652</v>
      </c>
      <c r="N67" s="77">
        <v>12.5</v>
      </c>
    </row>
    <row r="68" spans="1:14" x14ac:dyDescent="0.3">
      <c r="A68" s="45" t="s">
        <v>131</v>
      </c>
      <c r="B68" s="63">
        <v>0.193</v>
      </c>
      <c r="C68" s="63">
        <v>0.2</v>
      </c>
      <c r="D68" s="63">
        <v>0.188</v>
      </c>
      <c r="E68" s="63">
        <v>0.17299999999999999</v>
      </c>
      <c r="F68" s="63">
        <v>0.18</v>
      </c>
      <c r="G68" s="63">
        <v>0.16</v>
      </c>
      <c r="H68" s="63">
        <v>0.183</v>
      </c>
      <c r="I68" s="63">
        <v>0.18</v>
      </c>
      <c r="J68" s="77">
        <v>19.26782273603083</v>
      </c>
      <c r="K68" s="77">
        <v>21.24405166553365</v>
      </c>
      <c r="L68" s="77">
        <v>18.82057716436637</v>
      </c>
      <c r="M68" s="77">
        <v>17.31227007141311</v>
      </c>
      <c r="N68" s="77">
        <v>18.34488381573583</v>
      </c>
    </row>
    <row r="69" spans="1:14" x14ac:dyDescent="0.3">
      <c r="A69" s="9" t="s">
        <v>132</v>
      </c>
      <c r="B69" s="61">
        <v>320</v>
      </c>
      <c r="C69" s="61">
        <v>350</v>
      </c>
      <c r="D69" s="61">
        <v>450</v>
      </c>
      <c r="E69" s="61">
        <v>500</v>
      </c>
      <c r="F69" s="61">
        <v>520</v>
      </c>
      <c r="G69" s="61">
        <v>480</v>
      </c>
      <c r="H69" s="61">
        <v>600</v>
      </c>
      <c r="I69" s="61">
        <v>625</v>
      </c>
      <c r="J69" s="76">
        <v>650</v>
      </c>
      <c r="K69" s="76">
        <v>669.5</v>
      </c>
      <c r="L69" s="76">
        <v>689.58500000000004</v>
      </c>
      <c r="M69" s="76">
        <v>710.27255000000002</v>
      </c>
      <c r="N69" s="76">
        <v>724.47800100000006</v>
      </c>
    </row>
    <row r="70" spans="1:14" x14ac:dyDescent="0.3">
      <c r="A70" s="45" t="s">
        <v>129</v>
      </c>
      <c r="B70" s="63">
        <v>3.5000000000000003E-2</v>
      </c>
      <c r="C70" s="63">
        <v>0.09</v>
      </c>
      <c r="D70" s="62">
        <v>7.0000000000000007E-2</v>
      </c>
      <c r="E70" s="63">
        <v>1.4999999999999999E-2</v>
      </c>
      <c r="F70" s="62">
        <v>0.02</v>
      </c>
      <c r="G70" s="63">
        <v>-7.6999999999999999E-2</v>
      </c>
      <c r="H70" s="62">
        <v>0.25</v>
      </c>
      <c r="I70" s="62">
        <v>0.04</v>
      </c>
      <c r="J70" s="46">
        <f t="shared" ref="J70" si="68">+IFERROR(J69/I69-1,"nm")</f>
        <v>4.0000000000000036E-2</v>
      </c>
      <c r="K70" s="46">
        <f t="shared" ref="K70" si="69">+IFERROR(K69/J69-1,"nm")</f>
        <v>3.0000000000000027E-2</v>
      </c>
      <c r="L70" s="46">
        <f t="shared" ref="L70" si="70">+IFERROR(L69/K69-1,"nm")</f>
        <v>3.0000000000000027E-2</v>
      </c>
      <c r="M70" s="46">
        <f t="shared" ref="M70" si="71">+IFERROR(M69/L69-1,"nm")</f>
        <v>3.0000000000000027E-2</v>
      </c>
      <c r="N70" s="46">
        <f t="shared" ref="N70" si="72">+IFERROR(N69/M69-1,"nm")</f>
        <v>2.0000000000000018E-2</v>
      </c>
    </row>
    <row r="71" spans="1:14" x14ac:dyDescent="0.3">
      <c r="A71" s="45" t="s">
        <v>133</v>
      </c>
      <c r="B71" s="63">
        <v>5.6000000000000001E-2</v>
      </c>
      <c r="C71" s="63">
        <v>0.06</v>
      </c>
      <c r="D71" s="63">
        <v>5.7000000000000002E-2</v>
      </c>
      <c r="E71" s="63">
        <v>4.4999999999999998E-2</v>
      </c>
      <c r="F71" s="63">
        <v>0.05</v>
      </c>
      <c r="G71" s="63">
        <v>5.0999999999999997E-2</v>
      </c>
      <c r="H71" s="63">
        <v>5.1999999999999998E-2</v>
      </c>
      <c r="I71" s="63">
        <v>0.05</v>
      </c>
      <c r="J71" s="77">
        <v>4.7786703680531906</v>
      </c>
      <c r="K71" s="77">
        <v>4.5574356287914686</v>
      </c>
      <c r="L71" s="77">
        <v>4.3870642034160872</v>
      </c>
      <c r="M71" s="77">
        <v>4.2629020089797827</v>
      </c>
      <c r="N71" s="77">
        <v>4.1020377822258283</v>
      </c>
    </row>
    <row r="72" spans="1:14" x14ac:dyDescent="0.3">
      <c r="A72" s="9" t="s">
        <v>134</v>
      </c>
      <c r="B72" s="61">
        <v>1277</v>
      </c>
      <c r="C72" s="61">
        <v>1434</v>
      </c>
      <c r="D72" s="61">
        <v>1507</v>
      </c>
      <c r="E72" s="61">
        <v>1587</v>
      </c>
      <c r="F72" s="61">
        <v>1995</v>
      </c>
      <c r="G72" s="61">
        <v>1541</v>
      </c>
      <c r="H72" s="61">
        <v>2435</v>
      </c>
      <c r="I72" s="61">
        <v>3293</v>
      </c>
      <c r="J72" s="76">
        <v>3556.44</v>
      </c>
      <c r="K72" s="76">
        <v>3805.3908000000001</v>
      </c>
      <c r="L72" s="76">
        <v>4033.7142480000002</v>
      </c>
      <c r="M72" s="76">
        <v>4275.7371028800007</v>
      </c>
      <c r="N72" s="76">
        <v>4489.5239580240013</v>
      </c>
    </row>
    <row r="73" spans="1:14" x14ac:dyDescent="0.3">
      <c r="A73" s="45" t="s">
        <v>129</v>
      </c>
      <c r="B73" s="62">
        <v>0.08</v>
      </c>
      <c r="C73" s="62">
        <v>0.12</v>
      </c>
      <c r="D73" s="62">
        <v>0.05</v>
      </c>
      <c r="E73" s="62">
        <v>0.05</v>
      </c>
      <c r="F73" s="62">
        <v>0.23</v>
      </c>
      <c r="G73" s="62">
        <v>-0.23</v>
      </c>
      <c r="H73" s="62">
        <v>0.57999999999999996</v>
      </c>
      <c r="I73" s="62">
        <v>0.35</v>
      </c>
      <c r="J73" s="77"/>
      <c r="K73" s="77">
        <v>12.29444009397025</v>
      </c>
      <c r="L73" s="77">
        <v>5.0906555090655559</v>
      </c>
      <c r="M73" s="77">
        <v>5.3085600530855981</v>
      </c>
      <c r="N73" s="77">
        <v>25.708884688090741</v>
      </c>
    </row>
    <row r="74" spans="1:14" x14ac:dyDescent="0.3">
      <c r="A74" s="45" t="s">
        <v>131</v>
      </c>
      <c r="B74" s="63">
        <v>0.14499999999999999</v>
      </c>
      <c r="C74" s="63">
        <v>0.16700000000000001</v>
      </c>
      <c r="D74" s="63">
        <v>0.189</v>
      </c>
      <c r="E74" s="63">
        <v>0.155</v>
      </c>
      <c r="F74" s="63">
        <v>0.18099999999999999</v>
      </c>
      <c r="G74" s="63">
        <v>0.16500000000000001</v>
      </c>
      <c r="H74" s="63">
        <v>0.19</v>
      </c>
      <c r="I74" s="63">
        <v>0.20699999999999999</v>
      </c>
      <c r="J74" s="77">
        <v>22.368190576283059</v>
      </c>
      <c r="K74" s="77">
        <v>24.371176070700201</v>
      </c>
      <c r="L74" s="77">
        <v>18.908406524466749</v>
      </c>
      <c r="M74" s="77">
        <v>17.171607877082881</v>
      </c>
      <c r="N74" s="77">
        <v>20.33224622910722</v>
      </c>
    </row>
    <row r="75" spans="1:14" x14ac:dyDescent="0.3">
      <c r="A75" s="9" t="s">
        <v>135</v>
      </c>
      <c r="B75" s="61">
        <v>600</v>
      </c>
      <c r="C75" s="61">
        <v>650</v>
      </c>
      <c r="D75" s="61">
        <v>750</v>
      </c>
      <c r="E75" s="61">
        <v>800</v>
      </c>
      <c r="F75" s="61">
        <v>900</v>
      </c>
      <c r="G75" s="61">
        <v>1000</v>
      </c>
      <c r="H75" s="61">
        <v>1100</v>
      </c>
      <c r="I75" s="61">
        <v>1200</v>
      </c>
      <c r="J75" s="76">
        <v>1199</v>
      </c>
      <c r="K75" s="76">
        <v>1294.92</v>
      </c>
      <c r="L75" s="76">
        <v>1385.5644</v>
      </c>
      <c r="M75" s="76">
        <v>1468.6982640000001</v>
      </c>
      <c r="N75" s="76">
        <v>1556.820159840001</v>
      </c>
    </row>
    <row r="76" spans="1:14" x14ac:dyDescent="0.3">
      <c r="A76" s="45" t="s">
        <v>129</v>
      </c>
      <c r="B76" s="62">
        <v>0.05</v>
      </c>
      <c r="C76" s="62">
        <v>0.08</v>
      </c>
      <c r="D76" s="62">
        <v>0.15</v>
      </c>
      <c r="E76" s="62">
        <v>0.08</v>
      </c>
      <c r="F76" s="62">
        <v>7.0000000000000007E-2</v>
      </c>
      <c r="G76" s="62">
        <v>-0.15</v>
      </c>
      <c r="H76" s="62">
        <v>0.1</v>
      </c>
      <c r="I76" s="62">
        <v>0.09</v>
      </c>
      <c r="J76" s="46">
        <f t="shared" ref="J76" si="73">+IFERROR(J75/I75-1,"nm")</f>
        <v>-8.3333333333335258E-4</v>
      </c>
      <c r="K76" s="46">
        <f t="shared" ref="K76" si="74">+IFERROR(K75/J75-1,"nm")</f>
        <v>8.0000000000000071E-2</v>
      </c>
      <c r="L76" s="46">
        <f t="shared" ref="L76" si="75">+IFERROR(L75/K75-1,"nm")</f>
        <v>6.999999999999984E-2</v>
      </c>
      <c r="M76" s="46">
        <f t="shared" ref="M76" si="76">+IFERROR(M75/L75-1,"nm")</f>
        <v>6.0000000000000053E-2</v>
      </c>
      <c r="N76" s="46">
        <f t="shared" ref="N76" si="77">+IFERROR(N75/M75-1,"nm")</f>
        <v>6.0000000000000497E-2</v>
      </c>
    </row>
    <row r="77" spans="1:14" x14ac:dyDescent="0.3">
      <c r="A77" s="45" t="s">
        <v>133</v>
      </c>
      <c r="B77" s="63">
        <v>2.9000000000000001E-2</v>
      </c>
      <c r="C77" s="63">
        <v>3.2000000000000001E-2</v>
      </c>
      <c r="D77" s="63">
        <v>3.5000000000000003E-2</v>
      </c>
      <c r="E77" s="63">
        <v>3.9E-2</v>
      </c>
      <c r="F77" s="63">
        <v>4.2000000000000003E-2</v>
      </c>
      <c r="G77" s="63">
        <v>3.2000000000000001E-2</v>
      </c>
      <c r="H77" s="63">
        <v>3.7999999999999999E-2</v>
      </c>
      <c r="I77" s="63">
        <v>3.9E-2</v>
      </c>
      <c r="J77" s="77">
        <v>10.50972149238045</v>
      </c>
      <c r="K77" s="77">
        <v>11.046906866077499</v>
      </c>
      <c r="L77" s="77">
        <v>9.4102885821831865</v>
      </c>
      <c r="M77" s="77">
        <v>8.6561350357065567</v>
      </c>
      <c r="N77" s="77">
        <v>9.1724419078679169</v>
      </c>
    </row>
    <row r="78" spans="1:14" x14ac:dyDescent="0.3">
      <c r="A78" s="9" t="s">
        <v>141</v>
      </c>
      <c r="B78" s="1">
        <v>451</v>
      </c>
      <c r="C78" s="1">
        <v>589</v>
      </c>
      <c r="D78" s="1">
        <v>709</v>
      </c>
      <c r="E78" s="1">
        <v>849</v>
      </c>
      <c r="F78" s="1">
        <v>929</v>
      </c>
      <c r="G78" s="1">
        <v>885</v>
      </c>
      <c r="H78" s="1">
        <v>982</v>
      </c>
      <c r="I78" s="1">
        <v>920</v>
      </c>
      <c r="J78" s="76">
        <v>1070.3800000000001</v>
      </c>
      <c r="K78" s="76">
        <v>1156.0103999999999</v>
      </c>
      <c r="L78" s="76">
        <v>1236.9311279999999</v>
      </c>
      <c r="M78" s="76">
        <v>1311.1469956799999</v>
      </c>
      <c r="N78" s="76">
        <v>1389.8158154207999</v>
      </c>
    </row>
    <row r="79" spans="1:14" x14ac:dyDescent="0.3">
      <c r="A79" s="45" t="s">
        <v>129</v>
      </c>
      <c r="B79" s="73" t="s">
        <v>215</v>
      </c>
      <c r="C79" s="73">
        <v>30.598669623059859</v>
      </c>
      <c r="D79" s="73">
        <v>20.373514431239379</v>
      </c>
      <c r="E79" s="73">
        <v>19.746121297602251</v>
      </c>
      <c r="F79" s="73">
        <v>9.422850412249705</v>
      </c>
      <c r="G79" s="73">
        <v>-4.7362755651237931</v>
      </c>
      <c r="H79" s="73">
        <v>10.960451977401121</v>
      </c>
      <c r="I79" s="73">
        <v>-6.313645621181263</v>
      </c>
      <c r="J79" s="46">
        <f t="shared" ref="J79" si="78">+IFERROR(J78/I78-1,"nm")</f>
        <v>0.16345652173913061</v>
      </c>
      <c r="K79" s="46">
        <f t="shared" ref="K79" si="79">+IFERROR(K78/J78-1,"nm")</f>
        <v>7.9999999999999849E-2</v>
      </c>
      <c r="L79" s="46">
        <f t="shared" ref="L79" si="80">+IFERROR(L78/K78-1,"nm")</f>
        <v>7.0000000000000062E-2</v>
      </c>
      <c r="M79" s="46">
        <f t="shared" ref="M79" si="81">+IFERROR(M78/L78-1,"nm")</f>
        <v>6.0000000000000053E-2</v>
      </c>
      <c r="N79" s="46">
        <f t="shared" ref="N79" si="82">+IFERROR(N78/M78-1,"nm")</f>
        <v>6.0000000000000053E-2</v>
      </c>
    </row>
    <row r="80" spans="1:14" x14ac:dyDescent="0.3">
      <c r="A80" s="45" t="s">
        <v>133</v>
      </c>
      <c r="B80" s="73">
        <v>6.3289362896435586</v>
      </c>
      <c r="C80" s="73">
        <v>7.7827695560253689</v>
      </c>
      <c r="D80" s="73">
        <v>8.8958594730238403</v>
      </c>
      <c r="E80" s="73">
        <v>9.1863233066435832</v>
      </c>
      <c r="F80" s="73">
        <v>9.4679983693436611</v>
      </c>
      <c r="G80" s="73">
        <v>9.4682785920616244</v>
      </c>
      <c r="H80" s="73">
        <v>8.5719273743016764</v>
      </c>
      <c r="I80" s="73">
        <v>7.3723856078211396</v>
      </c>
      <c r="J80" s="77">
        <v>7.8998073217726397</v>
      </c>
      <c r="K80" s="77">
        <v>10.010197144799459</v>
      </c>
      <c r="L80" s="77">
        <v>8.8958594730238403</v>
      </c>
      <c r="M80" s="77">
        <v>9.1863233066435832</v>
      </c>
      <c r="N80" s="77">
        <v>9.4679983693436611</v>
      </c>
    </row>
    <row r="81" spans="1:14" x14ac:dyDescent="0.3">
      <c r="A81" s="42" t="s">
        <v>102</v>
      </c>
      <c r="B81" s="42"/>
      <c r="C81" s="42"/>
      <c r="D81" s="42"/>
      <c r="E81" s="42"/>
      <c r="F81" s="42"/>
      <c r="G81" s="42"/>
      <c r="H81" s="42"/>
      <c r="I81" s="42"/>
      <c r="J81" s="38"/>
      <c r="K81" s="38"/>
      <c r="L81" s="38"/>
      <c r="M81" s="38"/>
      <c r="N81" s="38"/>
    </row>
    <row r="82" spans="1:14" x14ac:dyDescent="0.3">
      <c r="A82" s="9" t="s">
        <v>136</v>
      </c>
      <c r="B82" s="61">
        <v>3067</v>
      </c>
      <c r="C82" s="61">
        <v>3785</v>
      </c>
      <c r="D82" s="61">
        <v>4237</v>
      </c>
      <c r="E82" s="61">
        <v>5134</v>
      </c>
      <c r="F82" s="61">
        <v>6208</v>
      </c>
      <c r="G82" s="61">
        <v>6679</v>
      </c>
      <c r="H82" s="61">
        <v>8290</v>
      </c>
      <c r="I82" s="61">
        <v>7547</v>
      </c>
      <c r="J82" s="76">
        <v>8301.7000000000007</v>
      </c>
      <c r="K82" s="76">
        <v>9048.853000000001</v>
      </c>
      <c r="L82" s="76">
        <v>9772.7612400000016</v>
      </c>
      <c r="M82" s="76">
        <v>10554.5821392</v>
      </c>
      <c r="N82" s="76">
        <v>11293.402888944</v>
      </c>
    </row>
    <row r="83" spans="1:14" x14ac:dyDescent="0.3">
      <c r="A83" s="43" t="s">
        <v>129</v>
      </c>
      <c r="B83" s="62">
        <v>0.18</v>
      </c>
      <c r="C83" s="62">
        <v>0.23</v>
      </c>
      <c r="D83" s="62">
        <v>0.12</v>
      </c>
      <c r="E83" s="62">
        <v>0.21</v>
      </c>
      <c r="F83" s="62">
        <v>0.21</v>
      </c>
      <c r="G83" s="62">
        <v>0.08</v>
      </c>
      <c r="H83" s="62">
        <v>0.24</v>
      </c>
      <c r="I83" s="62">
        <v>-0.09</v>
      </c>
      <c r="J83" s="46">
        <f t="shared" ref="J83" si="83">+IFERROR(J82/I82-1,"nm")</f>
        <v>0.10000000000000009</v>
      </c>
      <c r="K83" s="46">
        <f t="shared" ref="K83" si="84">+IFERROR(K82/J82-1,"nm")</f>
        <v>9.000000000000008E-2</v>
      </c>
      <c r="L83" s="46">
        <f t="shared" ref="L83" si="85">+IFERROR(L82/K82-1,"nm")</f>
        <v>8.0000000000000071E-2</v>
      </c>
      <c r="M83" s="46">
        <f t="shared" ref="M83" si="86">+IFERROR(M82/L82-1,"nm")</f>
        <v>7.9999999999999849E-2</v>
      </c>
      <c r="N83" s="46">
        <f t="shared" ref="N83" si="87">+IFERROR(N82/M82-1,"nm")</f>
        <v>7.0000000000000062E-2</v>
      </c>
    </row>
    <row r="84" spans="1:14" x14ac:dyDescent="0.3">
      <c r="A84" s="44" t="s">
        <v>113</v>
      </c>
      <c r="B84" s="72">
        <v>2016</v>
      </c>
      <c r="C84" s="72">
        <v>2599</v>
      </c>
      <c r="D84" s="72">
        <v>2920</v>
      </c>
      <c r="E84" s="72">
        <v>3496</v>
      </c>
      <c r="F84" s="72">
        <v>4262</v>
      </c>
      <c r="G84" s="72">
        <v>4635</v>
      </c>
      <c r="H84" s="72">
        <v>5748</v>
      </c>
      <c r="I84" s="72">
        <v>5416</v>
      </c>
      <c r="J84" s="75">
        <v>5957.6</v>
      </c>
      <c r="K84" s="75">
        <v>6493.7840000000006</v>
      </c>
      <c r="L84" s="75">
        <v>7013.286720000001</v>
      </c>
      <c r="M84" s="75">
        <v>7574.3496576000016</v>
      </c>
      <c r="N84" s="75">
        <v>8104.554133632002</v>
      </c>
    </row>
    <row r="85" spans="1:14" x14ac:dyDescent="0.3">
      <c r="A85" s="43" t="s">
        <v>129</v>
      </c>
      <c r="B85" s="62">
        <v>0.26</v>
      </c>
      <c r="C85" s="62">
        <v>0.28999999999999998</v>
      </c>
      <c r="D85" s="62">
        <v>0.12</v>
      </c>
      <c r="E85" s="62">
        <v>0.2</v>
      </c>
      <c r="F85" s="62">
        <v>0.22</v>
      </c>
      <c r="G85" s="62">
        <v>0.09</v>
      </c>
      <c r="H85" s="62">
        <v>0.24</v>
      </c>
      <c r="I85" s="62">
        <v>-0.06</v>
      </c>
      <c r="J85" s="46">
        <f>+J86+J87</f>
        <v>0</v>
      </c>
      <c r="K85" s="46">
        <f t="shared" ref="K85:N85" si="88">+K86+K87</f>
        <v>0</v>
      </c>
      <c r="L85" s="46">
        <f t="shared" si="88"/>
        <v>0</v>
      </c>
      <c r="M85" s="46">
        <f t="shared" si="88"/>
        <v>0</v>
      </c>
      <c r="N85" s="46">
        <f t="shared" si="88"/>
        <v>0</v>
      </c>
    </row>
    <row r="86" spans="1:14" x14ac:dyDescent="0.3">
      <c r="A86" s="43" t="s">
        <v>137</v>
      </c>
      <c r="B86" s="62">
        <v>0.08</v>
      </c>
      <c r="C86" s="62">
        <v>0.15</v>
      </c>
      <c r="D86" s="62">
        <v>0.09</v>
      </c>
      <c r="E86" s="62">
        <v>0.12</v>
      </c>
      <c r="F86" s="62">
        <v>0.16</v>
      </c>
      <c r="G86" s="62">
        <v>0.05</v>
      </c>
      <c r="H86" s="62">
        <v>0.19</v>
      </c>
      <c r="I86" s="62">
        <v>-0.1</v>
      </c>
      <c r="J86" s="48">
        <v>0</v>
      </c>
      <c r="K86" s="48">
        <f t="shared" ref="K86:K87" si="89">+J86</f>
        <v>0</v>
      </c>
      <c r="L86" s="48">
        <f t="shared" ref="L86:L87" si="90">+K86</f>
        <v>0</v>
      </c>
      <c r="M86" s="48">
        <f t="shared" ref="M86:M87" si="91">+L86</f>
        <v>0</v>
      </c>
      <c r="N86" s="48">
        <f t="shared" ref="N86:N87" si="92">+M86</f>
        <v>0</v>
      </c>
    </row>
    <row r="87" spans="1:14" x14ac:dyDescent="0.3">
      <c r="A87" s="43" t="s">
        <v>138</v>
      </c>
      <c r="B87" s="62">
        <v>0.02</v>
      </c>
      <c r="C87" s="62">
        <v>0.04</v>
      </c>
      <c r="D87" s="62">
        <v>0.03</v>
      </c>
      <c r="E87" s="62">
        <v>0.04</v>
      </c>
      <c r="F87" s="62">
        <v>0.06</v>
      </c>
      <c r="G87" s="62">
        <v>0.03</v>
      </c>
      <c r="H87" s="62">
        <v>0.05</v>
      </c>
      <c r="I87" s="62">
        <v>-0.03</v>
      </c>
      <c r="J87" s="48">
        <v>0</v>
      </c>
      <c r="K87" s="48">
        <f t="shared" si="89"/>
        <v>0</v>
      </c>
      <c r="L87" s="48">
        <f t="shared" si="90"/>
        <v>0</v>
      </c>
      <c r="M87" s="48">
        <f t="shared" si="91"/>
        <v>0</v>
      </c>
      <c r="N87" s="48">
        <f t="shared" si="92"/>
        <v>0</v>
      </c>
    </row>
    <row r="88" spans="1:14" x14ac:dyDescent="0.3">
      <c r="A88" s="44" t="s">
        <v>114</v>
      </c>
      <c r="B88" s="72">
        <v>925</v>
      </c>
      <c r="C88" s="72">
        <v>1055</v>
      </c>
      <c r="D88" s="72">
        <v>1188</v>
      </c>
      <c r="E88" s="72">
        <v>1508</v>
      </c>
      <c r="F88" s="72">
        <v>1808</v>
      </c>
      <c r="G88" s="72">
        <v>1896</v>
      </c>
      <c r="H88" s="72">
        <v>2347</v>
      </c>
      <c r="I88" s="72">
        <v>1938</v>
      </c>
      <c r="J88" s="75">
        <v>2112.42</v>
      </c>
      <c r="K88" s="75">
        <v>2281.4135999999999</v>
      </c>
      <c r="L88" s="75">
        <v>2463.926688</v>
      </c>
      <c r="M88" s="75">
        <v>2661.0408230400012</v>
      </c>
      <c r="N88" s="75">
        <v>2847.3136806528009</v>
      </c>
    </row>
    <row r="89" spans="1:14" x14ac:dyDescent="0.3">
      <c r="A89" s="43" t="s">
        <v>129</v>
      </c>
      <c r="B89" s="62">
        <v>0.06</v>
      </c>
      <c r="C89" s="62">
        <v>0.14000000000000001</v>
      </c>
      <c r="D89" s="62">
        <v>0.13</v>
      </c>
      <c r="E89" s="62">
        <v>0.27</v>
      </c>
      <c r="F89" s="62">
        <v>0.2</v>
      </c>
      <c r="G89" s="62">
        <v>0.05</v>
      </c>
      <c r="H89" s="62">
        <v>0.24</v>
      </c>
      <c r="I89" s="62">
        <v>-0.17</v>
      </c>
      <c r="J89" s="46">
        <f>+J90+J91</f>
        <v>0</v>
      </c>
      <c r="K89" s="46">
        <f t="shared" ref="K89:N89" si="93">+K90+K91</f>
        <v>0</v>
      </c>
      <c r="L89" s="46">
        <f t="shared" si="93"/>
        <v>0</v>
      </c>
      <c r="M89" s="46">
        <f t="shared" si="93"/>
        <v>0</v>
      </c>
      <c r="N89" s="46">
        <f t="shared" si="93"/>
        <v>0</v>
      </c>
    </row>
    <row r="90" spans="1:14" x14ac:dyDescent="0.3">
      <c r="A90" s="43" t="s">
        <v>137</v>
      </c>
      <c r="B90" s="62">
        <v>0.04</v>
      </c>
      <c r="C90" s="62">
        <v>0.1</v>
      </c>
      <c r="D90" s="62">
        <v>0.1</v>
      </c>
      <c r="E90" s="62">
        <v>0.15</v>
      </c>
      <c r="F90" s="62">
        <v>0.14000000000000001</v>
      </c>
      <c r="G90" s="62">
        <v>0.03</v>
      </c>
      <c r="H90" s="62">
        <v>0.19</v>
      </c>
      <c r="I90" s="62">
        <v>-0.21</v>
      </c>
      <c r="J90" s="48">
        <v>0</v>
      </c>
      <c r="K90" s="48">
        <f t="shared" ref="K90:K91" si="94">+J90</f>
        <v>0</v>
      </c>
      <c r="L90" s="48">
        <f t="shared" ref="L90:L91" si="95">+K90</f>
        <v>0</v>
      </c>
      <c r="M90" s="48">
        <f t="shared" ref="M90:M91" si="96">+L90</f>
        <v>0</v>
      </c>
      <c r="N90" s="48">
        <f t="shared" ref="N90:N91" si="97">+M90</f>
        <v>0</v>
      </c>
    </row>
    <row r="91" spans="1:14" x14ac:dyDescent="0.3">
      <c r="A91" s="43" t="s">
        <v>138</v>
      </c>
      <c r="B91" s="62">
        <v>0.01</v>
      </c>
      <c r="C91" s="62">
        <v>0.03</v>
      </c>
      <c r="D91" s="62">
        <v>0.03</v>
      </c>
      <c r="E91" s="62">
        <v>0.05</v>
      </c>
      <c r="F91" s="62">
        <v>0.04</v>
      </c>
      <c r="G91" s="62">
        <v>0.02</v>
      </c>
      <c r="H91" s="62">
        <v>0.05</v>
      </c>
      <c r="I91" s="62">
        <v>-0.06</v>
      </c>
      <c r="J91" s="48">
        <v>0</v>
      </c>
      <c r="K91" s="48">
        <f t="shared" si="94"/>
        <v>0</v>
      </c>
      <c r="L91" s="48">
        <f t="shared" si="95"/>
        <v>0</v>
      </c>
      <c r="M91" s="48">
        <f t="shared" si="96"/>
        <v>0</v>
      </c>
      <c r="N91" s="48">
        <f t="shared" si="97"/>
        <v>0</v>
      </c>
    </row>
    <row r="92" spans="1:14" x14ac:dyDescent="0.3">
      <c r="A92" s="44" t="s">
        <v>115</v>
      </c>
      <c r="B92" s="72">
        <v>126</v>
      </c>
      <c r="C92" s="72">
        <v>131</v>
      </c>
      <c r="D92" s="72">
        <v>129</v>
      </c>
      <c r="E92" s="72">
        <v>130</v>
      </c>
      <c r="F92" s="72">
        <v>138</v>
      </c>
      <c r="G92" s="72">
        <v>148</v>
      </c>
      <c r="H92" s="72">
        <v>195</v>
      </c>
      <c r="I92" s="72">
        <v>193</v>
      </c>
      <c r="J92" s="75">
        <v>208.44</v>
      </c>
      <c r="K92" s="75">
        <v>223.0308</v>
      </c>
      <c r="L92" s="75">
        <v>238.64295600000011</v>
      </c>
      <c r="M92" s="75">
        <v>255.3479629200001</v>
      </c>
      <c r="N92" s="75">
        <v>270.66884069520012</v>
      </c>
    </row>
    <row r="93" spans="1:14" x14ac:dyDescent="0.3">
      <c r="A93" s="43" t="s">
        <v>129</v>
      </c>
      <c r="B93" s="62">
        <v>0</v>
      </c>
      <c r="C93" s="62">
        <v>0.04</v>
      </c>
      <c r="D93" s="62">
        <v>-0.02</v>
      </c>
      <c r="E93" s="62">
        <v>0.01</v>
      </c>
      <c r="F93" s="62">
        <v>0.06</v>
      </c>
      <c r="G93" s="62">
        <v>7.0000000000000007E-2</v>
      </c>
      <c r="H93" s="62">
        <v>0.32</v>
      </c>
      <c r="I93" s="62">
        <v>-0.01</v>
      </c>
      <c r="J93" s="46">
        <f>+J94+J95</f>
        <v>0</v>
      </c>
      <c r="K93" s="46">
        <f t="shared" ref="K93:N93" si="98">+K94+K95</f>
        <v>0</v>
      </c>
      <c r="L93" s="46">
        <f t="shared" si="98"/>
        <v>0</v>
      </c>
      <c r="M93" s="46">
        <f t="shared" si="98"/>
        <v>0</v>
      </c>
      <c r="N93" s="46">
        <f t="shared" si="98"/>
        <v>0</v>
      </c>
    </row>
    <row r="94" spans="1:14" x14ac:dyDescent="0.3">
      <c r="A94" s="43" t="s">
        <v>137</v>
      </c>
      <c r="B94" s="62">
        <v>0.01</v>
      </c>
      <c r="C94" s="62">
        <v>0.02</v>
      </c>
      <c r="D94" s="62">
        <v>0.01</v>
      </c>
      <c r="E94" s="62">
        <v>0.02</v>
      </c>
      <c r="F94" s="62">
        <v>0.05</v>
      </c>
      <c r="G94" s="62">
        <v>0.05</v>
      </c>
      <c r="H94" s="62">
        <v>0.26</v>
      </c>
      <c r="I94" s="62">
        <v>-0.06</v>
      </c>
      <c r="J94" s="48">
        <v>0</v>
      </c>
      <c r="K94" s="48">
        <f t="shared" ref="K94:K95" si="99">+J94</f>
        <v>0</v>
      </c>
      <c r="L94" s="48">
        <f t="shared" ref="L94:L95" si="100">+K94</f>
        <v>0</v>
      </c>
      <c r="M94" s="48">
        <f t="shared" ref="M94:M95" si="101">+L94</f>
        <v>0</v>
      </c>
      <c r="N94" s="48">
        <f t="shared" ref="N94:N95" si="102">+M94</f>
        <v>0</v>
      </c>
    </row>
    <row r="95" spans="1:14" x14ac:dyDescent="0.3">
      <c r="A95" s="43" t="s">
        <v>138</v>
      </c>
      <c r="B95" s="62">
        <v>0</v>
      </c>
      <c r="C95" s="62">
        <v>0.02</v>
      </c>
      <c r="D95" s="62">
        <v>-0.01</v>
      </c>
      <c r="E95" s="62">
        <v>-0.01</v>
      </c>
      <c r="F95" s="62">
        <v>0.01</v>
      </c>
      <c r="G95" s="62">
        <v>0.01</v>
      </c>
      <c r="H95" s="62">
        <v>0.06</v>
      </c>
      <c r="I95" s="62">
        <v>0</v>
      </c>
      <c r="J95" s="48">
        <v>0</v>
      </c>
      <c r="K95" s="48">
        <f t="shared" si="99"/>
        <v>0</v>
      </c>
      <c r="L95" s="48">
        <f t="shared" si="100"/>
        <v>0</v>
      </c>
      <c r="M95" s="48">
        <f t="shared" si="101"/>
        <v>0</v>
      </c>
      <c r="N95" s="48">
        <f t="shared" si="102"/>
        <v>0</v>
      </c>
    </row>
    <row r="96" spans="1:14" x14ac:dyDescent="0.3">
      <c r="A96" s="9" t="s">
        <v>130</v>
      </c>
      <c r="B96" s="61">
        <v>900</v>
      </c>
      <c r="C96" s="61">
        <v>1200</v>
      </c>
      <c r="D96" s="61">
        <v>1400</v>
      </c>
      <c r="E96" s="61">
        <v>1600</v>
      </c>
      <c r="F96" s="61">
        <v>1800</v>
      </c>
      <c r="G96" s="61">
        <v>1500</v>
      </c>
      <c r="H96" s="61">
        <v>2100</v>
      </c>
      <c r="I96" s="61">
        <v>2250</v>
      </c>
      <c r="J96" s="1">
        <v>1650</v>
      </c>
      <c r="K96" s="1">
        <v>1798.5</v>
      </c>
      <c r="L96" s="1">
        <v>1942.380000000001</v>
      </c>
      <c r="M96" s="1">
        <v>2097.7704000000008</v>
      </c>
      <c r="N96" s="1">
        <v>2244.614328000001</v>
      </c>
    </row>
    <row r="97" spans="1:14" x14ac:dyDescent="0.3">
      <c r="A97" s="45" t="s">
        <v>129</v>
      </c>
      <c r="B97" s="62">
        <v>0.04</v>
      </c>
      <c r="C97" s="62">
        <v>7.0000000000000007E-2</v>
      </c>
      <c r="D97" s="62">
        <v>0.05</v>
      </c>
      <c r="E97" s="62">
        <v>7.0000000000000007E-2</v>
      </c>
      <c r="F97" s="62">
        <v>0.05</v>
      </c>
      <c r="G97" s="63">
        <v>-0.16700000000000001</v>
      </c>
      <c r="H97" s="62">
        <v>0.4</v>
      </c>
      <c r="I97" s="62">
        <v>-0.1</v>
      </c>
      <c r="J97" s="46">
        <f t="shared" ref="J97:J98" si="103">+IFERROR(J96/I96-1,"nm")</f>
        <v>-0.26666666666666672</v>
      </c>
      <c r="K97" s="46">
        <f t="shared" ref="K97:K98" si="104">+IFERROR(K96/J96-1,"nm")</f>
        <v>9.000000000000008E-2</v>
      </c>
      <c r="L97" s="46">
        <f t="shared" ref="L97:L98" si="105">+IFERROR(L96/K96-1,"nm")</f>
        <v>8.0000000000000515E-2</v>
      </c>
      <c r="M97" s="46">
        <f t="shared" ref="M97:M98" si="106">+IFERROR(M96/L96-1,"nm")</f>
        <v>7.9999999999999849E-2</v>
      </c>
      <c r="N97" s="46">
        <f t="shared" ref="N97:N98" si="107">+IFERROR(N96/M96-1,"nm")</f>
        <v>7.0000000000000062E-2</v>
      </c>
    </row>
    <row r="98" spans="1:14" x14ac:dyDescent="0.3">
      <c r="A98" s="45" t="s">
        <v>131</v>
      </c>
      <c r="B98" s="63">
        <v>0.192</v>
      </c>
      <c r="C98" s="63">
        <v>0.2</v>
      </c>
      <c r="D98" s="63">
        <v>0.183</v>
      </c>
      <c r="E98" s="63">
        <v>0.17</v>
      </c>
      <c r="F98" s="63">
        <v>0.185</v>
      </c>
      <c r="G98" s="63">
        <v>0.16</v>
      </c>
      <c r="H98" s="63">
        <v>0.183</v>
      </c>
      <c r="I98" s="63">
        <v>0.18</v>
      </c>
      <c r="J98" s="46">
        <f t="shared" si="103"/>
        <v>1.666666666666667</v>
      </c>
      <c r="K98" s="46">
        <f t="shared" si="104"/>
        <v>-1.3375000000000004</v>
      </c>
      <c r="L98" s="46">
        <f t="shared" si="105"/>
        <v>-0.11111111111110616</v>
      </c>
      <c r="M98" s="46">
        <f t="shared" si="106"/>
        <v>-8.3266726846886741E-15</v>
      </c>
      <c r="N98" s="46">
        <f t="shared" si="107"/>
        <v>-0.12499999999999756</v>
      </c>
    </row>
    <row r="99" spans="1:14" x14ac:dyDescent="0.3">
      <c r="A99" s="9" t="s">
        <v>132</v>
      </c>
      <c r="B99" s="61">
        <v>300</v>
      </c>
      <c r="C99" s="61">
        <v>350</v>
      </c>
      <c r="D99" s="61">
        <v>400</v>
      </c>
      <c r="E99" s="61">
        <v>450</v>
      </c>
      <c r="F99" s="61">
        <v>480</v>
      </c>
      <c r="G99" s="61">
        <v>500</v>
      </c>
      <c r="H99" s="61">
        <v>600</v>
      </c>
      <c r="I99" s="61">
        <v>625</v>
      </c>
      <c r="J99" s="76">
        <v>528</v>
      </c>
      <c r="K99" s="76">
        <v>575.5200000000001</v>
      </c>
      <c r="L99" s="76">
        <v>621.56160000000011</v>
      </c>
      <c r="M99" s="76">
        <v>671.2865280000002</v>
      </c>
      <c r="N99" s="76">
        <v>718.27658496000026</v>
      </c>
    </row>
    <row r="100" spans="1:14" x14ac:dyDescent="0.3">
      <c r="A100" s="45" t="s">
        <v>129</v>
      </c>
      <c r="B100" s="63">
        <v>0.02</v>
      </c>
      <c r="C100" s="63">
        <v>7.0000000000000007E-2</v>
      </c>
      <c r="D100" s="62">
        <v>0.05</v>
      </c>
      <c r="E100" s="62">
        <v>7.0000000000000007E-2</v>
      </c>
      <c r="F100" s="62">
        <v>0.03</v>
      </c>
      <c r="G100" s="62">
        <v>-7.0000000000000007E-2</v>
      </c>
      <c r="H100" s="62">
        <v>0.25</v>
      </c>
      <c r="I100" s="62">
        <v>-0.08</v>
      </c>
      <c r="J100" s="46">
        <f t="shared" ref="J100" si="108">+IFERROR(J99/I99-1,"nm")</f>
        <v>-0.1552</v>
      </c>
      <c r="K100" s="46">
        <f t="shared" ref="K100" si="109">+IFERROR(K99/J99-1,"nm")</f>
        <v>9.000000000000008E-2</v>
      </c>
      <c r="L100" s="46">
        <f t="shared" ref="L100" si="110">+IFERROR(L99/K99-1,"nm")</f>
        <v>8.0000000000000071E-2</v>
      </c>
      <c r="M100" s="46">
        <f t="shared" ref="M100" si="111">+IFERROR(M99/L99-1,"nm")</f>
        <v>8.0000000000000071E-2</v>
      </c>
      <c r="N100" s="46">
        <f t="shared" ref="N100" si="112">+IFERROR(N99/M99-1,"nm")</f>
        <v>7.0000000000000062E-2</v>
      </c>
    </row>
    <row r="101" spans="1:14" x14ac:dyDescent="0.3">
      <c r="A101" s="45" t="s">
        <v>133</v>
      </c>
      <c r="B101" s="63">
        <v>5.5E-2</v>
      </c>
      <c r="C101" s="63">
        <v>5.8000000000000003E-2</v>
      </c>
      <c r="D101" s="63">
        <v>5.5E-2</v>
      </c>
      <c r="E101" s="63">
        <v>0.05</v>
      </c>
      <c r="F101" s="63">
        <v>4.4999999999999998E-2</v>
      </c>
      <c r="G101" s="63">
        <v>5.1999999999999998E-2</v>
      </c>
      <c r="H101" s="63">
        <v>5.1999999999999998E-2</v>
      </c>
      <c r="I101" s="63">
        <v>0.05</v>
      </c>
      <c r="J101" s="77">
        <v>6.8018197076100879</v>
      </c>
      <c r="K101" s="77">
        <v>6.6111144821630763</v>
      </c>
      <c r="L101" s="77">
        <v>6.4257561321958869</v>
      </c>
      <c r="M101" s="77">
        <v>6.2438951095865693</v>
      </c>
      <c r="N101" s="77">
        <v>6.124963774165872</v>
      </c>
    </row>
    <row r="102" spans="1:14" x14ac:dyDescent="0.3">
      <c r="A102" s="9" t="s">
        <v>134</v>
      </c>
      <c r="B102" s="61">
        <v>993</v>
      </c>
      <c r="C102" s="61">
        <v>1372</v>
      </c>
      <c r="D102" s="61">
        <v>1507</v>
      </c>
      <c r="E102" s="61">
        <v>1807</v>
      </c>
      <c r="F102" s="61">
        <v>2376</v>
      </c>
      <c r="G102" s="61">
        <v>2490</v>
      </c>
      <c r="H102" s="61">
        <v>3243</v>
      </c>
      <c r="I102" s="61">
        <v>2365</v>
      </c>
      <c r="J102" s="76">
        <v>1695.1</v>
      </c>
      <c r="K102" s="76">
        <v>1847.6590000000001</v>
      </c>
      <c r="L102" s="76">
        <v>1995.47172</v>
      </c>
      <c r="M102" s="76">
        <v>2155.1094576</v>
      </c>
      <c r="N102" s="76">
        <v>2305.967119632001</v>
      </c>
    </row>
    <row r="103" spans="1:14" x14ac:dyDescent="0.3">
      <c r="A103" s="45" t="s">
        <v>129</v>
      </c>
      <c r="B103" s="62">
        <v>0.22</v>
      </c>
      <c r="C103" s="62">
        <v>0.38</v>
      </c>
      <c r="D103" s="62">
        <v>0.1</v>
      </c>
      <c r="E103" s="62">
        <v>0.2</v>
      </c>
      <c r="F103" s="62">
        <v>0.31</v>
      </c>
      <c r="G103" s="62">
        <v>0.05</v>
      </c>
      <c r="H103" s="62">
        <v>0.3</v>
      </c>
      <c r="I103" s="62">
        <v>-0.27</v>
      </c>
      <c r="J103" s="46">
        <f t="shared" ref="J103:J104" si="113">+IFERROR(J102/I102-1,"nm")</f>
        <v>-0.28325581395348842</v>
      </c>
      <c r="K103" s="46">
        <f t="shared" ref="K103:K104" si="114">+IFERROR(K102/J102-1,"nm")</f>
        <v>9.000000000000008E-2</v>
      </c>
      <c r="L103" s="46">
        <f t="shared" ref="L103:L104" si="115">+IFERROR(L102/K102-1,"nm")</f>
        <v>7.9999999999999849E-2</v>
      </c>
      <c r="M103" s="46">
        <f t="shared" ref="M103:M104" si="116">+IFERROR(M102/L102-1,"nm")</f>
        <v>8.0000000000000071E-2</v>
      </c>
      <c r="N103" s="46">
        <f t="shared" ref="N103:N104" si="117">+IFERROR(N102/M102-1,"nm")</f>
        <v>7.0000000000000506E-2</v>
      </c>
    </row>
    <row r="104" spans="1:14" x14ac:dyDescent="0.3">
      <c r="A104" s="45" t="s">
        <v>131</v>
      </c>
      <c r="B104" s="63">
        <v>0.14499999999999999</v>
      </c>
      <c r="C104" s="63">
        <v>0.16800000000000001</v>
      </c>
      <c r="D104" s="63">
        <v>0.17499999999999999</v>
      </c>
      <c r="E104" s="63">
        <v>0.183</v>
      </c>
      <c r="F104" s="63">
        <v>0.192</v>
      </c>
      <c r="G104" s="63">
        <v>0.157</v>
      </c>
      <c r="H104" s="63">
        <v>0.19</v>
      </c>
      <c r="I104" s="63">
        <v>0.20699999999999999</v>
      </c>
      <c r="J104" s="46">
        <f t="shared" si="113"/>
        <v>4.909560723514228E-2</v>
      </c>
      <c r="K104" s="46">
        <f t="shared" si="114"/>
        <v>-1.3177339901477834</v>
      </c>
      <c r="L104" s="46">
        <f t="shared" si="115"/>
        <v>-0.1111111111111136</v>
      </c>
      <c r="M104" s="46">
        <f t="shared" si="116"/>
        <v>2.6645352591003757E-15</v>
      </c>
      <c r="N104" s="46">
        <f t="shared" si="117"/>
        <v>-0.12499999999999445</v>
      </c>
    </row>
    <row r="105" spans="1:14" x14ac:dyDescent="0.3">
      <c r="A105" s="9" t="s">
        <v>135</v>
      </c>
      <c r="B105" s="61">
        <v>450</v>
      </c>
      <c r="C105" s="61">
        <v>550</v>
      </c>
      <c r="D105" s="61">
        <v>600</v>
      </c>
      <c r="E105" s="61">
        <v>650</v>
      </c>
      <c r="F105" s="61">
        <v>750</v>
      </c>
      <c r="G105" s="61">
        <v>850</v>
      </c>
      <c r="H105" s="61">
        <v>1000</v>
      </c>
      <c r="I105" s="61">
        <v>1050</v>
      </c>
      <c r="J105" s="76">
        <v>990.00000000000011</v>
      </c>
      <c r="K105" s="76">
        <v>1079.0999999999999</v>
      </c>
      <c r="L105" s="76">
        <v>1165.4280000000001</v>
      </c>
      <c r="M105" s="76">
        <v>1258.6622400000001</v>
      </c>
      <c r="N105" s="76">
        <v>1346.7685968000001</v>
      </c>
    </row>
    <row r="106" spans="1:14" x14ac:dyDescent="0.3">
      <c r="A106" s="45" t="s">
        <v>129</v>
      </c>
      <c r="B106" s="62">
        <v>7.0000000000000007E-2</v>
      </c>
      <c r="C106" s="62">
        <v>0.05</v>
      </c>
      <c r="D106" s="62">
        <v>0.08</v>
      </c>
      <c r="E106" s="62">
        <v>0.1</v>
      </c>
      <c r="F106" s="62">
        <v>0.15</v>
      </c>
      <c r="G106" s="62">
        <v>-0.05</v>
      </c>
      <c r="H106" s="62">
        <v>0.1</v>
      </c>
      <c r="I106" s="62">
        <v>0.03</v>
      </c>
      <c r="J106" s="46">
        <f t="shared" ref="J106:J107" si="118">+IFERROR(J105/I105-1,"nm")</f>
        <v>-5.7142857142857051E-2</v>
      </c>
      <c r="K106" s="46">
        <f t="shared" ref="K106:K107" si="119">+IFERROR(K105/J105-1,"nm")</f>
        <v>8.9999999999999858E-2</v>
      </c>
      <c r="L106" s="46">
        <f t="shared" ref="L106:L107" si="120">+IFERROR(L105/K105-1,"nm")</f>
        <v>8.0000000000000293E-2</v>
      </c>
      <c r="M106" s="46">
        <f t="shared" ref="M106:M107" si="121">+IFERROR(M105/L105-1,"nm")</f>
        <v>8.0000000000000071E-2</v>
      </c>
      <c r="N106" s="46">
        <f t="shared" ref="N106:N107" si="122">+IFERROR(N105/M105-1,"nm")</f>
        <v>7.0000000000000062E-2</v>
      </c>
    </row>
    <row r="107" spans="1:14" x14ac:dyDescent="0.3">
      <c r="A107" s="45" t="s">
        <v>133</v>
      </c>
      <c r="B107" s="63">
        <v>3.1E-2</v>
      </c>
      <c r="C107" s="63">
        <v>3.5000000000000003E-2</v>
      </c>
      <c r="D107" s="63">
        <v>3.5999999999999997E-2</v>
      </c>
      <c r="E107" s="63">
        <v>3.6999999999999998E-2</v>
      </c>
      <c r="F107" s="63">
        <v>0.04</v>
      </c>
      <c r="G107" s="63">
        <v>3.2000000000000001E-2</v>
      </c>
      <c r="H107" s="63">
        <v>3.7999999999999999E-2</v>
      </c>
      <c r="I107" s="63">
        <v>0.04</v>
      </c>
      <c r="J107" s="46">
        <f t="shared" si="118"/>
        <v>-2.9047619047619015</v>
      </c>
      <c r="K107" s="46">
        <f t="shared" si="119"/>
        <v>-2.5750000000000002</v>
      </c>
      <c r="L107" s="46">
        <f t="shared" si="120"/>
        <v>-0.1111111111111065</v>
      </c>
      <c r="M107" s="46">
        <f t="shared" si="121"/>
        <v>-2.7755575615628914E-15</v>
      </c>
      <c r="N107" s="46">
        <f t="shared" si="122"/>
        <v>-0.125</v>
      </c>
    </row>
    <row r="108" spans="1:14" x14ac:dyDescent="0.3">
      <c r="A108" s="9" t="s">
        <v>141</v>
      </c>
      <c r="B108" s="1">
        <v>254</v>
      </c>
      <c r="C108" s="1">
        <v>234</v>
      </c>
      <c r="D108" s="1">
        <v>225</v>
      </c>
      <c r="E108" s="1">
        <v>256</v>
      </c>
      <c r="F108" s="1">
        <v>237</v>
      </c>
      <c r="G108" s="1">
        <v>214</v>
      </c>
      <c r="H108" s="1">
        <v>288</v>
      </c>
      <c r="I108" s="1">
        <v>303</v>
      </c>
      <c r="J108" s="76">
        <v>973.50000000000011</v>
      </c>
      <c r="K108" s="76">
        <v>1061.115</v>
      </c>
      <c r="L108" s="76">
        <v>1146.0042000000001</v>
      </c>
      <c r="M108" s="76">
        <v>1237.684536</v>
      </c>
      <c r="N108" s="76">
        <v>1324.3224535200011</v>
      </c>
    </row>
    <row r="109" spans="1:14" x14ac:dyDescent="0.3">
      <c r="A109" s="45" t="s">
        <v>129</v>
      </c>
      <c r="B109" s="73" t="s">
        <v>215</v>
      </c>
      <c r="C109" s="73">
        <v>-7.8740157480314927</v>
      </c>
      <c r="D109" s="73">
        <v>-3.846153846153844</v>
      </c>
      <c r="E109" s="73">
        <v>13.77777777777778</v>
      </c>
      <c r="F109" s="73">
        <v>-7.421875</v>
      </c>
      <c r="G109" s="73">
        <v>-9.7046413502109736</v>
      </c>
      <c r="H109" s="73">
        <v>34.579439252336442</v>
      </c>
      <c r="I109" s="73">
        <v>5.2083333333333259</v>
      </c>
      <c r="J109" s="46">
        <f t="shared" ref="J109:J110" si="123">+IFERROR(J108/I108-1,"nm")</f>
        <v>2.2128712871287131</v>
      </c>
      <c r="K109" s="46">
        <f t="shared" ref="K109:K110" si="124">+IFERROR(K108/J108-1,"nm")</f>
        <v>8.9999999999999858E-2</v>
      </c>
      <c r="L109" s="46">
        <f t="shared" ref="L109:L110" si="125">+IFERROR(L108/K108-1,"nm")</f>
        <v>8.0000000000000071E-2</v>
      </c>
      <c r="M109" s="46">
        <f t="shared" ref="M109:M110" si="126">+IFERROR(M108/L108-1,"nm")</f>
        <v>7.9999999999999849E-2</v>
      </c>
      <c r="N109" s="46">
        <f t="shared" ref="N109:N110" si="127">+IFERROR(N108/M108-1,"nm")</f>
        <v>7.000000000000095E-2</v>
      </c>
    </row>
    <row r="110" spans="1:14" x14ac:dyDescent="0.3">
      <c r="A110" s="45" t="s">
        <v>133</v>
      </c>
      <c r="B110" s="73">
        <v>8.281708509944572</v>
      </c>
      <c r="C110" s="73">
        <v>6.1822985468956402</v>
      </c>
      <c r="D110" s="73">
        <v>5.3103611045551098</v>
      </c>
      <c r="E110" s="73">
        <v>4.9863654070899894</v>
      </c>
      <c r="F110" s="73">
        <v>3.8176546391752582</v>
      </c>
      <c r="G110" s="73">
        <v>3.2040724659380149</v>
      </c>
      <c r="H110" s="73">
        <v>3.4740651387213508</v>
      </c>
      <c r="I110" s="73">
        <v>4.0148403339075127</v>
      </c>
      <c r="J110" s="46">
        <f t="shared" si="123"/>
        <v>-0.57512871287128653</v>
      </c>
      <c r="K110" s="46">
        <f t="shared" si="124"/>
        <v>-0.95932885906040277</v>
      </c>
      <c r="L110" s="46">
        <f t="shared" si="125"/>
        <v>-0.11111111111110894</v>
      </c>
      <c r="M110" s="46">
        <f t="shared" si="126"/>
        <v>-2.7755575615628914E-15</v>
      </c>
      <c r="N110" s="46">
        <f t="shared" si="127"/>
        <v>-0.12499999999998646</v>
      </c>
    </row>
    <row r="111" spans="1:14" x14ac:dyDescent="0.3">
      <c r="A111" s="42" t="s">
        <v>106</v>
      </c>
      <c r="B111" s="42"/>
      <c r="C111" s="42"/>
      <c r="D111" s="42"/>
      <c r="E111" s="42"/>
      <c r="F111" s="42"/>
      <c r="G111" s="42"/>
      <c r="H111" s="42"/>
      <c r="I111" s="42"/>
      <c r="J111" s="38"/>
      <c r="K111" s="38"/>
      <c r="L111" s="38"/>
      <c r="M111" s="38"/>
      <c r="N111" s="38"/>
    </row>
    <row r="112" spans="1:14" x14ac:dyDescent="0.3">
      <c r="A112" s="9" t="s">
        <v>136</v>
      </c>
      <c r="B112" s="61">
        <v>4317</v>
      </c>
      <c r="C112" s="61">
        <v>4700</v>
      </c>
      <c r="D112" s="61">
        <v>4737</v>
      </c>
      <c r="E112" s="61">
        <v>5166</v>
      </c>
      <c r="F112" s="61">
        <v>5254</v>
      </c>
      <c r="G112" s="61">
        <v>5028</v>
      </c>
      <c r="H112" s="61">
        <v>5343</v>
      </c>
      <c r="I112" s="61">
        <v>5955</v>
      </c>
      <c r="J112" s="76">
        <v>6431.4000000000005</v>
      </c>
      <c r="K112" s="76">
        <v>6881.5980000000009</v>
      </c>
      <c r="L112" s="76">
        <v>7294.4938800000009</v>
      </c>
      <c r="M112" s="76">
        <v>7732.1635128000016</v>
      </c>
      <c r="N112" s="76">
        <v>8118.7716884400024</v>
      </c>
    </row>
    <row r="113" spans="1:14" x14ac:dyDescent="0.3">
      <c r="A113" s="43" t="s">
        <v>129</v>
      </c>
      <c r="B113" s="62">
        <v>0.1</v>
      </c>
      <c r="C113" s="62">
        <v>0.09</v>
      </c>
      <c r="D113" s="62">
        <v>0.09</v>
      </c>
      <c r="E113" s="62">
        <v>0.1</v>
      </c>
      <c r="F113" s="62">
        <v>0.02</v>
      </c>
      <c r="G113" s="62">
        <v>-0.04</v>
      </c>
      <c r="H113" s="62">
        <v>0.06</v>
      </c>
      <c r="I113" s="62">
        <v>0.11</v>
      </c>
      <c r="J113" s="46">
        <f t="shared" ref="J113" si="128">+IFERROR(J112/I112-1,"nm")</f>
        <v>8.0000000000000071E-2</v>
      </c>
      <c r="K113" s="46">
        <f t="shared" ref="K113" si="129">+IFERROR(K112/J112-1,"nm")</f>
        <v>7.0000000000000062E-2</v>
      </c>
      <c r="L113" s="46">
        <f t="shared" ref="L113" si="130">+IFERROR(L112/K112-1,"nm")</f>
        <v>6.0000000000000053E-2</v>
      </c>
      <c r="M113" s="46">
        <f t="shared" ref="M113" si="131">+IFERROR(M112/L112-1,"nm")</f>
        <v>6.0000000000000053E-2</v>
      </c>
      <c r="N113" s="46">
        <f t="shared" ref="N113" si="132">+IFERROR(N112/M112-1,"nm")</f>
        <v>5.0000000000000044E-2</v>
      </c>
    </row>
    <row r="114" spans="1:14" x14ac:dyDescent="0.3">
      <c r="A114" s="44" t="s">
        <v>113</v>
      </c>
      <c r="B114" s="72">
        <v>2930</v>
      </c>
      <c r="C114" s="72">
        <v>3285</v>
      </c>
      <c r="D114" s="72">
        <v>3285</v>
      </c>
      <c r="E114" s="72">
        <v>3575</v>
      </c>
      <c r="F114" s="72">
        <v>3622</v>
      </c>
      <c r="G114" s="72">
        <v>3449</v>
      </c>
      <c r="H114" s="72">
        <v>3659</v>
      </c>
      <c r="I114" s="72">
        <v>4111</v>
      </c>
      <c r="J114" s="74">
        <v>4439.88</v>
      </c>
      <c r="K114" s="74">
        <v>4750.6716000000006</v>
      </c>
      <c r="L114" s="74">
        <v>5083.2186120000006</v>
      </c>
      <c r="M114" s="74">
        <v>5388.2117287200008</v>
      </c>
      <c r="N114" s="74">
        <v>5657.6223151560007</v>
      </c>
    </row>
    <row r="115" spans="1:14" x14ac:dyDescent="0.3">
      <c r="A115" s="43" t="s">
        <v>129</v>
      </c>
      <c r="B115" s="62">
        <v>0.12</v>
      </c>
      <c r="C115" s="62">
        <v>0.12</v>
      </c>
      <c r="D115" s="62">
        <v>0.1</v>
      </c>
      <c r="E115" s="62">
        <v>0.09</v>
      </c>
      <c r="F115" s="62">
        <v>0.01</v>
      </c>
      <c r="G115" s="62">
        <v>-0.05</v>
      </c>
      <c r="H115" s="62">
        <v>0.06</v>
      </c>
      <c r="I115" s="62">
        <v>0.12</v>
      </c>
      <c r="J115" s="46">
        <f>+J116+J117</f>
        <v>0</v>
      </c>
      <c r="K115" s="46">
        <f t="shared" ref="K115:N115" si="133">+K116+K117</f>
        <v>0</v>
      </c>
      <c r="L115" s="46">
        <f t="shared" si="133"/>
        <v>0</v>
      </c>
      <c r="M115" s="46">
        <f t="shared" si="133"/>
        <v>0</v>
      </c>
      <c r="N115" s="46">
        <f t="shared" si="133"/>
        <v>0</v>
      </c>
    </row>
    <row r="116" spans="1:14" x14ac:dyDescent="0.3">
      <c r="A116" s="43" t="s">
        <v>137</v>
      </c>
      <c r="B116" s="62">
        <v>0.16</v>
      </c>
      <c r="C116" s="62">
        <v>0.09</v>
      </c>
      <c r="D116" s="62">
        <v>0.09</v>
      </c>
      <c r="E116" s="62">
        <v>0.1</v>
      </c>
      <c r="F116" s="62">
        <v>0.12</v>
      </c>
      <c r="G116" s="62">
        <v>0</v>
      </c>
      <c r="H116" s="62">
        <v>0.08</v>
      </c>
      <c r="I116" s="62">
        <v>0.16</v>
      </c>
      <c r="J116" s="48">
        <v>0</v>
      </c>
      <c r="K116" s="48">
        <f t="shared" ref="K116:K117" si="134">+J116</f>
        <v>0</v>
      </c>
      <c r="L116" s="48">
        <f t="shared" ref="L116:L117" si="135">+K116</f>
        <v>0</v>
      </c>
      <c r="M116" s="48">
        <f t="shared" ref="M116:M117" si="136">+L116</f>
        <v>0</v>
      </c>
      <c r="N116" s="48">
        <f t="shared" ref="N116:N117" si="137">+M116</f>
        <v>0</v>
      </c>
    </row>
    <row r="117" spans="1:14" x14ac:dyDescent="0.3">
      <c r="A117" s="43" t="s">
        <v>138</v>
      </c>
      <c r="B117" s="62">
        <v>0.04</v>
      </c>
      <c r="C117" s="62">
        <v>0.03</v>
      </c>
      <c r="D117" s="62">
        <v>0.01</v>
      </c>
      <c r="E117" s="62">
        <v>0.01</v>
      </c>
      <c r="F117" s="62">
        <v>-0.11</v>
      </c>
      <c r="G117" s="62">
        <v>-0.05</v>
      </c>
      <c r="H117" s="62">
        <v>-0.02</v>
      </c>
      <c r="I117" s="62">
        <v>-0.03</v>
      </c>
      <c r="J117" s="48">
        <v>0</v>
      </c>
      <c r="K117" s="48">
        <f t="shared" si="134"/>
        <v>0</v>
      </c>
      <c r="L117" s="48">
        <f t="shared" si="135"/>
        <v>0</v>
      </c>
      <c r="M117" s="48">
        <f t="shared" si="136"/>
        <v>0</v>
      </c>
      <c r="N117" s="48">
        <f t="shared" si="137"/>
        <v>0</v>
      </c>
    </row>
    <row r="118" spans="1:14" x14ac:dyDescent="0.3">
      <c r="A118" s="44" t="s">
        <v>114</v>
      </c>
      <c r="B118" s="72">
        <v>1117</v>
      </c>
      <c r="C118" s="72">
        <v>1185</v>
      </c>
      <c r="D118" s="72">
        <v>1185</v>
      </c>
      <c r="E118" s="72">
        <v>1347</v>
      </c>
      <c r="F118" s="72">
        <v>1395</v>
      </c>
      <c r="G118" s="72">
        <v>1365</v>
      </c>
      <c r="H118" s="72">
        <v>1494</v>
      </c>
      <c r="I118" s="72">
        <v>1610</v>
      </c>
      <c r="J118" s="75">
        <v>1722.7</v>
      </c>
      <c r="K118" s="75">
        <v>1843.289</v>
      </c>
      <c r="L118" s="75">
        <v>1953.88634</v>
      </c>
      <c r="M118" s="75">
        <v>2071.119520400001</v>
      </c>
      <c r="N118" s="75">
        <v>2174.6754964200009</v>
      </c>
    </row>
    <row r="119" spans="1:14" x14ac:dyDescent="0.3">
      <c r="A119" s="43" t="s">
        <v>129</v>
      </c>
      <c r="B119" s="62">
        <v>0.06</v>
      </c>
      <c r="C119" s="62">
        <v>0.06</v>
      </c>
      <c r="D119" s="62">
        <v>7.0000000000000007E-2</v>
      </c>
      <c r="E119" s="62">
        <v>0.14000000000000001</v>
      </c>
      <c r="F119" s="62">
        <v>0.04</v>
      </c>
      <c r="G119" s="62">
        <v>-0.02</v>
      </c>
      <c r="H119" s="62">
        <v>0.09</v>
      </c>
      <c r="I119" s="62">
        <v>0.08</v>
      </c>
      <c r="J119" s="46">
        <f>+J120+J121</f>
        <v>0</v>
      </c>
      <c r="K119" s="46">
        <f t="shared" ref="K119:N119" si="138">+K120+K121</f>
        <v>0</v>
      </c>
      <c r="L119" s="46">
        <f t="shared" si="138"/>
        <v>0</v>
      </c>
      <c r="M119" s="46">
        <f t="shared" si="138"/>
        <v>0</v>
      </c>
      <c r="N119" s="46">
        <f t="shared" si="138"/>
        <v>0</v>
      </c>
    </row>
    <row r="120" spans="1:14" x14ac:dyDescent="0.3">
      <c r="A120" s="43" t="s">
        <v>137</v>
      </c>
      <c r="B120" s="62">
        <v>0.09</v>
      </c>
      <c r="C120" s="62">
        <v>0.1</v>
      </c>
      <c r="D120" s="62">
        <v>0.1</v>
      </c>
      <c r="E120" s="62">
        <v>0.15</v>
      </c>
      <c r="F120" s="62">
        <v>0.15</v>
      </c>
      <c r="G120" s="62">
        <v>0.03</v>
      </c>
      <c r="H120" s="62">
        <v>0.1</v>
      </c>
      <c r="I120" s="62">
        <v>0.12</v>
      </c>
      <c r="J120" s="48">
        <v>0</v>
      </c>
      <c r="K120" s="48">
        <f t="shared" ref="K120:K121" si="139">+J120</f>
        <v>0</v>
      </c>
      <c r="L120" s="48">
        <f t="shared" ref="L120:L121" si="140">+K120</f>
        <v>0</v>
      </c>
      <c r="M120" s="48">
        <f t="shared" ref="M120:M121" si="141">+L120</f>
        <v>0</v>
      </c>
      <c r="N120" s="48">
        <f t="shared" ref="N120:N121" si="142">+M120</f>
        <v>0</v>
      </c>
    </row>
    <row r="121" spans="1:14" x14ac:dyDescent="0.3">
      <c r="A121" s="43" t="s">
        <v>138</v>
      </c>
      <c r="B121" s="62">
        <v>0.03</v>
      </c>
      <c r="C121" s="62">
        <v>0.04</v>
      </c>
      <c r="D121" s="62">
        <v>0.04</v>
      </c>
      <c r="E121" s="62">
        <v>-0.01</v>
      </c>
      <c r="F121" s="62">
        <v>-0.03</v>
      </c>
      <c r="G121" s="62">
        <v>-0.05</v>
      </c>
      <c r="H121" s="62">
        <v>-0.01</v>
      </c>
      <c r="I121" s="62">
        <v>-0.04</v>
      </c>
      <c r="J121" s="48">
        <v>0</v>
      </c>
      <c r="K121" s="48">
        <f t="shared" si="139"/>
        <v>0</v>
      </c>
      <c r="L121" s="48">
        <f t="shared" si="140"/>
        <v>0</v>
      </c>
      <c r="M121" s="48">
        <f t="shared" si="141"/>
        <v>0</v>
      </c>
      <c r="N121" s="48">
        <f t="shared" si="142"/>
        <v>0</v>
      </c>
    </row>
    <row r="122" spans="1:14" x14ac:dyDescent="0.3">
      <c r="A122" s="44" t="s">
        <v>115</v>
      </c>
      <c r="B122" s="72">
        <v>270</v>
      </c>
      <c r="C122" s="72">
        <v>267</v>
      </c>
      <c r="D122" s="72">
        <v>267</v>
      </c>
      <c r="E122" s="72">
        <v>244</v>
      </c>
      <c r="F122" s="72">
        <v>237</v>
      </c>
      <c r="G122" s="72">
        <v>214</v>
      </c>
      <c r="H122" s="72">
        <v>190</v>
      </c>
      <c r="I122" s="72">
        <v>234</v>
      </c>
      <c r="J122" s="75">
        <v>248.04</v>
      </c>
      <c r="K122" s="75">
        <v>262.92239999999998</v>
      </c>
      <c r="L122" s="75">
        <v>276.06851999999998</v>
      </c>
      <c r="M122" s="75">
        <v>289.87194599999998</v>
      </c>
      <c r="N122" s="75">
        <v>301.46682384000007</v>
      </c>
    </row>
    <row r="123" spans="1:14" x14ac:dyDescent="0.3">
      <c r="A123" s="43" t="s">
        <v>129</v>
      </c>
      <c r="B123" s="62">
        <v>-0.01</v>
      </c>
      <c r="C123" s="62">
        <v>-0.03</v>
      </c>
      <c r="D123" s="62">
        <v>-0.08</v>
      </c>
      <c r="E123" s="62">
        <v>-0.03</v>
      </c>
      <c r="F123" s="62">
        <v>-0.1</v>
      </c>
      <c r="G123" s="62">
        <v>-0.11</v>
      </c>
      <c r="H123" s="62">
        <v>-0.11</v>
      </c>
      <c r="I123" s="62">
        <v>0.23</v>
      </c>
      <c r="J123" s="46">
        <f>+J124+J125</f>
        <v>0</v>
      </c>
      <c r="K123" s="46">
        <f t="shared" ref="K123:N123" si="143">+K124+K125</f>
        <v>0</v>
      </c>
      <c r="L123" s="46">
        <f t="shared" si="143"/>
        <v>0</v>
      </c>
      <c r="M123" s="46">
        <f t="shared" si="143"/>
        <v>0</v>
      </c>
      <c r="N123" s="46">
        <f t="shared" si="143"/>
        <v>0</v>
      </c>
    </row>
    <row r="124" spans="1:14" x14ac:dyDescent="0.3">
      <c r="A124" s="43" t="s">
        <v>137</v>
      </c>
      <c r="B124" s="62">
        <v>-0.01</v>
      </c>
      <c r="C124" s="62">
        <v>-0.01</v>
      </c>
      <c r="D124" s="62">
        <v>-0.06</v>
      </c>
      <c r="E124" s="62">
        <v>-0.02</v>
      </c>
      <c r="F124" s="62">
        <v>-0.06</v>
      </c>
      <c r="G124" s="62">
        <v>-0.1</v>
      </c>
      <c r="H124" s="62">
        <v>-0.09</v>
      </c>
      <c r="I124" s="62">
        <v>0.28000000000000003</v>
      </c>
      <c r="J124" s="48">
        <v>0</v>
      </c>
      <c r="K124" s="48">
        <f t="shared" ref="K124:K125" si="144">+J124</f>
        <v>0</v>
      </c>
      <c r="L124" s="48">
        <f t="shared" ref="L124:L125" si="145">+K124</f>
        <v>0</v>
      </c>
      <c r="M124" s="48">
        <f t="shared" ref="M124:M125" si="146">+L124</f>
        <v>0</v>
      </c>
      <c r="N124" s="48">
        <f t="shared" ref="N124:N125" si="147">+M124</f>
        <v>0</v>
      </c>
    </row>
    <row r="125" spans="1:14" x14ac:dyDescent="0.3">
      <c r="A125" s="43" t="s">
        <v>138</v>
      </c>
      <c r="B125" s="62">
        <v>0</v>
      </c>
      <c r="C125" s="62">
        <v>0.02</v>
      </c>
      <c r="D125" s="62">
        <v>-0.02</v>
      </c>
      <c r="E125" s="62">
        <v>-0.01</v>
      </c>
      <c r="F125" s="62">
        <v>-0.04</v>
      </c>
      <c r="G125" s="62">
        <v>-0.01</v>
      </c>
      <c r="H125" s="62">
        <v>-0.02</v>
      </c>
      <c r="I125" s="62">
        <v>-0.05</v>
      </c>
      <c r="J125" s="48">
        <v>0</v>
      </c>
      <c r="K125" s="48">
        <f t="shared" si="144"/>
        <v>0</v>
      </c>
      <c r="L125" s="48">
        <f t="shared" si="145"/>
        <v>0</v>
      </c>
      <c r="M125" s="48">
        <f t="shared" si="146"/>
        <v>0</v>
      </c>
      <c r="N125" s="48">
        <f t="shared" si="147"/>
        <v>0</v>
      </c>
    </row>
    <row r="126" spans="1:14" x14ac:dyDescent="0.3">
      <c r="A126" s="9" t="s">
        <v>130</v>
      </c>
      <c r="B126" s="61">
        <v>1200</v>
      </c>
      <c r="C126" s="61">
        <v>1300</v>
      </c>
      <c r="D126" s="61">
        <v>1400</v>
      </c>
      <c r="E126" s="61">
        <v>1600</v>
      </c>
      <c r="F126" s="61">
        <v>1800</v>
      </c>
      <c r="G126" s="61">
        <v>1500</v>
      </c>
      <c r="H126" s="61">
        <v>1530</v>
      </c>
      <c r="I126" s="61">
        <v>1896</v>
      </c>
      <c r="J126" s="76">
        <v>1296</v>
      </c>
      <c r="K126" s="76">
        <v>1386.72</v>
      </c>
      <c r="L126" s="76">
        <v>1469.9232</v>
      </c>
      <c r="M126" s="76">
        <v>1558.118592</v>
      </c>
      <c r="N126" s="76">
        <v>1636.0245216000001</v>
      </c>
    </row>
    <row r="127" spans="1:14" x14ac:dyDescent="0.3">
      <c r="A127" s="45" t="s">
        <v>129</v>
      </c>
      <c r="B127" s="62">
        <v>0.05</v>
      </c>
      <c r="C127" s="62">
        <v>0.08</v>
      </c>
      <c r="D127" s="62">
        <v>7.0000000000000007E-2</v>
      </c>
      <c r="E127" s="62">
        <v>7.0000000000000007E-2</v>
      </c>
      <c r="F127" s="62">
        <v>0.05</v>
      </c>
      <c r="G127" s="63">
        <v>-0.16700000000000001</v>
      </c>
      <c r="H127" s="62">
        <v>0.28999999999999998</v>
      </c>
      <c r="I127" s="62">
        <v>0.24</v>
      </c>
      <c r="J127" s="46">
        <f t="shared" ref="J127:J128" si="148">+IFERROR(J126/I126-1,"nm")</f>
        <v>-0.31645569620253167</v>
      </c>
      <c r="K127" s="46">
        <f t="shared" ref="K127:K128" si="149">+IFERROR(K126/J126-1,"nm")</f>
        <v>7.0000000000000062E-2</v>
      </c>
      <c r="L127" s="46">
        <f t="shared" ref="L127:L128" si="150">+IFERROR(L126/K126-1,"nm")</f>
        <v>6.0000000000000053E-2</v>
      </c>
      <c r="M127" s="46">
        <f t="shared" ref="M127:M128" si="151">+IFERROR(M126/L126-1,"nm")</f>
        <v>6.0000000000000053E-2</v>
      </c>
      <c r="N127" s="46">
        <f t="shared" ref="N127:N128" si="152">+IFERROR(N126/M126-1,"nm")</f>
        <v>5.0000000000000044E-2</v>
      </c>
    </row>
    <row r="128" spans="1:14" x14ac:dyDescent="0.3">
      <c r="A128" s="45" t="s">
        <v>131</v>
      </c>
      <c r="B128" s="63">
        <v>0.193</v>
      </c>
      <c r="C128" s="63">
        <v>0.2</v>
      </c>
      <c r="D128" s="63">
        <v>0.183</v>
      </c>
      <c r="E128" s="63">
        <v>0.17</v>
      </c>
      <c r="F128" s="63">
        <v>0.185</v>
      </c>
      <c r="G128" s="63">
        <v>0.16</v>
      </c>
      <c r="H128" s="63">
        <v>0.183</v>
      </c>
      <c r="I128" s="63">
        <v>0.18</v>
      </c>
      <c r="J128" s="46">
        <f t="shared" si="148"/>
        <v>-2.3185654008438821</v>
      </c>
      <c r="K128" s="46">
        <f t="shared" si="149"/>
        <v>-1.2212000000000001</v>
      </c>
      <c r="L128" s="46">
        <f t="shared" si="150"/>
        <v>-0.1428571428571429</v>
      </c>
      <c r="M128" s="46">
        <f t="shared" si="151"/>
        <v>0</v>
      </c>
      <c r="N128" s="46">
        <f t="shared" si="152"/>
        <v>-0.16666666666666663</v>
      </c>
    </row>
    <row r="129" spans="1:14" x14ac:dyDescent="0.3">
      <c r="A129" s="9" t="s">
        <v>132</v>
      </c>
      <c r="B129" s="61">
        <v>320</v>
      </c>
      <c r="C129" s="61">
        <v>350</v>
      </c>
      <c r="D129" s="61">
        <v>400</v>
      </c>
      <c r="E129" s="61">
        <v>450</v>
      </c>
      <c r="F129" s="61">
        <v>480</v>
      </c>
      <c r="G129" s="61">
        <v>500</v>
      </c>
      <c r="H129" s="61">
        <v>600</v>
      </c>
      <c r="I129" s="61">
        <v>625</v>
      </c>
      <c r="J129" s="76">
        <v>432</v>
      </c>
      <c r="K129" s="76">
        <v>462.24</v>
      </c>
      <c r="L129" s="76">
        <v>489.97440000000012</v>
      </c>
      <c r="M129" s="76">
        <v>519.37286400000005</v>
      </c>
      <c r="N129" s="76">
        <v>545.34150720000002</v>
      </c>
    </row>
    <row r="130" spans="1:14" x14ac:dyDescent="0.3">
      <c r="A130" s="45" t="s">
        <v>129</v>
      </c>
      <c r="B130" s="63">
        <v>0.02</v>
      </c>
      <c r="C130" s="63">
        <v>0.09</v>
      </c>
      <c r="D130" s="62">
        <v>0.05</v>
      </c>
      <c r="E130" s="62">
        <v>7.0000000000000007E-2</v>
      </c>
      <c r="F130" s="62">
        <v>0.03</v>
      </c>
      <c r="G130" s="62">
        <v>-7.0000000000000007E-2</v>
      </c>
      <c r="H130" s="62">
        <v>0.15</v>
      </c>
      <c r="I130" s="62">
        <v>0.04</v>
      </c>
      <c r="J130" s="46">
        <f t="shared" ref="J130" si="153">+IFERROR(J129/I129-1,"nm")</f>
        <v>-0.30879999999999996</v>
      </c>
      <c r="K130" s="46">
        <f t="shared" ref="K130" si="154">+IFERROR(K129/J129-1,"nm")</f>
        <v>7.0000000000000062E-2</v>
      </c>
      <c r="L130" s="46">
        <f t="shared" ref="L130" si="155">+IFERROR(L129/K129-1,"nm")</f>
        <v>6.0000000000000275E-2</v>
      </c>
      <c r="M130" s="46">
        <f t="shared" ref="M130" si="156">+IFERROR(M129/L129-1,"nm")</f>
        <v>5.9999999999999831E-2</v>
      </c>
      <c r="N130" s="46">
        <f t="shared" ref="N130" si="157">+IFERROR(N129/M129-1,"nm")</f>
        <v>5.0000000000000044E-2</v>
      </c>
    </row>
    <row r="131" spans="1:14" x14ac:dyDescent="0.3">
      <c r="A131" s="45" t="s">
        <v>133</v>
      </c>
      <c r="B131" s="63">
        <v>5.5E-2</v>
      </c>
      <c r="C131" s="63">
        <v>0.06</v>
      </c>
      <c r="D131" s="63">
        <v>5.5E-2</v>
      </c>
      <c r="E131" s="63">
        <v>0.05</v>
      </c>
      <c r="F131" s="63">
        <v>4.4999999999999998E-2</v>
      </c>
      <c r="G131" s="63">
        <v>5.1999999999999998E-2</v>
      </c>
      <c r="H131" s="63">
        <v>5.1999999999999998E-2</v>
      </c>
      <c r="I131" s="63">
        <v>0.05</v>
      </c>
      <c r="J131" s="77">
        <v>7.1175324366712616</v>
      </c>
      <c r="K131" s="77">
        <v>6.9160928394069803</v>
      </c>
      <c r="L131" s="77">
        <v>6.7843577377039903</v>
      </c>
      <c r="M131" s="77">
        <v>6.5905189451981609</v>
      </c>
      <c r="N131" s="77">
        <v>6.4637781962520418</v>
      </c>
    </row>
    <row r="132" spans="1:14" x14ac:dyDescent="0.3">
      <c r="A132" s="9" t="s">
        <v>134</v>
      </c>
      <c r="B132" s="61">
        <v>980</v>
      </c>
      <c r="C132" s="61">
        <v>1000</v>
      </c>
      <c r="D132" s="61">
        <v>1277</v>
      </c>
      <c r="E132" s="61">
        <v>1189</v>
      </c>
      <c r="F132" s="61">
        <v>1323</v>
      </c>
      <c r="G132" s="61">
        <v>1184</v>
      </c>
      <c r="H132" s="61">
        <v>1434</v>
      </c>
      <c r="I132" s="61">
        <v>1530</v>
      </c>
      <c r="J132" s="76">
        <v>1296</v>
      </c>
      <c r="K132" s="76">
        <v>1386.72</v>
      </c>
      <c r="L132" s="76">
        <v>1469.9232</v>
      </c>
      <c r="M132" s="76">
        <v>1558.118592</v>
      </c>
      <c r="N132" s="76">
        <v>1636.0245216000001</v>
      </c>
    </row>
    <row r="133" spans="1:14" x14ac:dyDescent="0.3">
      <c r="A133" s="45" t="s">
        <v>129</v>
      </c>
      <c r="B133" s="62">
        <v>0.05</v>
      </c>
      <c r="C133" s="62">
        <v>0.02</v>
      </c>
      <c r="D133" s="62">
        <v>0.1</v>
      </c>
      <c r="E133" s="62">
        <v>0.21</v>
      </c>
      <c r="F133" s="62">
        <v>0.11</v>
      </c>
      <c r="G133" s="62">
        <v>-0.11</v>
      </c>
      <c r="H133" s="62">
        <v>0.21</v>
      </c>
      <c r="I133" s="62">
        <v>7.0000000000000007E-2</v>
      </c>
      <c r="J133" s="46">
        <f t="shared" ref="J133:J134" si="158">+IFERROR(J132/I132-1,"nm")</f>
        <v>-0.15294117647058825</v>
      </c>
      <c r="K133" s="46">
        <f t="shared" ref="K133:K134" si="159">+IFERROR(K132/J132-1,"nm")</f>
        <v>7.0000000000000062E-2</v>
      </c>
      <c r="L133" s="46">
        <f t="shared" ref="L133:L134" si="160">+IFERROR(L132/K132-1,"nm")</f>
        <v>6.0000000000000053E-2</v>
      </c>
      <c r="M133" s="46">
        <f t="shared" ref="M133:M134" si="161">+IFERROR(M132/L132-1,"nm")</f>
        <v>6.0000000000000053E-2</v>
      </c>
      <c r="N133" s="46">
        <f t="shared" ref="N133:N134" si="162">+IFERROR(N132/M132-1,"nm")</f>
        <v>5.0000000000000044E-2</v>
      </c>
    </row>
    <row r="134" spans="1:14" x14ac:dyDescent="0.3">
      <c r="A134" s="45" t="s">
        <v>131</v>
      </c>
      <c r="B134" s="63">
        <v>0.14499999999999999</v>
      </c>
      <c r="C134" s="63">
        <v>0.16700000000000001</v>
      </c>
      <c r="D134" s="63">
        <v>0.17499999999999999</v>
      </c>
      <c r="E134" s="63">
        <v>0.183</v>
      </c>
      <c r="F134" s="63">
        <v>0.192</v>
      </c>
      <c r="G134" s="63">
        <v>0.157</v>
      </c>
      <c r="H134" s="63">
        <v>0.19</v>
      </c>
      <c r="I134" s="63">
        <v>0.20699999999999999</v>
      </c>
      <c r="J134" s="46">
        <f t="shared" si="158"/>
        <v>-3.1848739495798317</v>
      </c>
      <c r="K134" s="46">
        <f t="shared" si="159"/>
        <v>-1.4576923076923081</v>
      </c>
      <c r="L134" s="46">
        <f t="shared" si="160"/>
        <v>-0.1428571428571429</v>
      </c>
      <c r="M134" s="46">
        <f t="shared" si="161"/>
        <v>0</v>
      </c>
      <c r="N134" s="46">
        <f t="shared" si="162"/>
        <v>-0.16666666666666663</v>
      </c>
    </row>
    <row r="135" spans="1:14" x14ac:dyDescent="0.3">
      <c r="A135" s="9" t="s">
        <v>135</v>
      </c>
      <c r="B135" s="61">
        <v>600</v>
      </c>
      <c r="C135" s="61">
        <v>650</v>
      </c>
      <c r="D135" s="61">
        <v>700</v>
      </c>
      <c r="E135" s="61">
        <v>750</v>
      </c>
      <c r="F135" s="61">
        <v>800</v>
      </c>
      <c r="G135" s="61">
        <v>850</v>
      </c>
      <c r="H135" s="61">
        <v>900</v>
      </c>
      <c r="I135" s="61">
        <v>1000</v>
      </c>
      <c r="J135" s="76">
        <v>756</v>
      </c>
      <c r="K135" s="76">
        <v>808.92000000000007</v>
      </c>
      <c r="L135" s="76">
        <v>857.4552000000001</v>
      </c>
      <c r="M135" s="76">
        <v>908.90251200000012</v>
      </c>
      <c r="N135" s="76">
        <v>954.34763760000021</v>
      </c>
    </row>
    <row r="136" spans="1:14" x14ac:dyDescent="0.3">
      <c r="A136" s="45" t="s">
        <v>129</v>
      </c>
      <c r="B136" s="62">
        <v>0.06</v>
      </c>
      <c r="C136" s="62">
        <v>0.08</v>
      </c>
      <c r="D136" s="62">
        <v>0.1</v>
      </c>
      <c r="E136" s="62">
        <v>0.12</v>
      </c>
      <c r="F136" s="62">
        <v>0.13</v>
      </c>
      <c r="G136" s="62">
        <v>-0.05</v>
      </c>
      <c r="H136" s="62">
        <v>0.1</v>
      </c>
      <c r="I136" s="62">
        <v>0.05</v>
      </c>
      <c r="J136" s="46">
        <f t="shared" ref="J136:J137" si="163">+IFERROR(J135/I135-1,"nm")</f>
        <v>-0.24399999999999999</v>
      </c>
      <c r="K136" s="46">
        <f t="shared" ref="K136:K137" si="164">+IFERROR(K135/J135-1,"nm")</f>
        <v>7.0000000000000062E-2</v>
      </c>
      <c r="L136" s="46">
        <f t="shared" ref="L136:L137" si="165">+IFERROR(L135/K135-1,"nm")</f>
        <v>6.0000000000000053E-2</v>
      </c>
      <c r="M136" s="46">
        <f t="shared" ref="M136:M137" si="166">+IFERROR(M135/L135-1,"nm")</f>
        <v>6.0000000000000053E-2</v>
      </c>
      <c r="N136" s="46">
        <f t="shared" ref="N136:N137" si="167">+IFERROR(N135/M135-1,"nm")</f>
        <v>5.0000000000000044E-2</v>
      </c>
    </row>
    <row r="137" spans="1:14" x14ac:dyDescent="0.3">
      <c r="A137" s="45" t="s">
        <v>133</v>
      </c>
      <c r="B137" s="63">
        <v>3.1E-2</v>
      </c>
      <c r="C137" s="63">
        <v>3.5000000000000003E-2</v>
      </c>
      <c r="D137" s="63">
        <v>3.5999999999999997E-2</v>
      </c>
      <c r="E137" s="63">
        <v>3.6999999999999998E-2</v>
      </c>
      <c r="F137" s="63">
        <v>0.04</v>
      </c>
      <c r="G137" s="63">
        <v>3.2000000000000001E-2</v>
      </c>
      <c r="H137" s="63">
        <v>3.7999999999999999E-2</v>
      </c>
      <c r="I137" s="63">
        <v>4.2000000000000003E-2</v>
      </c>
      <c r="J137" s="46">
        <f t="shared" si="163"/>
        <v>-5.88</v>
      </c>
      <c r="K137" s="46">
        <f t="shared" si="164"/>
        <v>-1.2868852459016396</v>
      </c>
      <c r="L137" s="46">
        <f t="shared" si="165"/>
        <v>-0.1428571428571429</v>
      </c>
      <c r="M137" s="46">
        <f t="shared" si="166"/>
        <v>0</v>
      </c>
      <c r="N137" s="46">
        <f t="shared" si="167"/>
        <v>-0.16666666666666663</v>
      </c>
    </row>
    <row r="138" spans="1:14" x14ac:dyDescent="0.3">
      <c r="A138" s="9" t="s">
        <v>141</v>
      </c>
      <c r="B138" s="1">
        <v>340</v>
      </c>
      <c r="C138" s="1">
        <v>340</v>
      </c>
      <c r="D138" s="1">
        <v>326</v>
      </c>
      <c r="E138" s="1">
        <v>339</v>
      </c>
      <c r="F138" s="1">
        <v>326</v>
      </c>
      <c r="G138" s="1">
        <v>296</v>
      </c>
      <c r="H138" s="1">
        <v>304</v>
      </c>
      <c r="I138" s="1">
        <v>274</v>
      </c>
      <c r="J138" s="76">
        <v>993.6</v>
      </c>
      <c r="K138" s="76">
        <v>1063.152</v>
      </c>
      <c r="L138" s="76">
        <v>1126.94112</v>
      </c>
      <c r="M138" s="76">
        <v>1194.5575871999999</v>
      </c>
      <c r="N138" s="76">
        <v>1254.28546656</v>
      </c>
    </row>
    <row r="139" spans="1:14" x14ac:dyDescent="0.3">
      <c r="A139" s="45" t="s">
        <v>129</v>
      </c>
      <c r="B139" s="73" t="s">
        <v>215</v>
      </c>
      <c r="C139" s="73">
        <v>0</v>
      </c>
      <c r="D139" s="73">
        <v>-4.1176470588235254</v>
      </c>
      <c r="E139" s="73">
        <v>3.987730061349692</v>
      </c>
      <c r="F139" s="73">
        <v>-3.8348082595870192</v>
      </c>
      <c r="G139" s="73">
        <v>-9.2024539877300633</v>
      </c>
      <c r="H139" s="73">
        <v>2.7027027027026969</v>
      </c>
      <c r="I139" s="73">
        <v>-9.8684210526315823</v>
      </c>
      <c r="J139" s="46">
        <f t="shared" ref="J139:J140" si="168">+IFERROR(J138/I138-1,"nm")</f>
        <v>2.6262773722627739</v>
      </c>
      <c r="K139" s="46">
        <f t="shared" ref="K139:K140" si="169">+IFERROR(K138/J138-1,"nm")</f>
        <v>7.0000000000000062E-2</v>
      </c>
      <c r="L139" s="46">
        <f t="shared" ref="L139:L140" si="170">+IFERROR(L138/K138-1,"nm")</f>
        <v>5.9999999999999831E-2</v>
      </c>
      <c r="M139" s="46">
        <f t="shared" ref="M139:M140" si="171">+IFERROR(M138/L138-1,"nm")</f>
        <v>6.0000000000000053E-2</v>
      </c>
      <c r="N139" s="46">
        <f t="shared" ref="N139:N140" si="172">+IFERROR(N138/M138-1,"nm")</f>
        <v>5.0000000000000044E-2</v>
      </c>
    </row>
    <row r="140" spans="1:14" x14ac:dyDescent="0.3">
      <c r="A140" s="45" t="s">
        <v>133</v>
      </c>
      <c r="B140" s="73">
        <v>7.3071136900924136</v>
      </c>
      <c r="C140" s="73">
        <v>7.8758397034977996</v>
      </c>
      <c r="D140" s="73">
        <v>6.8819928224614726</v>
      </c>
      <c r="E140" s="73">
        <v>6.5621370499419278</v>
      </c>
      <c r="F140" s="73">
        <v>6.2047963456414159</v>
      </c>
      <c r="G140" s="73">
        <v>5.8870326173428804</v>
      </c>
      <c r="H140" s="73">
        <v>5.6896874415122589</v>
      </c>
      <c r="I140" s="73">
        <v>4.6011754827875739</v>
      </c>
      <c r="J140" s="46">
        <f t="shared" si="168"/>
        <v>-1.2661294403892942</v>
      </c>
      <c r="K140" s="46">
        <f t="shared" si="169"/>
        <v>-0.97334630350194551</v>
      </c>
      <c r="L140" s="46">
        <f t="shared" si="170"/>
        <v>-0.14285714285714601</v>
      </c>
      <c r="M140" s="46">
        <f t="shared" si="171"/>
        <v>3.7747582837255322E-15</v>
      </c>
      <c r="N140" s="46">
        <f t="shared" si="172"/>
        <v>-0.16666666666666663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zoomScale="105" workbookViewId="0">
      <selection activeCell="E60" sqref="E60"/>
    </sheetView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3">
      <c r="A2" s="39" t="s">
        <v>148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196</v>
      </c>
    </row>
    <row r="4" spans="1:15" x14ac:dyDescent="0.3">
      <c r="A4" s="41" t="s">
        <v>129</v>
      </c>
      <c r="B4" s="53">
        <f>'Segmental forecast'!B4</f>
        <v>0.06</v>
      </c>
      <c r="C4" s="53">
        <f>'Segmental forecast'!C4</f>
        <v>0.06</v>
      </c>
      <c r="D4" s="53">
        <f>'Segmental forecast'!D4</f>
        <v>0.06</v>
      </c>
      <c r="E4" s="53">
        <f>'Segmental forecast'!E4</f>
        <v>7.0000000000000007E-2</v>
      </c>
      <c r="F4" s="53">
        <f>'Segmental forecast'!F4</f>
        <v>-0.04</v>
      </c>
      <c r="G4" s="53">
        <f>'Segmental forecast'!G4</f>
        <v>0.19</v>
      </c>
      <c r="H4" s="53">
        <f>'Segmental forecast'!H4</f>
        <v>0.05</v>
      </c>
      <c r="I4" s="53">
        <f>'Segmental forecast'!I4</f>
        <v>0.05</v>
      </c>
      <c r="J4" s="53"/>
      <c r="K4" s="53"/>
      <c r="L4" s="53"/>
      <c r="M4" s="53"/>
      <c r="N4" s="53"/>
    </row>
    <row r="5" spans="1:15" x14ac:dyDescent="0.3">
      <c r="A5" s="1" t="s">
        <v>149</v>
      </c>
      <c r="B5" s="9">
        <f>'Segmental forecast'!B5</f>
        <v>7200</v>
      </c>
      <c r="C5" s="9">
        <f>'Segmental forecast'!C5</f>
        <v>7600</v>
      </c>
      <c r="D5" s="9">
        <f>'Segmental forecast'!D5</f>
        <v>8000</v>
      </c>
      <c r="E5" s="9">
        <f>'Segmental forecast'!E5</f>
        <v>8300</v>
      </c>
      <c r="F5" s="9">
        <f>'Segmental forecast'!F5</f>
        <v>8500</v>
      </c>
      <c r="G5" s="9">
        <f>'Segmental forecast'!G5</f>
        <v>7000</v>
      </c>
      <c r="H5" s="9">
        <f>'Segmental forecast'!H5</f>
        <v>9500</v>
      </c>
      <c r="I5" s="9">
        <f>'Segmental forecast'!I5</f>
        <v>9800</v>
      </c>
      <c r="J5" s="9"/>
      <c r="K5" s="9"/>
      <c r="L5" s="9"/>
      <c r="M5" s="9"/>
      <c r="N5" s="9"/>
    </row>
    <row r="6" spans="1:15" x14ac:dyDescent="0.3">
      <c r="A6" s="49" t="s">
        <v>132</v>
      </c>
      <c r="B6" s="54">
        <f>'Segmental forecast'!B8</f>
        <v>1500</v>
      </c>
      <c r="C6" s="54">
        <f>'Segmental forecast'!C8</f>
        <v>1600</v>
      </c>
      <c r="D6" s="54">
        <f>'Segmental forecast'!D8</f>
        <v>1700</v>
      </c>
      <c r="E6" s="54">
        <f>'Segmental forecast'!E8</f>
        <v>1800</v>
      </c>
      <c r="F6" s="54">
        <f>'Segmental forecast'!F8</f>
        <v>1850</v>
      </c>
      <c r="G6" s="54">
        <f>'Segmental forecast'!G8</f>
        <v>1750</v>
      </c>
      <c r="H6" s="54">
        <f>'Segmental forecast'!H8</f>
        <v>1900</v>
      </c>
      <c r="I6" s="54">
        <f>'Segmental forecast'!I8</f>
        <v>2000</v>
      </c>
      <c r="J6" s="54">
        <f>'Segmental forecast'!J8</f>
        <v>2106</v>
      </c>
      <c r="K6" s="54">
        <f>'Segmental forecast'!K8</f>
        <v>2217.62</v>
      </c>
      <c r="L6" s="54">
        <f>'Segmental forecast'!L8</f>
        <v>2335.15</v>
      </c>
      <c r="M6" s="54">
        <f>'Segmental forecast'!M8</f>
        <v>2458.91</v>
      </c>
      <c r="N6" s="54">
        <f>'Segmental forecast'!N8</f>
        <v>2589.2399999999998</v>
      </c>
    </row>
    <row r="7" spans="1:15" x14ac:dyDescent="0.3">
      <c r="A7" s="4" t="s">
        <v>134</v>
      </c>
      <c r="B7" s="5">
        <f>'Segmental forecast'!B11</f>
        <v>4500</v>
      </c>
      <c r="C7" s="5">
        <f>'Segmental forecast'!C11</f>
        <v>4800</v>
      </c>
      <c r="D7" s="5">
        <f>'Segmental forecast'!D11</f>
        <v>5100</v>
      </c>
      <c r="E7" s="5">
        <f>'Segmental forecast'!E11</f>
        <v>5200</v>
      </c>
      <c r="F7" s="5">
        <f>'Segmental forecast'!F11</f>
        <v>5400</v>
      </c>
      <c r="G7" s="5">
        <f>'Segmental forecast'!G11</f>
        <v>3000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5" x14ac:dyDescent="0.3">
      <c r="A8" s="41" t="s">
        <v>129</v>
      </c>
      <c r="B8" s="53">
        <f>'Segmental forecast'!B12</f>
        <v>6.7000000000000004E-2</v>
      </c>
      <c r="C8" s="53">
        <f>'Segmental forecast'!C12</f>
        <v>6.3E-2</v>
      </c>
      <c r="D8" s="53">
        <f>'Segmental forecast'!D12</f>
        <v>0.02</v>
      </c>
      <c r="E8" s="53">
        <f>'Segmental forecast'!E12</f>
        <v>3.7999999999999999E-2</v>
      </c>
      <c r="F8" s="53">
        <f>'Segmental forecast'!F12</f>
        <v>-0.44400000000000001</v>
      </c>
      <c r="G8" s="53">
        <f>'Segmental forecast'!G12</f>
        <v>1.3069999999999999</v>
      </c>
      <c r="H8" s="53">
        <f>'Segmental forecast'!H12</f>
        <v>-0.01</v>
      </c>
      <c r="I8" s="53">
        <f>'Segmental forecast'!I12</f>
        <v>-0.01</v>
      </c>
      <c r="J8" s="53"/>
      <c r="K8" s="53"/>
      <c r="L8" s="53"/>
      <c r="M8" s="53"/>
      <c r="N8" s="53"/>
    </row>
    <row r="9" spans="1:15" x14ac:dyDescent="0.3">
      <c r="A9" s="41" t="s">
        <v>131</v>
      </c>
      <c r="B9" s="53">
        <f>'Segmental forecast'!B13</f>
        <v>0.14699999999999999</v>
      </c>
      <c r="C9" s="53">
        <f>'Segmental forecast'!C13</f>
        <v>0.15</v>
      </c>
      <c r="D9" s="53">
        <f>'Segmental forecast'!D13</f>
        <v>0.152</v>
      </c>
      <c r="E9" s="53">
        <f>'Segmental forecast'!E13</f>
        <v>0.14299999999999999</v>
      </c>
      <c r="F9" s="53">
        <f>'Segmental forecast'!F13</f>
        <v>0.14499999999999999</v>
      </c>
      <c r="G9" s="53">
        <f>'Segmental forecast'!G13</f>
        <v>0.08</v>
      </c>
      <c r="H9" s="53">
        <f>'Segmental forecast'!H13</f>
        <v>0.155</v>
      </c>
      <c r="I9" s="53">
        <f>'Segmental forecast'!I13</f>
        <v>0.14699999999999999</v>
      </c>
      <c r="J9" s="53">
        <f>'Segmental forecast'!J13</f>
        <v>0.14699999999999999</v>
      </c>
      <c r="K9" s="53">
        <f>'Segmental forecast'!K13</f>
        <v>0.14699999999999999</v>
      </c>
      <c r="L9" s="53">
        <f>'Segmental forecast'!L13</f>
        <v>0.14699999999999999</v>
      </c>
      <c r="M9" s="53">
        <f>'Segmental forecast'!M13</f>
        <v>0.14699999999999999</v>
      </c>
      <c r="N9" s="53">
        <f>'Segmental forecast'!N13</f>
        <v>0.14699999999999999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">
      <c r="A11" s="4" t="s">
        <v>150</v>
      </c>
      <c r="B11" s="5">
        <f>B7-B10</f>
        <v>4472</v>
      </c>
      <c r="C11" s="5">
        <f t="shared" ref="C11:I11" si="1">C7-C10</f>
        <v>4781</v>
      </c>
      <c r="D11" s="5">
        <f t="shared" si="1"/>
        <v>5041</v>
      </c>
      <c r="E11" s="5">
        <f t="shared" si="1"/>
        <v>5146</v>
      </c>
      <c r="F11" s="5">
        <f t="shared" si="1"/>
        <v>5351</v>
      </c>
      <c r="G11" s="5">
        <f t="shared" si="1"/>
        <v>2911</v>
      </c>
      <c r="H11" s="5">
        <f t="shared" si="1"/>
        <v>6661</v>
      </c>
      <c r="I11" s="5">
        <f t="shared" si="1"/>
        <v>6651</v>
      </c>
      <c r="J11" s="5"/>
      <c r="K11" s="5"/>
      <c r="L11" s="5"/>
      <c r="M11" s="5"/>
      <c r="N11" s="5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">
      <c r="A13" s="50" t="s">
        <v>151</v>
      </c>
      <c r="B13" s="55">
        <f>B12/B11*100</f>
        <v>20.840787119856888</v>
      </c>
      <c r="C13" s="55">
        <f t="shared" ref="C13:I13" si="2">C12/C11*100</f>
        <v>18.050617025726837</v>
      </c>
      <c r="D13" s="55">
        <f t="shared" si="2"/>
        <v>12.814917675064471</v>
      </c>
      <c r="E13" s="55">
        <f t="shared" si="2"/>
        <v>46.482705013602796</v>
      </c>
      <c r="F13" s="55">
        <f t="shared" si="2"/>
        <v>14.42720986731452</v>
      </c>
      <c r="G13" s="55">
        <f t="shared" si="2"/>
        <v>11.954654757815183</v>
      </c>
      <c r="H13" s="55">
        <f t="shared" si="2"/>
        <v>14.021918630836211</v>
      </c>
      <c r="I13" s="55">
        <f t="shared" si="2"/>
        <v>9.0963764847391371</v>
      </c>
      <c r="J13" s="56"/>
      <c r="K13" s="56"/>
      <c r="L13" s="56"/>
      <c r="M13" s="56"/>
      <c r="N13" s="56"/>
    </row>
    <row r="14" spans="1:15" ht="15" thickBot="1" x14ac:dyDescent="0.35">
      <c r="A14" s="6" t="s">
        <v>152</v>
      </c>
      <c r="B14" s="7">
        <f>B11-B12</f>
        <v>3540</v>
      </c>
      <c r="C14" s="7">
        <f t="shared" ref="C14:I14" si="3">C11-C12</f>
        <v>3918</v>
      </c>
      <c r="D14" s="7">
        <f t="shared" si="3"/>
        <v>4395</v>
      </c>
      <c r="E14" s="7">
        <f t="shared" si="3"/>
        <v>2754</v>
      </c>
      <c r="F14" s="7">
        <f t="shared" si="3"/>
        <v>4579</v>
      </c>
      <c r="G14" s="7">
        <f t="shared" si="3"/>
        <v>2563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</row>
    <row r="15" spans="1:15" ht="15" thickTop="1" x14ac:dyDescent="0.3">
      <c r="A15" t="s">
        <v>153</v>
      </c>
      <c r="B15" s="3">
        <f>Historicals!B54</f>
        <v>3</v>
      </c>
      <c r="C15" s="3">
        <f>Historicals!C54</f>
        <v>3</v>
      </c>
      <c r="D15" s="3">
        <f>Historicals!D54</f>
        <v>3</v>
      </c>
      <c r="E15" s="3">
        <f>Historicals!E54</f>
        <v>3</v>
      </c>
      <c r="F15" s="3">
        <f>Historicals!F54</f>
        <v>3</v>
      </c>
      <c r="G15" s="3">
        <f>Historicals!G54</f>
        <v>3</v>
      </c>
      <c r="H15" s="3">
        <f>Historicals!H54</f>
        <v>3</v>
      </c>
      <c r="I15" s="3">
        <f>Historicals!I54</f>
        <v>3</v>
      </c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154</v>
      </c>
      <c r="B16" s="57">
        <f>Historicals!B15</f>
        <v>1.85</v>
      </c>
      <c r="C16" s="57">
        <f>Historicals!C15</f>
        <v>2.16</v>
      </c>
      <c r="D16" s="57">
        <f>Historicals!D15</f>
        <v>2.5099999999999998</v>
      </c>
      <c r="E16" s="57">
        <f>Historicals!E15</f>
        <v>1.17</v>
      </c>
      <c r="F16" s="57">
        <f>Historicals!F15</f>
        <v>2.4900000000000002</v>
      </c>
      <c r="G16" s="57">
        <f>Historicals!G15</f>
        <v>1.6</v>
      </c>
      <c r="H16" s="57">
        <f>Historicals!H15</f>
        <v>3.56</v>
      </c>
      <c r="I16" s="57">
        <f>Historicals!I15</f>
        <v>3.75</v>
      </c>
      <c r="J16" s="57"/>
      <c r="K16" s="57"/>
      <c r="L16" s="57"/>
      <c r="M16" s="57"/>
      <c r="N16" s="57"/>
    </row>
    <row r="17" spans="1:15" x14ac:dyDescent="0.3">
      <c r="A17" t="s">
        <v>155</v>
      </c>
      <c r="B17" s="57">
        <f>B61/B15</f>
        <v>-299.66666666666669</v>
      </c>
      <c r="C17" s="57">
        <f t="shared" ref="C17:I17" si="4">C61/C15</f>
        <v>-340.66666666666669</v>
      </c>
      <c r="D17" s="57">
        <f t="shared" si="4"/>
        <v>-377.66666666666669</v>
      </c>
      <c r="E17" s="57">
        <f t="shared" si="4"/>
        <v>-414.33333333333331</v>
      </c>
      <c r="F17" s="57">
        <f t="shared" si="4"/>
        <v>-444</v>
      </c>
      <c r="G17" s="57">
        <f t="shared" si="4"/>
        <v>-484</v>
      </c>
      <c r="H17" s="57">
        <f t="shared" si="4"/>
        <v>-546</v>
      </c>
      <c r="I17" s="57">
        <f t="shared" si="4"/>
        <v>-612.33333333333337</v>
      </c>
      <c r="J17" s="57"/>
      <c r="K17" s="57"/>
      <c r="L17" s="57"/>
      <c r="M17" s="57"/>
      <c r="N17" s="57"/>
    </row>
    <row r="18" spans="1:15" x14ac:dyDescent="0.3">
      <c r="A18" s="70" t="s">
        <v>129</v>
      </c>
      <c r="B18" s="55"/>
      <c r="C18" s="55">
        <f>C17-B17/B17*100</f>
        <v>-440.66666666666669</v>
      </c>
      <c r="D18" s="55">
        <f t="shared" ref="D18:I18" si="5">D17-C17/C17*100</f>
        <v>-477.66666666666669</v>
      </c>
      <c r="E18" s="55">
        <f t="shared" si="5"/>
        <v>-514.33333333333326</v>
      </c>
      <c r="F18" s="55">
        <f t="shared" si="5"/>
        <v>-544</v>
      </c>
      <c r="G18" s="55">
        <f t="shared" si="5"/>
        <v>-584</v>
      </c>
      <c r="H18" s="55">
        <f t="shared" si="5"/>
        <v>-646</v>
      </c>
      <c r="I18" s="55">
        <f t="shared" si="5"/>
        <v>-712.33333333333337</v>
      </c>
      <c r="J18" s="56"/>
      <c r="K18" s="56"/>
      <c r="L18" s="56"/>
      <c r="M18" s="56"/>
      <c r="N18" s="56"/>
      <c r="O18" t="s">
        <v>198</v>
      </c>
    </row>
    <row r="19" spans="1:15" x14ac:dyDescent="0.3">
      <c r="A19" s="70" t="s">
        <v>156</v>
      </c>
      <c r="B19" s="55">
        <f>B17/B16*100</f>
        <v>-16198.198198198199</v>
      </c>
      <c r="C19" s="55">
        <f t="shared" ref="C19:I19" si="6">C17/C16*100</f>
        <v>-15771.604938271605</v>
      </c>
      <c r="D19" s="55">
        <f t="shared" si="6"/>
        <v>-15046.480743691902</v>
      </c>
      <c r="E19" s="55">
        <f t="shared" si="6"/>
        <v>-35413.105413105419</v>
      </c>
      <c r="F19" s="55">
        <f t="shared" si="6"/>
        <v>-17831.325301204815</v>
      </c>
      <c r="G19" s="55">
        <f t="shared" si="6"/>
        <v>-30250</v>
      </c>
      <c r="H19" s="55">
        <f t="shared" si="6"/>
        <v>-15337.078651685393</v>
      </c>
      <c r="I19" s="55">
        <f t="shared" si="6"/>
        <v>-16328.888888888889</v>
      </c>
      <c r="J19" s="55"/>
      <c r="K19" s="55"/>
      <c r="L19" s="55"/>
      <c r="M19" s="55"/>
      <c r="N19" s="55"/>
      <c r="O19" t="s">
        <v>198</v>
      </c>
    </row>
    <row r="20" spans="1:15" x14ac:dyDescent="0.3">
      <c r="A20" s="51" t="s">
        <v>157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">
      <c r="A22" t="s">
        <v>159</v>
      </c>
      <c r="B22" s="3">
        <f>B70-Historicals!B39+Historicals!B40+Historicals!B46-B21-Historicals!B26</f>
        <v>-5398</v>
      </c>
      <c r="C22" s="3">
        <f>C70-Historicals!C39+Historicals!C40+Historicals!C46-C21-Historicals!C26</f>
        <v>-2254</v>
      </c>
      <c r="D22" s="3">
        <f>D70-Historicals!D39+Historicals!D40+Historicals!D46-D21-Historicals!D26</f>
        <v>-6966</v>
      </c>
      <c r="E22" s="3">
        <f>E70-Historicals!E39+Historicals!E40+Historicals!E46-E21-Historicals!E26</f>
        <v>-7826</v>
      </c>
      <c r="F22" s="3">
        <f>F70-Historicals!F39+Historicals!F40+Historicals!F46-F21-Historicals!F26</f>
        <v>-1986</v>
      </c>
      <c r="G22" s="3">
        <f>G70-Historicals!G39+Historicals!G40+Historicals!G46-G21-Historicals!G26</f>
        <v>2612</v>
      </c>
      <c r="H22" s="3">
        <f>H70-Historicals!H39+Historicals!H40+Historicals!H46-H21-Historicals!H26</f>
        <v>-948</v>
      </c>
      <c r="I22" s="3">
        <f>I70-Historicals!I39+Historicals!I40+Historicals!I46-I21-Historicals!I26</f>
        <v>712</v>
      </c>
      <c r="J22" s="3"/>
      <c r="K22" s="3"/>
      <c r="L22" s="3"/>
      <c r="M22" s="3"/>
      <c r="N22" s="3"/>
    </row>
    <row r="23" spans="1:15" x14ac:dyDescent="0.3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t="s">
        <v>200</v>
      </c>
    </row>
    <row r="24" spans="1:15" x14ac:dyDescent="0.3">
      <c r="A24" s="50" t="s">
        <v>161</v>
      </c>
      <c r="B24" s="55">
        <f>B23/B3*100</f>
        <v>18.18241233946603</v>
      </c>
      <c r="C24" s="55">
        <f t="shared" ref="C24:I24" si="7">C23/C3*100</f>
        <v>18.186310847541389</v>
      </c>
      <c r="D24" s="55">
        <f t="shared" si="7"/>
        <v>19.458515283842797</v>
      </c>
      <c r="E24" s="55">
        <f t="shared" si="7"/>
        <v>17.803665137236585</v>
      </c>
      <c r="F24" s="55">
        <f t="shared" si="7"/>
        <v>18.615947030702763</v>
      </c>
      <c r="G24" s="55">
        <f t="shared" si="7"/>
        <v>21.035745795791783</v>
      </c>
      <c r="H24" s="55">
        <f t="shared" si="7"/>
        <v>19.042166240064663</v>
      </c>
      <c r="I24" s="55">
        <f t="shared" si="7"/>
        <v>20.828516377649326</v>
      </c>
      <c r="J24" s="56"/>
      <c r="K24" s="56"/>
      <c r="L24" s="56"/>
      <c r="M24" s="56"/>
      <c r="N24" s="56"/>
    </row>
    <row r="25" spans="1:15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3">
      <c r="A26" t="s">
        <v>163</v>
      </c>
      <c r="B26" s="3">
        <f>Historicals!B31</f>
        <v>2996</v>
      </c>
      <c r="C26" s="3">
        <f>Historicals!C31</f>
        <v>3451</v>
      </c>
      <c r="D26" s="3">
        <f>Historicals!D31</f>
        <v>3975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>
        <f>B21+B25+B26+B27+B28+B29+B30</f>
        <v>11815</v>
      </c>
      <c r="C31" s="7">
        <f t="shared" ref="C31:I31" si="8">C21+C25+C26+C27+C28+C29+C30</f>
        <v>10929</v>
      </c>
      <c r="D31" s="7">
        <f t="shared" si="8"/>
        <v>12142</v>
      </c>
      <c r="E31" s="7">
        <f t="shared" si="8"/>
        <v>12781</v>
      </c>
      <c r="F31" s="7">
        <f t="shared" si="8"/>
        <v>13626</v>
      </c>
      <c r="G31" s="7">
        <f t="shared" si="8"/>
        <v>20787</v>
      </c>
      <c r="H31" s="7">
        <f t="shared" si="8"/>
        <v>22836</v>
      </c>
      <c r="I31" s="7">
        <f t="shared" si="8"/>
        <v>22811</v>
      </c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>
        <f>B33+B34</f>
        <v>181</v>
      </c>
      <c r="C32" s="3">
        <f t="shared" ref="C32:I32" si="9">C33+C34</f>
        <v>45</v>
      </c>
      <c r="D32" s="3">
        <f t="shared" si="9"/>
        <v>331</v>
      </c>
      <c r="E32" s="3">
        <f t="shared" si="9"/>
        <v>342</v>
      </c>
      <c r="F32" s="3">
        <f t="shared" si="9"/>
        <v>15</v>
      </c>
      <c r="G32" s="3">
        <f t="shared" si="9"/>
        <v>251</v>
      </c>
      <c r="H32" s="3">
        <f t="shared" si="9"/>
        <v>2</v>
      </c>
      <c r="I32" s="3">
        <f t="shared" si="9"/>
        <v>510</v>
      </c>
      <c r="J32" s="3"/>
      <c r="K32" s="3"/>
      <c r="L32" s="3"/>
      <c r="M32" s="3"/>
      <c r="N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5" x14ac:dyDescent="0.3">
      <c r="A35" t="s">
        <v>168</v>
      </c>
      <c r="B35" s="3">
        <f>Historicals!B43+Historicals!B44+Historicals!B42</f>
        <v>4020</v>
      </c>
      <c r="C35" s="3">
        <f>Historicals!C43+Historicals!C44+Historicals!C42</f>
        <v>3122</v>
      </c>
      <c r="D35" s="3">
        <f>Historicals!D43+Historicals!D44+Historicals!D42</f>
        <v>3095</v>
      </c>
      <c r="E35" s="3">
        <f>Historicals!E43+Historicals!E44+Historicals!E42</f>
        <v>3419</v>
      </c>
      <c r="F35" s="3">
        <f>Historicals!F43+Historicals!F44+Historicals!F42</f>
        <v>5239</v>
      </c>
      <c r="G35" s="3">
        <f>Historicals!G43+Historicals!G44+Historicals!G42</f>
        <v>5785</v>
      </c>
      <c r="H35" s="3">
        <f>Historicals!H43+Historicals!H44+Historicals!H42</f>
        <v>6836</v>
      </c>
      <c r="I35" s="3">
        <f>Historicals!I43+Historicals!I44+Historicals!I42</f>
        <v>6862</v>
      </c>
      <c r="J35" s="3"/>
      <c r="K35" s="3"/>
      <c r="L35" s="3"/>
      <c r="M35" s="3"/>
      <c r="N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0</v>
      </c>
      <c r="E36" s="3">
        <f>Historicals!E46</f>
        <v>0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5" x14ac:dyDescent="0.3">
      <c r="A37" s="52" t="s">
        <v>50</v>
      </c>
      <c r="B37" s="3">
        <v>0</v>
      </c>
      <c r="C37" s="3">
        <v>0</v>
      </c>
      <c r="D37" s="3">
        <f>Historicals!D47</f>
        <v>3471</v>
      </c>
      <c r="E37" s="3">
        <f>Historicals!E47</f>
        <v>3468</v>
      </c>
      <c r="F37" s="3"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5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0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5" x14ac:dyDescent="0.3">
      <c r="A39" t="s">
        <v>170</v>
      </c>
      <c r="B39" s="3">
        <f>Historicals!B58</f>
        <v>12707</v>
      </c>
      <c r="C39" s="3">
        <f>Historicals!C58</f>
        <v>12258</v>
      </c>
      <c r="D39" s="3">
        <f>Historicals!D58</f>
        <v>12407</v>
      </c>
      <c r="E39" s="3">
        <f>Historicals!E58</f>
        <v>9812</v>
      </c>
      <c r="F39" s="3">
        <f>Historicals!F58</f>
        <v>9040</v>
      </c>
      <c r="G39" s="3">
        <f>Historicals!G58</f>
        <v>8055</v>
      </c>
      <c r="H39" s="3">
        <f>Historicals!H58</f>
        <v>12767</v>
      </c>
      <c r="I39" s="3">
        <f>Historicals!I58</f>
        <v>15281</v>
      </c>
      <c r="J39" s="3"/>
      <c r="K39" s="3"/>
      <c r="L39" s="3"/>
      <c r="M39" s="3"/>
      <c r="N39" s="3"/>
    </row>
    <row r="40" spans="1:15" x14ac:dyDescent="0.3">
      <c r="A40" s="2" t="s">
        <v>171</v>
      </c>
      <c r="B40" s="3">
        <f>305+1273*1</f>
        <v>1578</v>
      </c>
      <c r="C40" s="3">
        <f>305+1266*1</f>
        <v>1571</v>
      </c>
      <c r="D40" s="3">
        <f>305+1278*1</f>
        <v>1583</v>
      </c>
      <c r="E40" s="3">
        <f>305+1260*1</f>
        <v>1565</v>
      </c>
      <c r="F40" s="3">
        <f>305+1275*1</f>
        <v>1580</v>
      </c>
      <c r="G40" s="3">
        <f>305+1280*1</f>
        <v>1585</v>
      </c>
      <c r="H40" s="3">
        <f>305+1290*1</f>
        <v>1595</v>
      </c>
      <c r="I40" s="3">
        <f>305+1273*1</f>
        <v>1578</v>
      </c>
      <c r="J40" s="3"/>
      <c r="K40" s="3"/>
      <c r="L40" s="3"/>
      <c r="M40" s="3"/>
      <c r="N40" s="3"/>
    </row>
    <row r="41" spans="1:15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5" x14ac:dyDescent="0.3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</row>
    <row r="43" spans="1:15" ht="15" thickBot="1" x14ac:dyDescent="0.35">
      <c r="A43" s="6" t="s">
        <v>174</v>
      </c>
      <c r="B43" s="7">
        <f>B32+B33+B34+B38+B35+B36+B37+B40+B41+B42</f>
        <v>14449</v>
      </c>
      <c r="C43" s="7">
        <f t="shared" ref="C43:I43" si="10">C32+C33+C34+C38+C35+C36+C37+C40+C41+C42</f>
        <v>13032</v>
      </c>
      <c r="D43" s="7">
        <f t="shared" si="10"/>
        <v>17412</v>
      </c>
      <c r="E43" s="7">
        <f t="shared" si="10"/>
        <v>15777</v>
      </c>
      <c r="F43" s="7">
        <f t="shared" si="10"/>
        <v>12187</v>
      </c>
      <c r="G43" s="7">
        <f t="shared" si="10"/>
        <v>22628</v>
      </c>
      <c r="H43" s="7">
        <f t="shared" si="10"/>
        <v>26533</v>
      </c>
      <c r="I43" s="7">
        <f t="shared" si="10"/>
        <v>27564</v>
      </c>
      <c r="J43" s="7"/>
      <c r="K43" s="7"/>
      <c r="L43" s="7"/>
      <c r="M43" s="7"/>
      <c r="N43" s="7"/>
    </row>
    <row r="44" spans="1:15" s="1" customFormat="1" ht="15" thickTop="1" x14ac:dyDescent="0.3">
      <c r="A44" s="60" t="s">
        <v>175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/>
      <c r="K44" s="60"/>
      <c r="L44" s="60"/>
      <c r="M44" s="60"/>
      <c r="N44" s="60"/>
    </row>
    <row r="45" spans="1:15" x14ac:dyDescent="0.3">
      <c r="A45" s="51" t="s">
        <v>202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5" x14ac:dyDescent="0.3">
      <c r="A46" s="1" t="s">
        <v>134</v>
      </c>
      <c r="B46" s="9">
        <f>'Segmental forecast'!B11</f>
        <v>4500</v>
      </c>
      <c r="C46" s="9">
        <f>'Segmental forecast'!C11</f>
        <v>4800</v>
      </c>
      <c r="D46" s="9">
        <f>'Segmental forecast'!D11</f>
        <v>5100</v>
      </c>
      <c r="E46" s="9">
        <f>'Segmental forecast'!E11</f>
        <v>5200</v>
      </c>
      <c r="F46" s="9">
        <f>'Segmental forecast'!F11</f>
        <v>5400</v>
      </c>
      <c r="G46" s="9">
        <f>'Segmental forecast'!G11</f>
        <v>3000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t="s">
        <v>199</v>
      </c>
    </row>
    <row r="47" spans="1:15" x14ac:dyDescent="0.3">
      <c r="A47" t="s">
        <v>132</v>
      </c>
      <c r="B47" s="58">
        <f>'Segmental forecast'!B8</f>
        <v>1500</v>
      </c>
      <c r="C47" s="58">
        <f>'Segmental forecast'!C8</f>
        <v>1600</v>
      </c>
      <c r="D47" s="58">
        <f>'Segmental forecast'!D8</f>
        <v>1700</v>
      </c>
      <c r="E47" s="58">
        <f>'Segmental forecast'!E8</f>
        <v>1800</v>
      </c>
      <c r="F47" s="58">
        <f>'Segmental forecast'!F8</f>
        <v>1850</v>
      </c>
      <c r="G47" s="58">
        <f>'Segmental forecast'!G8</f>
        <v>1750</v>
      </c>
      <c r="H47" s="58">
        <f>'Segmental forecast'!H8</f>
        <v>1900</v>
      </c>
      <c r="I47" s="58">
        <f>'Segmental forecast'!I8</f>
        <v>2000</v>
      </c>
      <c r="J47" s="58"/>
      <c r="K47" s="58"/>
      <c r="L47" s="58"/>
      <c r="M47" s="58"/>
      <c r="N47" s="58"/>
      <c r="O47" t="s">
        <v>199</v>
      </c>
    </row>
    <row r="48" spans="1:15" x14ac:dyDescent="0.3">
      <c r="A48" t="s">
        <v>176</v>
      </c>
      <c r="B48" s="3">
        <f>Historicals!B11</f>
        <v>932</v>
      </c>
      <c r="C48" s="3">
        <f>Historicals!C11</f>
        <v>863</v>
      </c>
      <c r="D48" s="3">
        <f>Historicals!D11</f>
        <v>646</v>
      </c>
      <c r="E48" s="3">
        <f>Historicals!E11</f>
        <v>2392</v>
      </c>
      <c r="F48" s="3">
        <f>Historicals!F11</f>
        <v>772</v>
      </c>
      <c r="G48" s="3">
        <f>Historicals!G11</f>
        <v>348</v>
      </c>
      <c r="H48" s="3">
        <f>Historicals!H11</f>
        <v>934</v>
      </c>
      <c r="I48" s="3">
        <f>Historicals!I11</f>
        <v>605</v>
      </c>
      <c r="J48" s="3"/>
      <c r="K48" s="3"/>
      <c r="L48" s="3"/>
      <c r="M48" s="3"/>
      <c r="N48" s="3"/>
      <c r="O48" t="s">
        <v>203</v>
      </c>
    </row>
    <row r="49" spans="1:15" x14ac:dyDescent="0.3">
      <c r="A49" s="1" t="s">
        <v>177</v>
      </c>
      <c r="B49" s="9">
        <f>B46-B48</f>
        <v>3568</v>
      </c>
      <c r="C49" s="9">
        <f t="shared" ref="C49:I49" si="11">C46-C48</f>
        <v>3937</v>
      </c>
      <c r="D49" s="9">
        <f t="shared" si="11"/>
        <v>4454</v>
      </c>
      <c r="E49" s="9">
        <f t="shared" si="11"/>
        <v>2808</v>
      </c>
      <c r="F49" s="9">
        <f t="shared" si="11"/>
        <v>4628</v>
      </c>
      <c r="G49" s="9">
        <f t="shared" si="11"/>
        <v>2652</v>
      </c>
      <c r="H49" s="9">
        <f t="shared" si="11"/>
        <v>5989</v>
      </c>
      <c r="I49" s="9">
        <f t="shared" si="11"/>
        <v>6251</v>
      </c>
      <c r="J49" s="9"/>
      <c r="K49" s="9"/>
      <c r="L49" s="9"/>
      <c r="M49" s="9"/>
      <c r="N49" s="9"/>
    </row>
    <row r="50" spans="1:15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t="s">
        <v>203</v>
      </c>
    </row>
    <row r="51" spans="1:15" x14ac:dyDescent="0.3">
      <c r="A51" t="s">
        <v>179</v>
      </c>
      <c r="B51" s="3">
        <v>488</v>
      </c>
      <c r="C51" s="3">
        <f>Historicals!C72+Historicals!C73+Historicals!C74-Historicals!C75</f>
        <v>-105</v>
      </c>
      <c r="D51" s="3">
        <f>Historicals!D72+Historicals!D73+Historicals!D74-Historicals!D75</f>
        <v>-619</v>
      </c>
      <c r="E51" s="3">
        <f>Historicals!E72+Historicals!E73+Historicals!E74-Historicals!E75</f>
        <v>-1548</v>
      </c>
      <c r="F51" s="3">
        <f>Historicals!F72+Historicals!F73+Historicals!F74-Historicals!F75</f>
        <v>-2488</v>
      </c>
      <c r="G51" s="3">
        <f>Historicals!G72+Historicals!G73+Historicals!G74-Historicals!G75</f>
        <v>-1293</v>
      </c>
      <c r="H51" s="3">
        <f>Historicals!H72+Historicals!H73+Historicals!H74-Historicals!H75</f>
        <v>-2607</v>
      </c>
      <c r="I51" s="3">
        <f>Historicals!I72+Historicals!I73+Historicals!I74-Historicals!I75</f>
        <v>-4390</v>
      </c>
      <c r="J51" s="3"/>
      <c r="K51" s="3"/>
      <c r="L51" s="3"/>
      <c r="M51" s="3"/>
      <c r="N51" s="3"/>
      <c r="O51" t="s">
        <v>204</v>
      </c>
    </row>
    <row r="52" spans="1:15" x14ac:dyDescent="0.3">
      <c r="A52" t="s">
        <v>135</v>
      </c>
      <c r="B52" s="3">
        <f>Historicals!B81</f>
        <v>-963</v>
      </c>
      <c r="C52" s="3">
        <f>Historicals!C81</f>
        <v>-1143</v>
      </c>
      <c r="D52" s="3">
        <f>Historicals!D81</f>
        <v>-1105</v>
      </c>
      <c r="E52" s="3">
        <f>Historicals!E81</f>
        <v>-1028</v>
      </c>
      <c r="F52" s="3">
        <f>Historicals!F81</f>
        <v>-1119</v>
      </c>
      <c r="G52" s="3">
        <f>Historicals!G81</f>
        <v>-1086</v>
      </c>
      <c r="H52" s="3">
        <f>Historicals!H81</f>
        <v>-695</v>
      </c>
      <c r="I52" s="3">
        <f>Historicals!I81</f>
        <v>-758</v>
      </c>
      <c r="J52" s="3"/>
      <c r="K52" s="3"/>
      <c r="L52" s="3"/>
      <c r="M52" s="3"/>
      <c r="N52" s="3"/>
      <c r="O52" t="s">
        <v>205</v>
      </c>
    </row>
    <row r="53" spans="1:15" x14ac:dyDescent="0.3">
      <c r="A53" s="1" t="s">
        <v>180</v>
      </c>
      <c r="B53" s="9">
        <f>B49+B47+B51-B52</f>
        <v>6519</v>
      </c>
      <c r="C53" s="9">
        <f t="shared" ref="C53:I53" si="12">C49+C47+C51-C52</f>
        <v>6575</v>
      </c>
      <c r="D53" s="9">
        <f t="shared" si="12"/>
        <v>6640</v>
      </c>
      <c r="E53" s="9">
        <f t="shared" si="12"/>
        <v>4088</v>
      </c>
      <c r="F53" s="9">
        <f t="shared" si="12"/>
        <v>5109</v>
      </c>
      <c r="G53" s="9">
        <f t="shared" si="12"/>
        <v>4195</v>
      </c>
      <c r="H53" s="9">
        <f t="shared" si="12"/>
        <v>5977</v>
      </c>
      <c r="I53" s="9">
        <f t="shared" si="12"/>
        <v>4619</v>
      </c>
      <c r="J53" s="9"/>
      <c r="K53" s="9"/>
      <c r="L53" s="9"/>
      <c r="M53" s="9"/>
      <c r="N53" s="9"/>
    </row>
    <row r="54" spans="1:15" x14ac:dyDescent="0.3">
      <c r="A54" t="s">
        <v>181</v>
      </c>
      <c r="B54" s="3">
        <v>256</v>
      </c>
      <c r="C54" s="3">
        <v>2483</v>
      </c>
      <c r="D54" s="3">
        <v>3305</v>
      </c>
      <c r="E54" s="3">
        <v>3415</v>
      </c>
      <c r="F54" s="3">
        <v>4591</v>
      </c>
      <c r="G54" s="3">
        <v>1294</v>
      </c>
      <c r="H54" s="3">
        <v>5772</v>
      </c>
      <c r="I54" s="3">
        <v>4386</v>
      </c>
      <c r="J54" s="3"/>
      <c r="K54" s="3"/>
      <c r="L54" s="3"/>
      <c r="M54" s="3"/>
      <c r="N54" s="3"/>
    </row>
    <row r="55" spans="1:15" x14ac:dyDescent="0.3">
      <c r="A55" s="27" t="s">
        <v>182</v>
      </c>
      <c r="B55" s="26">
        <f>B53+B52-B50-B51+B54</f>
        <v>5271</v>
      </c>
      <c r="C55" s="26">
        <f t="shared" ref="C55:I55" si="13">C53+C52-C50-C51+C54</f>
        <v>7950</v>
      </c>
      <c r="D55" s="26">
        <f t="shared" si="13"/>
        <v>9361</v>
      </c>
      <c r="E55" s="26">
        <f t="shared" si="13"/>
        <v>7898</v>
      </c>
      <c r="F55" s="26">
        <f t="shared" si="13"/>
        <v>10916</v>
      </c>
      <c r="G55" s="26">
        <f t="shared" si="13"/>
        <v>5556</v>
      </c>
      <c r="H55" s="26">
        <f t="shared" si="13"/>
        <v>13368</v>
      </c>
      <c r="I55" s="26">
        <f t="shared" si="13"/>
        <v>12347</v>
      </c>
      <c r="J55" s="26"/>
      <c r="K55" s="26"/>
      <c r="L55" s="26"/>
      <c r="M55" s="26"/>
      <c r="N55" s="26"/>
    </row>
    <row r="56" spans="1:15" x14ac:dyDescent="0.3">
      <c r="A56" t="s">
        <v>183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5" x14ac:dyDescent="0.3">
      <c r="A57" t="s">
        <v>184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-22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5" x14ac:dyDescent="0.3">
      <c r="A58" s="27" t="s">
        <v>185</v>
      </c>
      <c r="B58" s="26">
        <f>SUM(B56:B57)</f>
        <v>0</v>
      </c>
      <c r="C58" s="26">
        <f t="shared" ref="C58:I58" si="14">SUM(C56:C57)</f>
        <v>6</v>
      </c>
      <c r="D58" s="26">
        <f t="shared" si="14"/>
        <v>-34</v>
      </c>
      <c r="E58" s="26">
        <f t="shared" si="14"/>
        <v>-22</v>
      </c>
      <c r="F58" s="26">
        <f t="shared" si="14"/>
        <v>5</v>
      </c>
      <c r="G58" s="26">
        <f t="shared" si="14"/>
        <v>31</v>
      </c>
      <c r="H58" s="26">
        <f t="shared" si="14"/>
        <v>171</v>
      </c>
      <c r="I58" s="26">
        <f t="shared" si="14"/>
        <v>-19</v>
      </c>
      <c r="J58" s="26"/>
      <c r="K58" s="26"/>
      <c r="L58" s="26"/>
      <c r="M58" s="26"/>
      <c r="N58" s="26"/>
    </row>
    <row r="59" spans="1:15" x14ac:dyDescent="0.3">
      <c r="A59" t="s">
        <v>186</v>
      </c>
      <c r="B59" s="3">
        <f>Historicals!B88-Historicals!B89</f>
        <v>3048</v>
      </c>
      <c r="C59" s="3">
        <f>Historicals!C88-Historicals!C89</f>
        <v>3745</v>
      </c>
      <c r="D59" s="3">
        <f>Historicals!D88-Historicals!D89</f>
        <v>3223</v>
      </c>
      <c r="E59" s="3">
        <f>Historicals!E88-Historicals!E89</f>
        <v>4987</v>
      </c>
      <c r="F59" s="3">
        <f>Historicals!F88-Historicals!F89</f>
        <v>4986</v>
      </c>
      <c r="G59" s="3">
        <f>Historicals!G88-Historicals!G89</f>
        <v>3952</v>
      </c>
      <c r="H59" s="3">
        <f>Historicals!H88-Historicals!H89</f>
        <v>1780</v>
      </c>
      <c r="I59" s="3">
        <f>Historicals!I88-Historicals!I89</f>
        <v>5165</v>
      </c>
      <c r="J59" s="3"/>
      <c r="K59" s="3"/>
      <c r="L59" s="59"/>
      <c r="M59" s="3"/>
      <c r="N59" s="3"/>
    </row>
    <row r="60" spans="1:15" x14ac:dyDescent="0.3">
      <c r="A60" s="70" t="s">
        <v>129</v>
      </c>
      <c r="B60" s="55">
        <f>B59-2628/2628*100</f>
        <v>2948</v>
      </c>
      <c r="C60" s="55">
        <f>C59-B59/B59*100</f>
        <v>3645</v>
      </c>
      <c r="D60" s="55">
        <f t="shared" ref="D60:I60" si="15">D59-C59/C59*100</f>
        <v>3123</v>
      </c>
      <c r="E60" s="55">
        <f t="shared" si="15"/>
        <v>4887</v>
      </c>
      <c r="F60" s="55">
        <f t="shared" si="15"/>
        <v>4886</v>
      </c>
      <c r="G60" s="55">
        <f t="shared" si="15"/>
        <v>3852</v>
      </c>
      <c r="H60" s="55">
        <f t="shared" si="15"/>
        <v>1680</v>
      </c>
      <c r="I60" s="55">
        <f t="shared" si="15"/>
        <v>5065</v>
      </c>
      <c r="J60" s="55"/>
      <c r="K60" s="55"/>
      <c r="L60" s="55"/>
      <c r="M60" s="56"/>
      <c r="N60" s="56"/>
    </row>
    <row r="61" spans="1:15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5" x14ac:dyDescent="0.3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0</v>
      </c>
      <c r="H62" s="3">
        <f>Historicals!H85</f>
        <v>0</v>
      </c>
      <c r="I62" s="3">
        <f>Historicals!I85</f>
        <v>0</v>
      </c>
      <c r="J62" s="3"/>
      <c r="K62" s="3"/>
      <c r="L62" s="3"/>
      <c r="M62" s="3"/>
      <c r="N62" s="3"/>
    </row>
    <row r="63" spans="1:15" x14ac:dyDescent="0.3">
      <c r="A63" t="s">
        <v>189</v>
      </c>
      <c r="B63" s="3">
        <f>Historicals!B91</f>
        <v>0</v>
      </c>
      <c r="C63" s="3">
        <f>Historicals!C91</f>
        <v>0</v>
      </c>
      <c r="D63" s="3">
        <f>Historicals!D91</f>
        <v>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5" x14ac:dyDescent="0.3">
      <c r="A64" s="27" t="s">
        <v>190</v>
      </c>
      <c r="B64" s="26">
        <f>B59+B61</f>
        <v>2149</v>
      </c>
      <c r="C64" s="26">
        <f t="shared" ref="C64:I64" si="16">C59+C61</f>
        <v>2723</v>
      </c>
      <c r="D64" s="26">
        <f t="shared" si="16"/>
        <v>2090</v>
      </c>
      <c r="E64" s="26">
        <f t="shared" si="16"/>
        <v>3744</v>
      </c>
      <c r="F64" s="26">
        <f t="shared" si="16"/>
        <v>3654</v>
      </c>
      <c r="G64" s="26">
        <f t="shared" si="16"/>
        <v>2500</v>
      </c>
      <c r="H64" s="26">
        <f t="shared" si="16"/>
        <v>142</v>
      </c>
      <c r="I64" s="26">
        <f t="shared" si="16"/>
        <v>3328</v>
      </c>
      <c r="J64" s="26"/>
      <c r="K64" s="26"/>
      <c r="L64" s="26"/>
      <c r="M64" s="26"/>
      <c r="N64" s="26"/>
    </row>
    <row r="65" spans="1:15" x14ac:dyDescent="0.3">
      <c r="A65" t="s">
        <v>191</v>
      </c>
      <c r="B65" s="3">
        <f>Historicals!B70</f>
        <v>424</v>
      </c>
      <c r="C65" s="3">
        <f>Historicals!C70</f>
        <v>98</v>
      </c>
      <c r="D65" s="3">
        <f>Historicals!D70</f>
        <v>-117</v>
      </c>
      <c r="E65" s="3">
        <f>Historicals!E70</f>
        <v>-99</v>
      </c>
      <c r="F65" s="3">
        <f>Historicals!F70</f>
        <v>233</v>
      </c>
      <c r="G65" s="3">
        <f>Historicals!G70</f>
        <v>23</v>
      </c>
      <c r="H65" s="3">
        <f>Historicals!H70</f>
        <v>-138</v>
      </c>
      <c r="I65" s="3">
        <f>Historicals!I70</f>
        <v>-26</v>
      </c>
      <c r="J65" s="3"/>
      <c r="K65" s="3"/>
      <c r="L65" s="3"/>
      <c r="M65" s="3"/>
      <c r="N65" s="3"/>
    </row>
    <row r="66" spans="1:15" x14ac:dyDescent="0.3">
      <c r="A66" s="27" t="s">
        <v>192</v>
      </c>
      <c r="B66" s="26">
        <f>B68-B67</f>
        <v>1632</v>
      </c>
      <c r="C66" s="26">
        <f t="shared" ref="C66:I66" si="17">C68-C67</f>
        <v>-714</v>
      </c>
      <c r="D66" s="26">
        <f t="shared" si="17"/>
        <v>670</v>
      </c>
      <c r="E66" s="26">
        <f t="shared" si="17"/>
        <v>441</v>
      </c>
      <c r="F66" s="26">
        <f t="shared" si="17"/>
        <v>217</v>
      </c>
      <c r="G66" s="26">
        <f t="shared" si="17"/>
        <v>3882</v>
      </c>
      <c r="H66" s="26">
        <f t="shared" si="17"/>
        <v>1541</v>
      </c>
      <c r="I66" s="26">
        <f t="shared" si="17"/>
        <v>-1315</v>
      </c>
      <c r="J66" s="26"/>
      <c r="K66" s="26"/>
      <c r="L66" s="26"/>
      <c r="M66" s="26"/>
      <c r="N66" s="26"/>
    </row>
    <row r="67" spans="1:15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5" ht="15" thickBot="1" x14ac:dyDescent="0.3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5" ht="15" thickTop="1" x14ac:dyDescent="0.3">
      <c r="A69" s="60" t="s">
        <v>175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40"/>
      <c r="K69" s="40"/>
      <c r="L69" s="40"/>
      <c r="M69" s="40"/>
      <c r="N69" s="40"/>
    </row>
    <row r="70" spans="1:15" x14ac:dyDescent="0.3">
      <c r="A70" s="1" t="s">
        <v>195</v>
      </c>
      <c r="B70" s="47">
        <f>Historicals!B39+Historicals!B40+Historicals!B46-B21+Historicals!B26</f>
        <v>-520</v>
      </c>
      <c r="C70" s="47">
        <f>Historicals!C39+Historicals!C40+Historicals!C46-C21+Historicals!C26</f>
        <v>1236</v>
      </c>
      <c r="D70" s="47">
        <f>Historicals!D39+Historicals!D40+Historicals!D46-D21+Historicals!D26</f>
        <v>-1106</v>
      </c>
      <c r="E70" s="47">
        <f>Historicals!E39+Historicals!E40+Historicals!E46-E21+Historicals!E26</f>
        <v>-2911</v>
      </c>
      <c r="F70" s="47">
        <f>Historicals!F39+Historicals!F40+Historicals!F46-F21+Historicals!F26</f>
        <v>-790</v>
      </c>
      <c r="G70" s="47">
        <f>Historicals!G39+Historicals!G40+Historicals!G46-G21+Historicals!G26</f>
        <v>1748</v>
      </c>
      <c r="H70" s="47">
        <f>Historicals!H39+Historicals!H40+Historicals!H46-H21+Historicals!H26</f>
        <v>3113</v>
      </c>
      <c r="I70" s="47">
        <f>Historicals!I39+Historicals!I40+Historicals!I46-I21+Historicals!I26</f>
        <v>5279</v>
      </c>
      <c r="J70" s="47"/>
      <c r="K70" s="47"/>
      <c r="L70" s="47"/>
      <c r="M70" s="47"/>
      <c r="N70" s="47"/>
      <c r="O70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 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FRANK-WISDOM EJOOR</cp:lastModifiedBy>
  <dcterms:created xsi:type="dcterms:W3CDTF">2020-05-20T17:26:08Z</dcterms:created>
  <dcterms:modified xsi:type="dcterms:W3CDTF">2024-11-23T23:58:41Z</dcterms:modified>
</cp:coreProperties>
</file>