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13_ncr:1_{ECA6E26C-3EBF-4B94-88A8-FFD40926CDE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Explanatory note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4" l="1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4" i="4" s="1"/>
  <c r="H59" i="4"/>
  <c r="H64" i="4" s="1"/>
  <c r="G59" i="4"/>
  <c r="G64" i="4" s="1"/>
  <c r="F59" i="4"/>
  <c r="F64" i="4" s="1"/>
  <c r="E59" i="4"/>
  <c r="E64" i="4" s="1"/>
  <c r="D59" i="4"/>
  <c r="D64" i="4" s="1"/>
  <c r="C59" i="4"/>
  <c r="C64" i="4" s="1"/>
  <c r="B59" i="4"/>
  <c r="B64" i="4" s="1"/>
  <c r="I57" i="4"/>
  <c r="I58" i="4" s="1"/>
  <c r="H57" i="4"/>
  <c r="H58" i="4" s="1"/>
  <c r="G57" i="4"/>
  <c r="G58" i="4" s="1"/>
  <c r="F57" i="4"/>
  <c r="F58" i="4" s="1"/>
  <c r="E57" i="4"/>
  <c r="E58" i="4" s="1"/>
  <c r="D57" i="4"/>
  <c r="D58" i="4" s="1"/>
  <c r="C57" i="4"/>
  <c r="C58" i="4" s="1"/>
  <c r="B57" i="4"/>
  <c r="B58" i="4" s="1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B50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I49" i="4" s="1"/>
  <c r="I53" i="4" s="1"/>
  <c r="I55" i="4" s="1"/>
  <c r="H46" i="4"/>
  <c r="H49" i="4" s="1"/>
  <c r="H53" i="4" s="1"/>
  <c r="H55" i="4" s="1"/>
  <c r="G46" i="4"/>
  <c r="G49" i="4" s="1"/>
  <c r="G53" i="4" s="1"/>
  <c r="G55" i="4" s="1"/>
  <c r="F46" i="4"/>
  <c r="F49" i="4" s="1"/>
  <c r="F53" i="4" s="1"/>
  <c r="F55" i="4" s="1"/>
  <c r="E46" i="4"/>
  <c r="E49" i="4" s="1"/>
  <c r="E53" i="4" s="1"/>
  <c r="E55" i="4" s="1"/>
  <c r="D46" i="4"/>
  <c r="D49" i="4" s="1"/>
  <c r="D53" i="4" s="1"/>
  <c r="D55" i="4" s="1"/>
  <c r="C46" i="4"/>
  <c r="C49" i="4" s="1"/>
  <c r="C53" i="4" s="1"/>
  <c r="C55" i="4" s="1"/>
  <c r="B46" i="4"/>
  <c r="B49" i="4" s="1"/>
  <c r="B53" i="4" s="1"/>
  <c r="B55" i="4" s="1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H43" i="4" s="1"/>
  <c r="G38" i="4"/>
  <c r="G43" i="4" s="1"/>
  <c r="F38" i="4"/>
  <c r="F43" i="4" s="1"/>
  <c r="E38" i="4"/>
  <c r="D38" i="4"/>
  <c r="C38" i="4"/>
  <c r="B38" i="4"/>
  <c r="I37" i="4"/>
  <c r="H37" i="4"/>
  <c r="G37" i="4"/>
  <c r="E37" i="4"/>
  <c r="D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I43" i="4" s="1"/>
  <c r="H32" i="4"/>
  <c r="G32" i="4"/>
  <c r="F32" i="4"/>
  <c r="E32" i="4"/>
  <c r="E43" i="4" s="1"/>
  <c r="D32" i="4"/>
  <c r="D43" i="4" s="1"/>
  <c r="C32" i="4"/>
  <c r="C43" i="4" s="1"/>
  <c r="B32" i="4"/>
  <c r="B43" i="4" s="1"/>
  <c r="I30" i="4"/>
  <c r="H30" i="4"/>
  <c r="G30" i="4"/>
  <c r="F30" i="4"/>
  <c r="F31" i="4" s="1"/>
  <c r="E30" i="4"/>
  <c r="E31" i="4" s="1"/>
  <c r="D30" i="4"/>
  <c r="D31" i="4" s="1"/>
  <c r="C30" i="4"/>
  <c r="C31" i="4" s="1"/>
  <c r="B30" i="4"/>
  <c r="I29" i="4"/>
  <c r="H29" i="4"/>
  <c r="G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I24" i="4" s="1"/>
  <c r="H23" i="4"/>
  <c r="H24" i="4" s="1"/>
  <c r="G23" i="4"/>
  <c r="G24" i="4" s="1"/>
  <c r="F23" i="4"/>
  <c r="F24" i="4" s="1"/>
  <c r="E23" i="4"/>
  <c r="E24" i="4" s="1"/>
  <c r="D23" i="4"/>
  <c r="D24" i="4" s="1"/>
  <c r="C23" i="4"/>
  <c r="C24" i="4" s="1"/>
  <c r="B23" i="4"/>
  <c r="B24" i="4" s="1"/>
  <c r="I21" i="4"/>
  <c r="I70" i="4" s="1"/>
  <c r="I22" i="4" s="1"/>
  <c r="H21" i="4"/>
  <c r="H70" i="4" s="1"/>
  <c r="H22" i="4" s="1"/>
  <c r="G21" i="4"/>
  <c r="G70" i="4" s="1"/>
  <c r="G22" i="4" s="1"/>
  <c r="F21" i="4"/>
  <c r="F70" i="4" s="1"/>
  <c r="F22" i="4" s="1"/>
  <c r="E21" i="4"/>
  <c r="E70" i="4" s="1"/>
  <c r="E22" i="4" s="1"/>
  <c r="D21" i="4"/>
  <c r="D70" i="4" s="1"/>
  <c r="D22" i="4" s="1"/>
  <c r="C21" i="4"/>
  <c r="C70" i="4" s="1"/>
  <c r="C22" i="4" s="1"/>
  <c r="B21" i="4"/>
  <c r="B31" i="4" s="1"/>
  <c r="I16" i="4"/>
  <c r="H16" i="4"/>
  <c r="G16" i="4"/>
  <c r="F16" i="4"/>
  <c r="E16" i="4"/>
  <c r="D16" i="4"/>
  <c r="C16" i="4"/>
  <c r="B16" i="4"/>
  <c r="I15" i="4"/>
  <c r="I17" i="4" s="1"/>
  <c r="H15" i="4"/>
  <c r="H17" i="4" s="1"/>
  <c r="G15" i="4"/>
  <c r="G17" i="4" s="1"/>
  <c r="F15" i="4"/>
  <c r="F17" i="4" s="1"/>
  <c r="E15" i="4"/>
  <c r="E17" i="4" s="1"/>
  <c r="D15" i="4"/>
  <c r="D17" i="4" s="1"/>
  <c r="C15" i="4"/>
  <c r="C17" i="4" s="1"/>
  <c r="B15" i="4"/>
  <c r="B17" i="4" s="1"/>
  <c r="B19" i="4" s="1"/>
  <c r="I12" i="4"/>
  <c r="H12" i="4"/>
  <c r="G12" i="4"/>
  <c r="G13" i="4" s="1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I11" i="4" s="1"/>
  <c r="I14" i="4" s="1"/>
  <c r="H7" i="4"/>
  <c r="H11" i="4" s="1"/>
  <c r="H14" i="4" s="1"/>
  <c r="G7" i="4"/>
  <c r="G11" i="4" s="1"/>
  <c r="G14" i="4" s="1"/>
  <c r="F7" i="4"/>
  <c r="F11" i="4" s="1"/>
  <c r="F14" i="4" s="1"/>
  <c r="E7" i="4"/>
  <c r="E11" i="4" s="1"/>
  <c r="E14" i="4" s="1"/>
  <c r="D7" i="4"/>
  <c r="D11" i="4" s="1"/>
  <c r="D14" i="4" s="1"/>
  <c r="C7" i="4"/>
  <c r="C11" i="4" s="1"/>
  <c r="C14" i="4" s="1"/>
  <c r="B7" i="4"/>
  <c r="B11" i="4" s="1"/>
  <c r="B14" i="4" s="1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16" i="3"/>
  <c r="H16" i="3"/>
  <c r="G16" i="3"/>
  <c r="F16" i="3"/>
  <c r="E16" i="3"/>
  <c r="D16" i="3"/>
  <c r="C16" i="3"/>
  <c r="B16" i="3"/>
  <c r="G175" i="1"/>
  <c r="G176" i="1" s="1"/>
  <c r="F175" i="1"/>
  <c r="F176" i="1" s="1"/>
  <c r="C175" i="1"/>
  <c r="C176" i="1" s="1"/>
  <c r="G172" i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G163" i="1"/>
  <c r="F163" i="1"/>
  <c r="C163" i="1"/>
  <c r="G161" i="1"/>
  <c r="G164" i="1" s="1"/>
  <c r="G165" i="1" s="1"/>
  <c r="F161" i="1"/>
  <c r="F164" i="1" s="1"/>
  <c r="F165" i="1" s="1"/>
  <c r="E161" i="1"/>
  <c r="E163" i="1" s="1"/>
  <c r="D161" i="1"/>
  <c r="D163" i="1" s="1"/>
  <c r="C161" i="1"/>
  <c r="C164" i="1" s="1"/>
  <c r="C165" i="1" s="1"/>
  <c r="B161" i="1"/>
  <c r="B163" i="1" s="1"/>
  <c r="E153" i="1"/>
  <c r="E154" i="1" s="1"/>
  <c r="G150" i="1"/>
  <c r="G153" i="1" s="1"/>
  <c r="G154" i="1" s="1"/>
  <c r="F150" i="1"/>
  <c r="F153" i="1" s="1"/>
  <c r="F154" i="1" s="1"/>
  <c r="E150" i="1"/>
  <c r="D150" i="1"/>
  <c r="D153" i="1" s="1"/>
  <c r="D154" i="1" s="1"/>
  <c r="C150" i="1"/>
  <c r="C153" i="1" s="1"/>
  <c r="C154" i="1" s="1"/>
  <c r="B150" i="1"/>
  <c r="B153" i="1" s="1"/>
  <c r="B154" i="1" s="1"/>
  <c r="G142" i="1"/>
  <c r="G143" i="1" s="1"/>
  <c r="C142" i="1"/>
  <c r="C143" i="1" s="1"/>
  <c r="B142" i="1"/>
  <c r="B143" i="1" s="1"/>
  <c r="G139" i="1"/>
  <c r="F139" i="1"/>
  <c r="F142" i="1" s="1"/>
  <c r="F143" i="1" s="1"/>
  <c r="E139" i="1"/>
  <c r="E142" i="1" s="1"/>
  <c r="E143" i="1" s="1"/>
  <c r="D139" i="1"/>
  <c r="D142" i="1" s="1"/>
  <c r="D143" i="1" s="1"/>
  <c r="C139" i="1"/>
  <c r="B139" i="1"/>
  <c r="B132" i="1"/>
  <c r="E131" i="1"/>
  <c r="E132" i="1" s="1"/>
  <c r="D131" i="1"/>
  <c r="D132" i="1" s="1"/>
  <c r="G124" i="1"/>
  <c r="G131" i="1" s="1"/>
  <c r="G132" i="1" s="1"/>
  <c r="F124" i="1"/>
  <c r="F131" i="1" s="1"/>
  <c r="F132" i="1" s="1"/>
  <c r="E124" i="1"/>
  <c r="D124" i="1"/>
  <c r="C124" i="1"/>
  <c r="C131" i="1" s="1"/>
  <c r="C132" i="1" s="1"/>
  <c r="B124" i="1"/>
  <c r="B131" i="1" s="1"/>
  <c r="G97" i="1"/>
  <c r="F97" i="1"/>
  <c r="E97" i="1"/>
  <c r="D97" i="1"/>
  <c r="C97" i="1"/>
  <c r="B97" i="1"/>
  <c r="G94" i="1"/>
  <c r="F94" i="1"/>
  <c r="E94" i="1"/>
  <c r="D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F60" i="1"/>
  <c r="D60" i="1"/>
  <c r="C60" i="1"/>
  <c r="B60" i="1"/>
  <c r="G59" i="1"/>
  <c r="G60" i="1" s="1"/>
  <c r="E59" i="1"/>
  <c r="E60" i="1" s="1"/>
  <c r="G58" i="1"/>
  <c r="F58" i="1"/>
  <c r="E58" i="1"/>
  <c r="D58" i="1"/>
  <c r="C58" i="1"/>
  <c r="B58" i="1"/>
  <c r="G45" i="1"/>
  <c r="F45" i="1"/>
  <c r="E45" i="1"/>
  <c r="D45" i="1"/>
  <c r="C45" i="1"/>
  <c r="B45" i="1"/>
  <c r="G36" i="1"/>
  <c r="F36" i="1"/>
  <c r="E36" i="1"/>
  <c r="D36" i="1"/>
  <c r="C36" i="1"/>
  <c r="B36" i="1"/>
  <c r="G30" i="1"/>
  <c r="F30" i="1"/>
  <c r="E30" i="1"/>
  <c r="D30" i="1"/>
  <c r="C30" i="1"/>
  <c r="B30" i="1"/>
  <c r="G12" i="1"/>
  <c r="F12" i="1"/>
  <c r="E12" i="1"/>
  <c r="D12" i="1"/>
  <c r="C12" i="1"/>
  <c r="B12" i="1"/>
  <c r="G7" i="1"/>
  <c r="F7" i="1"/>
  <c r="E7" i="1"/>
  <c r="D7" i="1"/>
  <c r="C7" i="1"/>
  <c r="B7" i="1"/>
  <c r="G4" i="1"/>
  <c r="F4" i="1"/>
  <c r="E4" i="1"/>
  <c r="D4" i="1"/>
  <c r="C4" i="1"/>
  <c r="B4" i="1"/>
  <c r="F13" i="4" l="1"/>
  <c r="F19" i="4"/>
  <c r="F18" i="4"/>
  <c r="E19" i="4"/>
  <c r="E18" i="4"/>
  <c r="H19" i="4"/>
  <c r="H18" i="4"/>
  <c r="I13" i="4"/>
  <c r="I19" i="4"/>
  <c r="I18" i="4"/>
  <c r="B13" i="4"/>
  <c r="G19" i="4"/>
  <c r="G18" i="4"/>
  <c r="C13" i="4"/>
  <c r="C19" i="4"/>
  <c r="C18" i="4"/>
  <c r="E13" i="4"/>
  <c r="H13" i="4"/>
  <c r="D13" i="4"/>
  <c r="D19" i="4"/>
  <c r="D18" i="4"/>
  <c r="B60" i="4"/>
  <c r="B70" i="4"/>
  <c r="B22" i="4" s="1"/>
  <c r="G31" i="4"/>
  <c r="C60" i="4"/>
  <c r="H31" i="4"/>
  <c r="D60" i="4"/>
  <c r="I31" i="4"/>
  <c r="E60" i="4"/>
  <c r="F60" i="4"/>
  <c r="G60" i="4"/>
  <c r="H60" i="4"/>
  <c r="I60" i="4"/>
  <c r="B164" i="1"/>
  <c r="B165" i="1" s="1"/>
  <c r="D164" i="1"/>
  <c r="D165" i="1" s="1"/>
  <c r="E164" i="1"/>
  <c r="E165" i="1" s="1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H163" i="1"/>
  <c r="H164" i="1" s="1"/>
  <c r="H165" i="1" s="1"/>
  <c r="I161" i="1"/>
  <c r="I163" i="1" s="1"/>
  <c r="H161" i="1"/>
  <c r="H125" i="1"/>
  <c r="I125" i="1"/>
  <c r="H154" i="1"/>
  <c r="I150" i="1"/>
  <c r="I153" i="1" s="1"/>
  <c r="I154" i="1" s="1"/>
  <c r="H150" i="1"/>
  <c r="H153" i="1" s="1"/>
  <c r="I164" i="1" l="1"/>
  <c r="I16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I119" i="1"/>
  <c r="H119" i="1"/>
  <c r="I115" i="1"/>
  <c r="H115" i="1"/>
  <c r="I111" i="1"/>
  <c r="H111" i="1"/>
  <c r="H107" i="1"/>
  <c r="H21" i="3" s="1"/>
  <c r="H37" i="3" s="1"/>
  <c r="G21" i="3"/>
  <c r="F21" i="3"/>
  <c r="F37" i="3" s="1"/>
  <c r="E21" i="3"/>
  <c r="E37" i="3" s="1"/>
  <c r="D21" i="3"/>
  <c r="D37" i="3" s="1"/>
  <c r="C21" i="3"/>
  <c r="B21" i="3"/>
  <c r="B37" i="3" s="1"/>
  <c r="I107" i="1"/>
  <c r="I21" i="3" s="1"/>
  <c r="I50" i="3" s="1"/>
  <c r="J50" i="3" s="1"/>
  <c r="J48" i="3" s="1"/>
  <c r="J38" i="3" s="1"/>
  <c r="I139" i="1"/>
  <c r="I142" i="1" s="1"/>
  <c r="H139" i="1"/>
  <c r="H142" i="1" s="1"/>
  <c r="G44" i="3" l="1"/>
  <c r="G50" i="3"/>
  <c r="G47" i="3"/>
  <c r="G40" i="3"/>
  <c r="G22" i="3"/>
  <c r="N41" i="3"/>
  <c r="C50" i="3"/>
  <c r="C22" i="3"/>
  <c r="C44" i="3"/>
  <c r="C47" i="3"/>
  <c r="C40" i="3"/>
  <c r="C37" i="3"/>
  <c r="D40" i="3"/>
  <c r="D22" i="3"/>
  <c r="D50" i="3"/>
  <c r="D44" i="3"/>
  <c r="D47" i="3"/>
  <c r="J49" i="3"/>
  <c r="K50" i="3"/>
  <c r="K48" i="3" s="1"/>
  <c r="K38" i="3" s="1"/>
  <c r="E50" i="3"/>
  <c r="E22" i="3"/>
  <c r="E44" i="3"/>
  <c r="E47" i="3"/>
  <c r="E40" i="3"/>
  <c r="H50" i="3"/>
  <c r="H44" i="3"/>
  <c r="H47" i="3"/>
  <c r="H40" i="3"/>
  <c r="H22" i="3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L50" i="3" l="1"/>
  <c r="K49" i="3"/>
  <c r="N31" i="3"/>
  <c r="K47" i="3"/>
  <c r="J45" i="3"/>
  <c r="J46" i="3" s="1"/>
  <c r="K37" i="3"/>
  <c r="J35" i="3"/>
  <c r="L22" i="3"/>
  <c r="N27" i="3"/>
  <c r="N21" i="3" s="1"/>
  <c r="M21" i="3"/>
  <c r="I131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I4" i="1"/>
  <c r="I10" i="1" s="1"/>
  <c r="L47" i="3" l="1"/>
  <c r="K45" i="3"/>
  <c r="K46" i="3" s="1"/>
  <c r="L49" i="3"/>
  <c r="M50" i="3"/>
  <c r="L48" i="3"/>
  <c r="L38" i="3" s="1"/>
  <c r="J36" i="3"/>
  <c r="J42" i="3"/>
  <c r="H10" i="1"/>
  <c r="L37" i="3"/>
  <c r="K35" i="3"/>
  <c r="M22" i="3"/>
  <c r="N22" i="3"/>
  <c r="H12" i="1"/>
  <c r="H20" i="1" s="1"/>
  <c r="H143" i="1"/>
  <c r="I12" i="1"/>
  <c r="I20" i="1" s="1"/>
  <c r="I143" i="1"/>
  <c r="I59" i="1"/>
  <c r="I60" i="1" s="1"/>
  <c r="H60" i="1"/>
  <c r="M49" i="3" l="1"/>
  <c r="N50" i="3"/>
  <c r="M48" i="3"/>
  <c r="M38" i="3" s="1"/>
  <c r="J43" i="3"/>
  <c r="J44" i="3"/>
  <c r="K36" i="3"/>
  <c r="K42" i="3"/>
  <c r="H64" i="1"/>
  <c r="H76" i="1" s="1"/>
  <c r="H94" i="1" s="1"/>
  <c r="H96" i="1" s="1"/>
  <c r="I95" i="1" s="1"/>
  <c r="I96" i="1" s="1"/>
  <c r="I97" i="1" s="1"/>
  <c r="M47" i="3"/>
  <c r="L45" i="3"/>
  <c r="L46" i="3" s="1"/>
  <c r="M37" i="3"/>
  <c r="L35" i="3"/>
  <c r="L36" i="3" s="1"/>
  <c r="I64" i="1"/>
  <c r="I76" i="1" s="1"/>
  <c r="I94" i="1" s="1"/>
  <c r="K43" i="3" l="1"/>
  <c r="K44" i="3"/>
  <c r="H97" i="1"/>
  <c r="N47" i="3"/>
  <c r="M45" i="3"/>
  <c r="M46" i="3" s="1"/>
  <c r="N49" i="3"/>
  <c r="N48" i="3"/>
  <c r="N38" i="3" s="1"/>
  <c r="N42" i="3" s="1"/>
  <c r="L42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4" i="3" l="1"/>
  <c r="N45" i="3"/>
  <c r="N46" i="3" s="1"/>
  <c r="L44" i="3"/>
  <c r="L43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<sst xmlns="http://schemas.openxmlformats.org/spreadsheetml/2006/main" count="370" uniqueCount="229">
  <si>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</si>
  <si>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</si>
  <si>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</si>
  <si>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</si>
  <si>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</si>
  <si>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</si>
  <si>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</si>
  <si>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</si>
  <si>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</si>
  <si>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</si>
  <si>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</si>
  <si>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</si>
  <si>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</si>
  <si>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</si>
  <si>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</si>
  <si>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</si>
  <si>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</si>
  <si>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</si>
  <si>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</si>
  <si>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</si>
  <si>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</si>
  <si>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</si>
  <si>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</si>
  <si>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</si>
  <si>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</si>
  <si>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</si>
  <si>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</si>
  <si>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</si>
  <si>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</si>
  <si>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</si>
  <si>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</si>
  <si>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</si>
  <si>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</si>
  <si>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</si>
  <si>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</si>
  <si>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</si>
  <si>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</si>
  <si>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</si>
  <si>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</si>
  <si>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</si>
  <si>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</si>
  <si>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</si>
  <si>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</si>
  <si>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</si>
  <si>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</si>
  <si>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</si>
  <si>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</si>
  <si>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</si>
  <si>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</si>
  <si>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</si>
  <si>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</si>
  <si>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</si>
  <si>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</si>
  <si>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</si>
  <si>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</si>
  <si>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</si>
  <si>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</si>
  <si>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</si>
  <si>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</si>
  <si>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</si>
  <si>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</si>
  <si>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</si>
  <si>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</si>
  <si>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</si>
  <si>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</si>
  <si>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</si>
  <si>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</si>
  <si>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</si>
  <si>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</si>
  <si>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</si>
  <si>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</si>
  <si>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</si>
  <si>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</si>
  <si>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</si>
  <si>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</si>
  <si>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</si>
  <si>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</si>
  <si>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</si>
  <si>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</si>
  <si>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</si>
  <si>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</si>
  <si>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</si>
  <si>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</si>
  <si>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</si>
  <si>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</si>
  <si>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</si>
  <si>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</si>
  <si>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</si>
  <si>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</si>
  <si>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</si>
  <si>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</si>
  <si>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</si>
  <si>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</si>
  <si>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</si>
  <si>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</si>
  <si>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</si>
  <si>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</si>
  <si>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</si>
  <si>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</si>
  <si>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</si>
  <si>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</si>
  <si>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</si>
  <si>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</si>
  <si>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</si>
  <si>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</si>
  <si>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</si>
  <si>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</si>
  <si>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</si>
  <si>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</si>
  <si>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</si>
  <si>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</si>
  <si>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</si>
  <si>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</si>
  <si>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</si>
  <si>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</si>
  <si>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</si>
  <si>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</si>
  <si>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</si>
  <si>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</si>
  <si>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</si>
  <si>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</si>
  <si>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</si>
  <si>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</si>
  <si>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</si>
  <si>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</si>
  <si>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</si>
  <si>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</si>
  <si>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</si>
  <si>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</si>
  <si>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</si>
  <si>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</si>
  <si>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</si>
  <si>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</si>
  <si>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</si>
  <si>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</si>
  <si>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</si>
  <si>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</si>
  <si>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</si>
  <si>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</si>
  <si>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</si>
  <si>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</si>
  <si>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</si>
  <si>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</si>
  <si>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</si>
  <si>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</si>
  <si>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</si>
  <si>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</si>
  <si>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</si>
  <si>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</si>
  <si>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</si>
  <si>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</si>
  <si>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</si>
  <si>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</si>
  <si>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</si>
  <si>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</si>
  <si>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</si>
  <si>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</si>
  <si>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</si>
  <si>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</si>
  <si>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</si>
  <si>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</si>
  <si>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</si>
  <si>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</si>
  <si>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</si>
  <si>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</si>
  <si>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</si>
  <si>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</si>
  <si>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</si>
  <si>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</si>
  <si>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</si>
  <si>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</si>
  <si>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</si>
  <si>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</si>
  <si>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</si>
  <si>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</si>
  <si>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</si>
  <si>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</si>
  <si>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</si>
  <si>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</si>
  <si>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</si>
  <si>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</si>
  <si>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</si>
  <si>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</si>
  <si>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</si>
  <si>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</si>
  <si>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</si>
  <si>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</si>
  <si>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</si>
  <si>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</si>
  <si>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</si>
  <si>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</si>
  <si>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</si>
  <si>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</si>
  <si>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</si>
  <si>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</si>
  <si>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</si>
  <si>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</si>
  <si>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</si>
  <si>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</si>
  <si>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</si>
  <si>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</si>
  <si>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</si>
  <si>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</si>
  <si>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</si>
  <si>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</si>
  <si>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</si>
  <si>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</si>
  <si>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</si>
  <si>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</si>
  <si>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</si>
  <si>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</si>
  <si>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</si>
  <si>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</si>
  <si>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</si>
  <si>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—</t>
  </si>
  <si>
    <t>Year</t>
  </si>
  <si>
    <t>Revenue ($M)</t>
  </si>
  <si>
    <t>Growth Rate (%)</t>
  </si>
  <si>
    <t>Assumptions</t>
  </si>
  <si>
    <t>Revenue growth consistent with 6% observed in early years.</t>
  </si>
  <si>
    <t>Growth rate maintained at 6% due to no significant product changes.</t>
  </si>
  <si>
    <t>Steady 6% growth continued, supported by incremental innovations.</t>
  </si>
  <si>
    <t>Growth accelerated to 7% with increased market penetration.</t>
  </si>
  <si>
    <t>8% growth driven by successful digital transformation initiatives.</t>
  </si>
  <si>
    <t>Revenue declined due to COVID-19's impact on global operations.</t>
  </si>
  <si>
    <t>Strong recovery post-COVID driven by digital and footwear innovation.</t>
  </si>
  <si>
    <t>Stable growth driven by sustained demand in digital and key segments.</t>
  </si>
  <si>
    <t>Steady growth expected due to stable digital and product performance.</t>
  </si>
  <si>
    <t>Growth rate consistent at 5% reflecting stable market conditions and product developments.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</si>
</sst>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65" fontId="5" fillId="0" borderId="0" xfId="1" applyNumberFormat="1" applyFont="1" applyBorder="1"/>
    <xf numFmtId="0" fontId="2" fillId="0" borderId="6" xfId="0" applyFont="1" applyBorder="1" applyAlignment="1">
      <alignment horizontal="center" vertical="top"/>
    </xf>
    <xf numFmtId="0" fontId="0" fillId="0" borderId="6" xfId="0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RE-SEND%20FRANK-WISDOM%2071731951095703_Task%2011%20-%20Linking%20Cash%20Flow%20Statement.xlsx" TargetMode="External"/><Relationship Id="rId1" Type="http://schemas.openxmlformats.org/officeDocument/2006/relationships/externalLinkPath" Target="RE-SEND%20FRANK-WISDOM%2071731951095703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2996</v>
          </cell>
          <cell r="C31">
            <v>3451</v>
          </cell>
          <cell r="D31">
            <v>3975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0</v>
          </cell>
          <cell r="E46">
            <v>0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D47">
            <v>3471</v>
          </cell>
          <cell r="E47">
            <v>3468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0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58">
          <cell r="B58">
            <v>12707</v>
          </cell>
          <cell r="C58">
            <v>12258</v>
          </cell>
          <cell r="D58">
            <v>12407</v>
          </cell>
          <cell r="E58">
            <v>9812</v>
          </cell>
          <cell r="F58">
            <v>9040</v>
          </cell>
          <cell r="G58">
            <v>8055</v>
          </cell>
          <cell r="H58">
            <v>12767</v>
          </cell>
          <cell r="I58">
            <v>15281</v>
          </cell>
        </row>
        <row r="70">
          <cell r="B70">
            <v>424</v>
          </cell>
          <cell r="C70">
            <v>98</v>
          </cell>
          <cell r="D70">
            <v>-117</v>
          </cell>
          <cell r="E70">
            <v>-99</v>
          </cell>
          <cell r="F70">
            <v>233</v>
          </cell>
          <cell r="G70">
            <v>23</v>
          </cell>
          <cell r="H70">
            <v>-138</v>
          </cell>
          <cell r="I70">
            <v>-26</v>
          </cell>
        </row>
        <row r="72">
          <cell r="C72">
            <v>60</v>
          </cell>
          <cell r="D72">
            <v>-426</v>
          </cell>
          <cell r="E72">
            <v>187</v>
          </cell>
          <cell r="F72">
            <v>-270</v>
          </cell>
          <cell r="G72">
            <v>1239</v>
          </cell>
          <cell r="H72">
            <v>-1606</v>
          </cell>
          <cell r="I72">
            <v>-504</v>
          </cell>
        </row>
        <row r="73">
          <cell r="C73">
            <v>-590</v>
          </cell>
          <cell r="D73">
            <v>-231</v>
          </cell>
          <cell r="E73">
            <v>-255</v>
          </cell>
          <cell r="F73">
            <v>-490</v>
          </cell>
          <cell r="G73">
            <v>-1854</v>
          </cell>
          <cell r="H73">
            <v>507</v>
          </cell>
          <cell r="I73">
            <v>-1676</v>
          </cell>
        </row>
        <row r="74">
          <cell r="C74">
            <v>-161</v>
          </cell>
          <cell r="D74">
            <v>-120</v>
          </cell>
          <cell r="E74">
            <v>35</v>
          </cell>
          <cell r="F74">
            <v>-203</v>
          </cell>
          <cell r="G74">
            <v>-654</v>
          </cell>
          <cell r="H74">
            <v>-182</v>
          </cell>
          <cell r="I74">
            <v>-845</v>
          </cell>
        </row>
        <row r="75">
          <cell r="C75">
            <v>-586</v>
          </cell>
          <cell r="D75">
            <v>-158</v>
          </cell>
          <cell r="E75">
            <v>1515</v>
          </cell>
          <cell r="F75">
            <v>1525</v>
          </cell>
          <cell r="G75">
            <v>24</v>
          </cell>
          <cell r="H75">
            <v>1326</v>
          </cell>
          <cell r="I75">
            <v>1365</v>
          </cell>
        </row>
        <row r="81">
          <cell r="B81">
            <v>-963</v>
          </cell>
          <cell r="C81">
            <v>-1143</v>
          </cell>
          <cell r="D81">
            <v>-1105</v>
          </cell>
          <cell r="E81">
            <v>-1028</v>
          </cell>
          <cell r="F81">
            <v>-1119</v>
          </cell>
          <cell r="G81">
            <v>-1086</v>
          </cell>
          <cell r="H81">
            <v>-695</v>
          </cell>
          <cell r="I81">
            <v>-758</v>
          </cell>
        </row>
        <row r="82">
          <cell r="B82">
            <v>0</v>
          </cell>
          <cell r="C82">
            <v>6</v>
          </cell>
          <cell r="D82">
            <v>-34</v>
          </cell>
          <cell r="E82">
            <v>-22</v>
          </cell>
          <cell r="F82">
            <v>5</v>
          </cell>
          <cell r="G82">
            <v>31</v>
          </cell>
          <cell r="H82">
            <v>171</v>
          </cell>
          <cell r="I82">
            <v>-19</v>
          </cell>
        </row>
        <row r="85">
          <cell r="B85">
            <v>0</v>
          </cell>
          <cell r="C85">
            <v>981</v>
          </cell>
          <cell r="D85">
            <v>1482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8">
          <cell r="B88">
            <v>514</v>
          </cell>
          <cell r="C88">
            <v>507</v>
          </cell>
          <cell r="D88">
            <v>0</v>
          </cell>
          <cell r="E88">
            <v>733</v>
          </cell>
          <cell r="F88">
            <v>700</v>
          </cell>
          <cell r="G88">
            <v>885</v>
          </cell>
          <cell r="H88">
            <v>1172</v>
          </cell>
          <cell r="I88">
            <v>1151</v>
          </cell>
        </row>
        <row r="89">
          <cell r="B89">
            <v>-2534</v>
          </cell>
          <cell r="C89">
            <v>-3238</v>
          </cell>
          <cell r="D89">
            <v>-3223</v>
          </cell>
          <cell r="E89">
            <v>-4254</v>
          </cell>
          <cell r="F89">
            <v>-4286</v>
          </cell>
          <cell r="G89">
            <v>-3067</v>
          </cell>
          <cell r="H89">
            <v>-608</v>
          </cell>
          <cell r="I89">
            <v>-4014</v>
          </cell>
        </row>
        <row r="90">
          <cell r="B90">
            <v>-899</v>
          </cell>
          <cell r="C90">
            <v>-1022</v>
          </cell>
          <cell r="D90">
            <v>-1133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  <row r="91">
          <cell r="E91">
            <v>-84</v>
          </cell>
          <cell r="F91">
            <v>-50</v>
          </cell>
          <cell r="G91">
            <v>-58</v>
          </cell>
          <cell r="H91">
            <v>-136</v>
          </cell>
          <cell r="I91">
            <v>-151</v>
          </cell>
        </row>
        <row r="95">
          <cell r="B95">
            <v>2220</v>
          </cell>
          <cell r="C95">
            <v>3852</v>
          </cell>
          <cell r="D95">
            <v>3138</v>
          </cell>
          <cell r="E95">
            <v>3808</v>
          </cell>
          <cell r="F95">
            <v>4249</v>
          </cell>
          <cell r="G95">
            <v>4466</v>
          </cell>
          <cell r="H95">
            <v>8348</v>
          </cell>
          <cell r="I95">
            <v>9889</v>
          </cell>
        </row>
        <row r="96">
          <cell r="B96">
            <v>3852</v>
          </cell>
          <cell r="C96">
            <v>3138</v>
          </cell>
          <cell r="D96">
            <v>3808</v>
          </cell>
          <cell r="E96">
            <v>4249</v>
          </cell>
          <cell r="F96">
            <v>4466</v>
          </cell>
          <cell r="G96">
            <v>8348</v>
          </cell>
          <cell r="H96">
            <v>9889</v>
          </cell>
          <cell r="I96">
            <v>8574</v>
          </cell>
        </row>
        <row r="100">
          <cell r="B100">
            <v>53</v>
          </cell>
          <cell r="C100">
            <v>70</v>
          </cell>
          <cell r="D100">
            <v>98</v>
          </cell>
          <cell r="E100">
            <v>125</v>
          </cell>
          <cell r="F100">
            <v>153</v>
          </cell>
          <cell r="G100">
            <v>140</v>
          </cell>
          <cell r="H100">
            <v>293</v>
          </cell>
          <cell r="I100">
            <v>290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>
            <v>0.06</v>
          </cell>
          <cell r="C4">
            <v>0.06</v>
          </cell>
          <cell r="D4">
            <v>0.06</v>
          </cell>
          <cell r="E4">
            <v>7.0000000000000007E-2</v>
          </cell>
          <cell r="F4">
            <v>-0.04</v>
          </cell>
          <cell r="G4">
            <v>0.19</v>
          </cell>
          <cell r="H4">
            <v>0.05</v>
          </cell>
          <cell r="I4">
            <v>0.05</v>
          </cell>
        </row>
        <row r="5">
          <cell r="B5">
            <v>7200</v>
          </cell>
          <cell r="C5">
            <v>7600</v>
          </cell>
          <cell r="D5">
            <v>8000</v>
          </cell>
          <cell r="E5">
            <v>8300</v>
          </cell>
          <cell r="F5">
            <v>8500</v>
          </cell>
          <cell r="G5">
            <v>7000</v>
          </cell>
          <cell r="H5">
            <v>9500</v>
          </cell>
          <cell r="I5">
            <v>9800</v>
          </cell>
        </row>
        <row r="8">
          <cell r="B8">
            <v>1500</v>
          </cell>
          <cell r="C8">
            <v>1600</v>
          </cell>
          <cell r="D8">
            <v>1700</v>
          </cell>
          <cell r="E8">
            <v>1800</v>
          </cell>
          <cell r="F8">
            <v>1850</v>
          </cell>
          <cell r="G8">
            <v>1750</v>
          </cell>
          <cell r="H8">
            <v>1900</v>
          </cell>
          <cell r="I8">
            <v>2000</v>
          </cell>
        </row>
        <row r="11">
          <cell r="B11">
            <v>4500</v>
          </cell>
          <cell r="C11">
            <v>4800</v>
          </cell>
          <cell r="D11">
            <v>5100</v>
          </cell>
          <cell r="E11">
            <v>5200</v>
          </cell>
          <cell r="F11">
            <v>5400</v>
          </cell>
          <cell r="G11">
            <v>3000</v>
          </cell>
          <cell r="H11">
            <v>6923</v>
          </cell>
          <cell r="I11">
            <v>6856</v>
          </cell>
        </row>
        <row r="12">
          <cell r="B12">
            <v>6.7000000000000004E-2</v>
          </cell>
          <cell r="C12">
            <v>6.3E-2</v>
          </cell>
          <cell r="D12">
            <v>0.02</v>
          </cell>
          <cell r="E12">
            <v>3.7999999999999999E-2</v>
          </cell>
          <cell r="F12">
            <v>-0.44400000000000001</v>
          </cell>
          <cell r="G12">
            <v>1.3069999999999999</v>
          </cell>
          <cell r="H12">
            <v>-0.01</v>
          </cell>
          <cell r="I12">
            <v>-0.01</v>
          </cell>
        </row>
        <row r="13">
          <cell r="B13">
            <v>0.14699999999999999</v>
          </cell>
          <cell r="C13">
            <v>0.15</v>
          </cell>
          <cell r="D13">
            <v>0.152</v>
          </cell>
          <cell r="E13">
            <v>0.14299999999999999</v>
          </cell>
          <cell r="F13">
            <v>0.14499999999999999</v>
          </cell>
          <cell r="G13">
            <v>0.08</v>
          </cell>
          <cell r="H13">
            <v>0.155</v>
          </cell>
          <cell r="I13">
            <v>0.14699999999999999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13"/>
  <sheetViews>
    <sheetView workbookViewId="0">
      <selection activeCell="A2" sqref="A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I204"/>
  <sheetViews>
    <sheetView workbookViewId="0">
      <pane ySplit="1" topLeftCell="A169" activePane="bottomLeft" state="frozen"/>
      <selection pane="bottomLeft" activeCell="D197" sqref="D197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3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B10:H10" si="5">+H4-H7-H8-H9</f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6">+B10-B11</f>
        <v>5757</v>
      </c>
      <c r="C12" s="7">
        <f>+C10-C11</f>
        <v>6315</v>
      </c>
      <c r="D12" s="7">
        <f t="shared" si="6"/>
        <v>6604</v>
      </c>
      <c r="E12" s="7">
        <f t="shared" si="6"/>
        <v>4991</v>
      </c>
      <c r="F12" s="7">
        <f t="shared" si="6"/>
        <v>7435</v>
      </c>
      <c r="G12" s="7">
        <f t="shared" si="6"/>
        <v>6044</v>
      </c>
      <c r="H12" s="7">
        <f t="shared" ref="B12:H12" si="7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61">
        <v>1742.5</v>
      </c>
      <c r="D18" s="61">
        <v>1692</v>
      </c>
      <c r="E18" s="61">
        <v>1659.1</v>
      </c>
      <c r="F18" s="61">
        <v>1618.4</v>
      </c>
      <c r="G18" s="61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ref="B20:H20" si="8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9">+SUM(B25:B29)</f>
        <v>15587</v>
      </c>
      <c r="C30" s="5">
        <f t="shared" si="9"/>
        <v>15025</v>
      </c>
      <c r="D30" s="5">
        <f t="shared" si="9"/>
        <v>16061</v>
      </c>
      <c r="E30" s="5">
        <f t="shared" si="9"/>
        <v>15134</v>
      </c>
      <c r="F30" s="5">
        <f t="shared" si="9"/>
        <v>16525</v>
      </c>
      <c r="G30" s="5">
        <f t="shared" si="9"/>
        <v>20556</v>
      </c>
      <c r="H30" s="5">
        <f t="shared" ref="B30:H30" si="10">+SUM(H25:H29)</f>
        <v>26291</v>
      </c>
      <c r="I30" s="5">
        <f>+SUM(I25:I29)</f>
        <v>28213</v>
      </c>
    </row>
    <row r="31" spans="1:9" x14ac:dyDescent="0.3">
      <c r="A31" s="2" t="s">
        <v>37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F32" t="s">
        <v>214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1">+SUM(B30:B35)</f>
        <v>21582</v>
      </c>
      <c r="C36" s="7">
        <f t="shared" si="11"/>
        <v>21327</v>
      </c>
      <c r="D36" s="7">
        <f t="shared" si="11"/>
        <v>23245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ref="B36:H36" si="12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62"/>
      <c r="C42" s="62"/>
      <c r="D42" s="62"/>
      <c r="E42" s="62"/>
      <c r="F42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3">+SUM(B39:B44)</f>
        <v>6332</v>
      </c>
      <c r="C45" s="5">
        <f t="shared" si="13"/>
        <v>5358</v>
      </c>
      <c r="D45" s="5">
        <f t="shared" si="13"/>
        <v>5474</v>
      </c>
      <c r="E45" s="5">
        <f t="shared" si="13"/>
        <v>6040</v>
      </c>
      <c r="F45" s="5">
        <f t="shared" si="13"/>
        <v>7866</v>
      </c>
      <c r="G45" s="5">
        <f t="shared" si="13"/>
        <v>8284</v>
      </c>
      <c r="H45" s="5">
        <f t="shared" ref="B45:H45" si="14">+SUM(H39:H44)</f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t="s">
        <v>214</v>
      </c>
      <c r="C47" t="s">
        <v>214</v>
      </c>
      <c r="D47" s="8">
        <v>3471</v>
      </c>
      <c r="E47" s="8">
        <v>3468</v>
      </c>
      <c r="F47" t="s">
        <v>214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5">+SUM(B53:B57)</f>
        <v>12707</v>
      </c>
      <c r="C58" s="5">
        <f t="shared" si="15"/>
        <v>12258</v>
      </c>
      <c r="D58" s="5">
        <f t="shared" si="15"/>
        <v>12407</v>
      </c>
      <c r="E58" s="5">
        <f t="shared" si="15"/>
        <v>9812</v>
      </c>
      <c r="F58" s="5">
        <f t="shared" si="15"/>
        <v>9040</v>
      </c>
      <c r="G58" s="5">
        <f t="shared" si="15"/>
        <v>8055</v>
      </c>
      <c r="H58" s="5">
        <f t="shared" ref="B58:H58" si="16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v>21582</v>
      </c>
      <c r="C59" s="7">
        <v>21327</v>
      </c>
      <c r="D59" s="7">
        <v>23245</v>
      </c>
      <c r="E59" s="7">
        <f t="shared" ref="E59:G59" si="17">+SUM(E45:E50)+E58</f>
        <v>22536</v>
      </c>
      <c r="F59" s="7">
        <v>23717</v>
      </c>
      <c r="G59" s="7">
        <f t="shared" si="17"/>
        <v>31342</v>
      </c>
      <c r="H59" s="7">
        <f t="shared" ref="B59:H59" si="18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19">+B59-B36</f>
        <v>0</v>
      </c>
      <c r="C60" s="13">
        <f>+C59-C36</f>
        <v>0</v>
      </c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ref="B60:H60" si="20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3"/>
      <c r="C64" s="64">
        <v>3760</v>
      </c>
      <c r="D64" s="64">
        <v>4240</v>
      </c>
      <c r="E64" s="64">
        <v>1933</v>
      </c>
      <c r="F64" s="64">
        <v>4029</v>
      </c>
      <c r="G64" s="64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62"/>
      <c r="C65" s="62"/>
      <c r="D65" s="62"/>
      <c r="E65" s="62"/>
      <c r="F65" s="62"/>
      <c r="G65" s="62"/>
      <c r="H65" s="3"/>
      <c r="I65" s="3"/>
    </row>
    <row r="66" spans="1:9" x14ac:dyDescent="0.3">
      <c r="A66" s="11" t="s">
        <v>66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62"/>
      <c r="C71" s="62"/>
      <c r="D71" s="62"/>
      <c r="E71" s="62"/>
      <c r="F71" s="62"/>
      <c r="G71" s="62"/>
      <c r="H71" s="3"/>
      <c r="I71" s="3"/>
    </row>
    <row r="72" spans="1:9" x14ac:dyDescent="0.3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1">+SUM(B64:B75)</f>
        <v>1373</v>
      </c>
      <c r="C76" s="26">
        <f t="shared" si="21"/>
        <v>3382</v>
      </c>
      <c r="D76" s="26">
        <f t="shared" si="21"/>
        <v>3815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B76: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>
        <v>0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-28</v>
      </c>
      <c r="C83" s="26">
        <f t="shared" si="23"/>
        <v>-1194</v>
      </c>
      <c r="D83" s="26">
        <f t="shared" si="23"/>
        <v>-1021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B83: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>
        <v>0</v>
      </c>
      <c r="C85">
        <v>981</v>
      </c>
      <c r="D85" s="8">
        <v>1482</v>
      </c>
      <c r="E85">
        <v>0</v>
      </c>
      <c r="F85">
        <v>0</v>
      </c>
      <c r="G85">
        <v>0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214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84</v>
      </c>
      <c r="B87">
        <v>-19</v>
      </c>
      <c r="C87" t="s">
        <v>214</v>
      </c>
      <c r="D87" t="s">
        <v>214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85</v>
      </c>
      <c r="B88">
        <v>514</v>
      </c>
      <c r="C88">
        <v>507</v>
      </c>
      <c r="D88">
        <v>0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62"/>
      <c r="C91" s="62"/>
      <c r="D91" s="62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G92" si="25">+SUM(B85:B91)</f>
        <v>-3001</v>
      </c>
      <c r="C92" s="26">
        <f t="shared" si="25"/>
        <v>-2839</v>
      </c>
      <c r="D92" s="26">
        <f t="shared" si="25"/>
        <v>-2547</v>
      </c>
      <c r="E92" s="26">
        <f t="shared" si="25"/>
        <v>-4822</v>
      </c>
      <c r="F92" s="26">
        <f t="shared" si="25"/>
        <v>-5293</v>
      </c>
      <c r="G92" s="26">
        <f t="shared" si="25"/>
        <v>2491</v>
      </c>
      <c r="H92" s="26">
        <f t="shared" ref="B92:H92" si="26">+SUM(H85:H91)</f>
        <v>-1459</v>
      </c>
      <c r="I92" s="26">
        <f>+SUM(I85:I91)</f>
        <v>-4836</v>
      </c>
    </row>
    <row r="93" spans="1:9" x14ac:dyDescent="0.3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7">+B76+B83+B92+B93</f>
        <v>-1739</v>
      </c>
      <c r="C94" s="26">
        <f t="shared" si="27"/>
        <v>-756</v>
      </c>
      <c r="D94" s="26">
        <f t="shared" si="27"/>
        <v>227</v>
      </c>
      <c r="E94" s="26">
        <f t="shared" si="27"/>
        <v>454</v>
      </c>
      <c r="F94" s="26">
        <f t="shared" si="27"/>
        <v>217</v>
      </c>
      <c r="G94" s="26">
        <f t="shared" si="27"/>
        <v>3882</v>
      </c>
      <c r="H94" s="26">
        <f t="shared" ref="B94:H94" si="28">+H76+H83+H92+H93</f>
        <v>1541</v>
      </c>
      <c r="I94" s="26">
        <f>+I76+I83+I92+I93</f>
        <v>-1315</v>
      </c>
    </row>
    <row r="95" spans="1:9" x14ac:dyDescent="0.3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65">
        <v>3852</v>
      </c>
      <c r="C96" s="65">
        <v>3138</v>
      </c>
      <c r="D96" s="65">
        <v>3808</v>
      </c>
      <c r="E96" s="65">
        <v>4249</v>
      </c>
      <c r="F96" s="65">
        <v>4466</v>
      </c>
      <c r="G96" s="65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ref="B97:H97" si="30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B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B131: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62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62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4817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B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108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G142" si="42">+SUM(B139:B141)</f>
        <v>6717</v>
      </c>
      <c r="C142" s="7">
        <f t="shared" si="42"/>
        <v>7197</v>
      </c>
      <c r="D142" s="7">
        <f t="shared" si="42"/>
        <v>7309</v>
      </c>
      <c r="E142" s="7">
        <f t="shared" si="42"/>
        <v>7437</v>
      </c>
      <c r="F142" s="7">
        <f t="shared" si="42"/>
        <v>8256</v>
      </c>
      <c r="G142" s="7">
        <f t="shared" si="42"/>
        <v>6481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G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ref="B143:H143" si="45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2161</v>
      </c>
      <c r="C150" s="5">
        <f t="shared" si="46"/>
        <v>2389</v>
      </c>
      <c r="D150" s="5">
        <f t="shared" si="46"/>
        <v>2612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B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2996</v>
      </c>
      <c r="C153" s="7">
        <f t="shared" si="48"/>
        <v>3451</v>
      </c>
      <c r="D153" s="7">
        <f t="shared" si="48"/>
        <v>3975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B153: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B154:H154" si="51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2">+SUM(B156:B160)</f>
        <v>755</v>
      </c>
      <c r="C161" s="5">
        <f t="shared" si="52"/>
        <v>810</v>
      </c>
      <c r="D161" s="5">
        <f t="shared" si="52"/>
        <v>753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B161:I161" si="53">+SUM(H156:H160)</f>
        <v>677</v>
      </c>
      <c r="I161" s="5">
        <f t="shared" si="5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54">-(SUM(B161:B162)+B81)</f>
        <v>139</v>
      </c>
      <c r="C163" s="3">
        <f t="shared" si="54"/>
        <v>294</v>
      </c>
      <c r="D163" s="3">
        <f t="shared" si="54"/>
        <v>322</v>
      </c>
      <c r="E163" s="3">
        <f t="shared" si="54"/>
        <v>159</v>
      </c>
      <c r="F163" s="3">
        <f t="shared" si="54"/>
        <v>377</v>
      </c>
      <c r="G163" s="3">
        <f t="shared" si="54"/>
        <v>318</v>
      </c>
      <c r="H163" s="3">
        <f t="shared" ref="B163:H163" si="55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6">+SUM(B161:B163)</f>
        <v>963</v>
      </c>
      <c r="C164" s="7">
        <f t="shared" si="56"/>
        <v>1143</v>
      </c>
      <c r="D164" s="7">
        <f t="shared" si="56"/>
        <v>1105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ref="B164:H164" si="57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8">+B164+B81</f>
        <v>0</v>
      </c>
      <c r="C165" s="13">
        <f t="shared" si="58"/>
        <v>0</v>
      </c>
      <c r="D165" s="13">
        <f t="shared" si="58"/>
        <v>0</v>
      </c>
      <c r="E165" s="13">
        <f t="shared" si="58"/>
        <v>0</v>
      </c>
      <c r="F165" s="13">
        <f t="shared" si="58"/>
        <v>0</v>
      </c>
      <c r="G165" s="13">
        <f t="shared" si="58"/>
        <v>0</v>
      </c>
      <c r="H165" s="13">
        <f t="shared" ref="B165:H165" si="59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60">+SUM(B167:B171)</f>
        <v>479</v>
      </c>
      <c r="C172" s="5">
        <f t="shared" si="60"/>
        <v>521</v>
      </c>
      <c r="D172" s="5">
        <f t="shared" si="60"/>
        <v>556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ref="B172:I172" si="61">+SUM(H167:H171)</f>
        <v>577</v>
      </c>
      <c r="I172" s="5">
        <f t="shared" si="61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62">+SUM(B172:B174)</f>
        <v>572</v>
      </c>
      <c r="C175" s="7">
        <f t="shared" si="62"/>
        <v>632</v>
      </c>
      <c r="D175" s="7">
        <f t="shared" si="62"/>
        <v>675</v>
      </c>
      <c r="E175" s="7">
        <f t="shared" si="62"/>
        <v>747</v>
      </c>
      <c r="F175" s="7">
        <f t="shared" si="62"/>
        <v>705</v>
      </c>
      <c r="G175" s="7">
        <f t="shared" si="62"/>
        <v>721</v>
      </c>
      <c r="H175" s="7">
        <f t="shared" ref="B175:H175" si="63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G176" si="64">+B175-B66</f>
        <v>0</v>
      </c>
      <c r="C176" s="13">
        <f t="shared" si="64"/>
        <v>0</v>
      </c>
      <c r="D176" s="13">
        <f t="shared" si="64"/>
        <v>0</v>
      </c>
      <c r="E176" s="13">
        <f t="shared" si="64"/>
        <v>0</v>
      </c>
      <c r="F176" s="13">
        <f t="shared" si="64"/>
        <v>0</v>
      </c>
      <c r="G176" s="13">
        <f t="shared" si="64"/>
        <v>0</v>
      </c>
      <c r="H176" s="13">
        <f t="shared" ref="B176:H176" si="65">+H175-H66</f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113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114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115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101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113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114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115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102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113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106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113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115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107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114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115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121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O51"/>
  <sheetViews>
    <sheetView workbookViewId="0">
      <selection activeCell="A20" sqref="A2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66">
        <v>30601</v>
      </c>
      <c r="C3" s="66">
        <v>32376</v>
      </c>
      <c r="D3" s="66">
        <v>34350</v>
      </c>
      <c r="E3" s="66">
        <v>36397</v>
      </c>
      <c r="F3" s="66">
        <v>39117</v>
      </c>
      <c r="G3" s="66">
        <v>37403</v>
      </c>
      <c r="H3" s="66">
        <v>44538</v>
      </c>
      <c r="I3" s="66">
        <v>46710</v>
      </c>
      <c r="J3" s="66">
        <v>49045.5</v>
      </c>
      <c r="K3" s="66">
        <v>51497.78</v>
      </c>
      <c r="L3" s="66">
        <v>54072.66</v>
      </c>
      <c r="M3" s="66">
        <v>56776.3</v>
      </c>
      <c r="N3" s="66">
        <v>59615.11</v>
      </c>
      <c r="O3" t="s">
        <v>142</v>
      </c>
    </row>
    <row r="4" spans="1:15" x14ac:dyDescent="0.3">
      <c r="A4" s="41" t="s">
        <v>129</v>
      </c>
      <c r="B4" s="67">
        <v>0.06</v>
      </c>
      <c r="C4" s="67">
        <v>0.06</v>
      </c>
      <c r="D4" s="67">
        <v>0.06</v>
      </c>
      <c r="E4" s="67">
        <v>7.0000000000000007E-2</v>
      </c>
      <c r="F4" s="67">
        <v>-0.04</v>
      </c>
      <c r="G4" s="67">
        <v>0.19</v>
      </c>
      <c r="H4" s="67">
        <v>0.05</v>
      </c>
      <c r="I4" s="67">
        <v>0.05</v>
      </c>
      <c r="J4" s="67">
        <v>0.05</v>
      </c>
      <c r="K4" s="67">
        <v>0.05</v>
      </c>
      <c r="L4" s="67">
        <v>0.05</v>
      </c>
      <c r="M4" s="67">
        <v>0.05</v>
      </c>
      <c r="N4" s="67">
        <v>0.05</v>
      </c>
    </row>
    <row r="5" spans="1:15" x14ac:dyDescent="0.3">
      <c r="A5" s="40" t="s">
        <v>130</v>
      </c>
      <c r="B5" s="66">
        <v>7200</v>
      </c>
      <c r="C5" s="66">
        <v>7600</v>
      </c>
      <c r="D5" s="66">
        <v>8000</v>
      </c>
      <c r="E5" s="66">
        <v>8300</v>
      </c>
      <c r="F5" s="66">
        <v>8500</v>
      </c>
      <c r="G5" s="66">
        <v>7000</v>
      </c>
      <c r="H5" s="66">
        <v>9500</v>
      </c>
      <c r="I5" s="66">
        <v>9800</v>
      </c>
      <c r="J5" s="66">
        <v>10113.6</v>
      </c>
      <c r="K5" s="66">
        <v>10437.24</v>
      </c>
      <c r="L5" s="66">
        <v>10771.23</v>
      </c>
      <c r="M5" s="66">
        <v>11115.91</v>
      </c>
      <c r="N5" s="66">
        <v>11471.61</v>
      </c>
      <c r="O5" t="s">
        <v>143</v>
      </c>
    </row>
    <row r="6" spans="1:15" x14ac:dyDescent="0.3">
      <c r="A6" s="41" t="s">
        <v>129</v>
      </c>
      <c r="B6" s="68">
        <v>5.6000000000000001E-2</v>
      </c>
      <c r="C6" s="68">
        <v>5.2999999999999999E-2</v>
      </c>
      <c r="D6" s="68">
        <v>3.7999999999999999E-2</v>
      </c>
      <c r="E6" s="68">
        <v>2.4E-2</v>
      </c>
      <c r="F6" s="68">
        <v>-0.17599999999999999</v>
      </c>
      <c r="G6" s="68">
        <v>0.35699999999999998</v>
      </c>
      <c r="H6" s="68">
        <v>3.2000000000000001E-2</v>
      </c>
      <c r="I6" s="68">
        <v>3.2000000000000001E-2</v>
      </c>
      <c r="J6" s="68">
        <v>3.2000000000000001E-2</v>
      </c>
      <c r="K6" s="68">
        <v>3.2000000000000001E-2</v>
      </c>
      <c r="L6" s="68">
        <v>3.2000000000000001E-2</v>
      </c>
      <c r="M6" s="68">
        <v>3.2000000000000001E-2</v>
      </c>
      <c r="N6" s="68">
        <v>3.2000000000000001E-2</v>
      </c>
    </row>
    <row r="7" spans="1:15" x14ac:dyDescent="0.3">
      <c r="A7" s="41" t="s">
        <v>131</v>
      </c>
      <c r="B7" s="68">
        <v>0.23499999999999999</v>
      </c>
      <c r="C7" s="68">
        <v>0.23499999999999999</v>
      </c>
      <c r="D7" s="68">
        <v>0.23300000000000001</v>
      </c>
      <c r="E7" s="68">
        <v>0.22800000000000001</v>
      </c>
      <c r="F7" s="68">
        <v>0.217</v>
      </c>
      <c r="G7" s="68">
        <v>0.187</v>
      </c>
      <c r="H7" s="68">
        <v>0.21299999999999999</v>
      </c>
      <c r="I7" s="68">
        <v>0.21</v>
      </c>
      <c r="J7" s="68">
        <v>0.21</v>
      </c>
      <c r="K7" s="68">
        <v>0.21</v>
      </c>
      <c r="L7" s="68">
        <v>0.21</v>
      </c>
      <c r="M7" s="68">
        <v>0.21</v>
      </c>
      <c r="N7" s="68">
        <v>0.21</v>
      </c>
    </row>
    <row r="8" spans="1:15" x14ac:dyDescent="0.3">
      <c r="A8" s="40" t="s">
        <v>132</v>
      </c>
      <c r="B8" s="66">
        <v>1500</v>
      </c>
      <c r="C8" s="66">
        <v>1600</v>
      </c>
      <c r="D8" s="66">
        <v>1700</v>
      </c>
      <c r="E8" s="66">
        <v>1800</v>
      </c>
      <c r="F8" s="66">
        <v>1850</v>
      </c>
      <c r="G8" s="66">
        <v>1750</v>
      </c>
      <c r="H8" s="66">
        <v>1900</v>
      </c>
      <c r="I8" s="66">
        <v>2000</v>
      </c>
      <c r="J8" s="66">
        <v>2106</v>
      </c>
      <c r="K8" s="66">
        <v>2217.62</v>
      </c>
      <c r="L8" s="66">
        <v>2335.15</v>
      </c>
      <c r="M8" s="66">
        <v>2458.91</v>
      </c>
      <c r="N8" s="66">
        <v>2589.2399999999998</v>
      </c>
      <c r="O8" t="s">
        <v>144</v>
      </c>
    </row>
    <row r="9" spans="1:15" x14ac:dyDescent="0.3">
      <c r="A9" s="41" t="s">
        <v>129</v>
      </c>
      <c r="B9" s="68">
        <v>6.7000000000000004E-2</v>
      </c>
      <c r="C9" s="68">
        <v>6.3E-2</v>
      </c>
      <c r="D9" s="68">
        <v>5.8999999999999997E-2</v>
      </c>
      <c r="E9" s="68">
        <v>2.8000000000000001E-2</v>
      </c>
      <c r="F9" s="68">
        <v>-5.3999999999999999E-2</v>
      </c>
      <c r="G9" s="68">
        <v>8.5999999999999993E-2</v>
      </c>
      <c r="H9" s="68">
        <v>5.2999999999999999E-2</v>
      </c>
      <c r="I9" s="68">
        <v>5.2999999999999999E-2</v>
      </c>
      <c r="J9" s="68">
        <v>5.2999999999999999E-2</v>
      </c>
      <c r="K9" s="68">
        <v>5.2999999999999999E-2</v>
      </c>
      <c r="L9" s="68">
        <v>5.2999999999999999E-2</v>
      </c>
      <c r="M9" s="68">
        <v>5.2999999999999999E-2</v>
      </c>
      <c r="N9" s="68">
        <v>5.2999999999999999E-2</v>
      </c>
    </row>
    <row r="10" spans="1:15" x14ac:dyDescent="0.3">
      <c r="A10" s="41" t="s">
        <v>133</v>
      </c>
      <c r="B10" s="68">
        <v>4.9000000000000002E-2</v>
      </c>
      <c r="C10" s="68">
        <v>4.9000000000000002E-2</v>
      </c>
      <c r="D10" s="68">
        <v>0.05</v>
      </c>
      <c r="E10" s="68">
        <v>4.9000000000000002E-2</v>
      </c>
      <c r="F10" s="68">
        <v>4.7E-2</v>
      </c>
      <c r="G10" s="68">
        <v>4.7E-2</v>
      </c>
      <c r="H10" s="68">
        <v>4.2999999999999997E-2</v>
      </c>
      <c r="I10" s="68">
        <v>4.2999999999999997E-2</v>
      </c>
      <c r="J10" s="68">
        <v>4.2999999999999997E-2</v>
      </c>
      <c r="K10" s="68">
        <v>4.2999999999999997E-2</v>
      </c>
      <c r="L10" s="68">
        <v>4.2999999999999997E-2</v>
      </c>
      <c r="M10" s="68">
        <v>4.2999999999999997E-2</v>
      </c>
      <c r="N10" s="68">
        <v>4.2999999999999997E-2</v>
      </c>
    </row>
    <row r="11" spans="1:15" x14ac:dyDescent="0.3">
      <c r="A11" s="40" t="s">
        <v>134</v>
      </c>
      <c r="B11" s="66">
        <v>4500</v>
      </c>
      <c r="C11" s="66">
        <v>4800</v>
      </c>
      <c r="D11" s="66">
        <v>5100</v>
      </c>
      <c r="E11" s="66">
        <v>5200</v>
      </c>
      <c r="F11" s="66">
        <v>5400</v>
      </c>
      <c r="G11" s="66">
        <v>3000</v>
      </c>
      <c r="H11" s="66">
        <v>6923</v>
      </c>
      <c r="I11" s="66">
        <v>6856</v>
      </c>
      <c r="J11" s="66">
        <v>6787.44</v>
      </c>
      <c r="K11" s="66">
        <v>6719.57</v>
      </c>
      <c r="L11" s="66">
        <v>6652.37</v>
      </c>
      <c r="M11" s="66">
        <v>6585.85</v>
      </c>
      <c r="N11" s="66">
        <v>6519.99</v>
      </c>
      <c r="O11" t="s">
        <v>145</v>
      </c>
    </row>
    <row r="12" spans="1:15" x14ac:dyDescent="0.3">
      <c r="A12" s="41" t="s">
        <v>129</v>
      </c>
      <c r="B12" s="68">
        <v>6.7000000000000004E-2</v>
      </c>
      <c r="C12" s="68">
        <v>6.3E-2</v>
      </c>
      <c r="D12" s="68">
        <v>0.02</v>
      </c>
      <c r="E12" s="68">
        <v>3.7999999999999999E-2</v>
      </c>
      <c r="F12" s="68">
        <v>-0.44400000000000001</v>
      </c>
      <c r="G12" s="68">
        <v>1.3069999999999999</v>
      </c>
      <c r="H12" s="68">
        <v>-0.01</v>
      </c>
      <c r="I12" s="68">
        <v>-0.01</v>
      </c>
      <c r="J12" s="68">
        <v>-0.01</v>
      </c>
      <c r="K12" s="68">
        <v>-0.01</v>
      </c>
      <c r="L12" s="68">
        <v>-0.01</v>
      </c>
      <c r="M12" s="68">
        <v>-0.01</v>
      </c>
      <c r="N12" s="68">
        <v>-0.01</v>
      </c>
    </row>
    <row r="13" spans="1:15" x14ac:dyDescent="0.3">
      <c r="A13" s="41" t="s">
        <v>131</v>
      </c>
      <c r="B13" s="68">
        <v>0.14699999999999999</v>
      </c>
      <c r="C13" s="68">
        <v>0.15</v>
      </c>
      <c r="D13" s="68">
        <v>0.152</v>
      </c>
      <c r="E13" s="68">
        <v>0.14299999999999999</v>
      </c>
      <c r="F13" s="68">
        <v>0.14499999999999999</v>
      </c>
      <c r="G13" s="68">
        <v>0.08</v>
      </c>
      <c r="H13" s="68">
        <v>0.155</v>
      </c>
      <c r="I13" s="68">
        <v>0.14699999999999999</v>
      </c>
      <c r="J13" s="68">
        <v>0.14699999999999999</v>
      </c>
      <c r="K13" s="68">
        <v>0.14699999999999999</v>
      </c>
      <c r="L13" s="68">
        <v>0.14699999999999999</v>
      </c>
      <c r="M13" s="68">
        <v>0.14699999999999999</v>
      </c>
      <c r="N13" s="68">
        <v>0.14699999999999999</v>
      </c>
    </row>
    <row r="14" spans="1:15" x14ac:dyDescent="0.3">
      <c r="A14" s="40" t="s">
        <v>135</v>
      </c>
      <c r="B14" s="66">
        <v>1200</v>
      </c>
      <c r="C14" s="66">
        <v>1300</v>
      </c>
      <c r="D14" s="66">
        <v>1350</v>
      </c>
      <c r="E14" s="66">
        <v>1400</v>
      </c>
      <c r="F14" s="66">
        <v>1500</v>
      </c>
      <c r="G14" s="66">
        <v>1000</v>
      </c>
      <c r="H14" s="66">
        <v>1600</v>
      </c>
      <c r="I14" s="66">
        <v>1700</v>
      </c>
      <c r="J14" s="66">
        <v>1807.1</v>
      </c>
      <c r="K14" s="66">
        <v>1920.95</v>
      </c>
      <c r="L14" s="66">
        <v>2041.97</v>
      </c>
      <c r="M14" s="66">
        <v>2170.61</v>
      </c>
      <c r="N14" s="66">
        <v>2307.36</v>
      </c>
      <c r="O14" t="s">
        <v>146</v>
      </c>
    </row>
    <row r="15" spans="1:15" x14ac:dyDescent="0.3">
      <c r="A15" s="41" t="s">
        <v>129</v>
      </c>
      <c r="B15" s="68">
        <v>8.3000000000000004E-2</v>
      </c>
      <c r="C15" s="68">
        <v>3.7999999999999999E-2</v>
      </c>
      <c r="D15" s="68">
        <v>3.6999999999999998E-2</v>
      </c>
      <c r="E15" s="68">
        <v>7.0999999999999994E-2</v>
      </c>
      <c r="F15" s="68">
        <v>-0.33300000000000002</v>
      </c>
      <c r="G15" s="68">
        <v>0.6</v>
      </c>
      <c r="H15" s="68">
        <v>6.3E-2</v>
      </c>
      <c r="I15" s="68">
        <v>6.3E-2</v>
      </c>
      <c r="J15" s="68">
        <v>6.3E-2</v>
      </c>
      <c r="K15" s="68">
        <v>6.3E-2</v>
      </c>
      <c r="L15" s="68">
        <v>6.3E-2</v>
      </c>
      <c r="M15" s="68">
        <v>6.3E-2</v>
      </c>
      <c r="N15" s="68">
        <v>6.3E-2</v>
      </c>
    </row>
    <row r="16" spans="1:15" x14ac:dyDescent="0.3">
      <c r="A16" s="41" t="s">
        <v>133</v>
      </c>
      <c r="B16" s="46">
        <f>+IFERROR(B14/B$3,"nm")</f>
        <v>3.9214404758014444E-2</v>
      </c>
      <c r="C16" s="46">
        <f t="shared" ref="C16:I16" si="2">+IFERROR(C14/C$3,"nm")</f>
        <v>4.0153199901161354E-2</v>
      </c>
      <c r="D16" s="46">
        <f t="shared" si="2"/>
        <v>3.9301310043668124E-2</v>
      </c>
      <c r="E16" s="46">
        <f t="shared" si="2"/>
        <v>3.8464708629832131E-2</v>
      </c>
      <c r="F16" s="46">
        <f t="shared" si="2"/>
        <v>3.8346498964644531E-2</v>
      </c>
      <c r="G16" s="46">
        <f t="shared" si="2"/>
        <v>2.6735823329679439E-2</v>
      </c>
      <c r="H16" s="46">
        <f t="shared" si="2"/>
        <v>3.5924379181822265E-2</v>
      </c>
      <c r="I16" s="46">
        <f t="shared" si="2"/>
        <v>3.6394776279169344E-2</v>
      </c>
      <c r="J16" s="68">
        <v>3.5999999999999997E-2</v>
      </c>
      <c r="K16" s="68">
        <v>3.5999999999999997E-2</v>
      </c>
      <c r="L16" s="68">
        <v>3.5999999999999997E-2</v>
      </c>
      <c r="M16" s="68">
        <v>3.5999999999999997E-2</v>
      </c>
      <c r="N16" s="68">
        <v>3.5999999999999997E-2</v>
      </c>
    </row>
    <row r="17" spans="1:15" x14ac:dyDescent="0.3">
      <c r="A17" s="9" t="s">
        <v>141</v>
      </c>
      <c r="B17" s="66">
        <v>3011</v>
      </c>
      <c r="C17" s="66">
        <v>3520</v>
      </c>
      <c r="D17" s="66">
        <v>3989</v>
      </c>
      <c r="E17" s="66">
        <v>4544</v>
      </c>
      <c r="F17" s="66">
        <v>4744</v>
      </c>
      <c r="G17" s="66">
        <v>4866</v>
      </c>
      <c r="H17" s="66">
        <v>4904</v>
      </c>
      <c r="I17" s="66">
        <v>4791</v>
      </c>
      <c r="J17" s="66">
        <v>4680.8100000000004</v>
      </c>
      <c r="K17" s="66">
        <v>4573.1499999999996</v>
      </c>
      <c r="L17" s="66">
        <v>4467.97</v>
      </c>
      <c r="M17" s="66">
        <v>4365.2</v>
      </c>
      <c r="N17" s="66">
        <v>4264.8</v>
      </c>
      <c r="O17" t="s">
        <v>147</v>
      </c>
    </row>
    <row r="18" spans="1:15" x14ac:dyDescent="0.3">
      <c r="A18" s="41" t="s">
        <v>129</v>
      </c>
      <c r="B18" s="68">
        <v>0.16900000000000001</v>
      </c>
      <c r="C18" s="68">
        <v>0.13300000000000001</v>
      </c>
      <c r="D18" s="68">
        <v>0.14000000000000001</v>
      </c>
      <c r="E18" s="68">
        <v>0.14000000000000001</v>
      </c>
      <c r="F18" s="68">
        <v>4.3999999999999997E-2</v>
      </c>
      <c r="G18" s="68">
        <v>2.5999999999999999E-2</v>
      </c>
      <c r="H18" s="68">
        <v>8.0000000000000002E-3</v>
      </c>
      <c r="I18" s="68">
        <v>-2.3E-2</v>
      </c>
      <c r="J18" s="68">
        <v>-2.3E-2</v>
      </c>
      <c r="K18" s="68">
        <v>-2.3E-2</v>
      </c>
      <c r="L18" s="68">
        <v>-2.3E-2</v>
      </c>
      <c r="M18" s="68">
        <v>-2.3E-2</v>
      </c>
      <c r="N18" s="68">
        <v>-2.3E-2</v>
      </c>
    </row>
    <row r="19" spans="1:15" x14ac:dyDescent="0.3">
      <c r="A19" s="41" t="s">
        <v>133</v>
      </c>
      <c r="B19" s="68">
        <v>9.8000000000000004E-2</v>
      </c>
      <c r="C19" s="68">
        <v>0.109</v>
      </c>
      <c r="D19" s="68">
        <v>0.11600000000000001</v>
      </c>
      <c r="E19" s="68">
        <v>0.125</v>
      </c>
      <c r="F19" s="68">
        <v>0.121</v>
      </c>
      <c r="G19" s="68">
        <v>0.13</v>
      </c>
      <c r="H19" s="68">
        <v>0.11</v>
      </c>
      <c r="I19" s="68">
        <v>0.10299999999999999</v>
      </c>
      <c r="J19" s="68">
        <v>0.10299999999999999</v>
      </c>
      <c r="K19" s="68">
        <v>0.10299999999999999</v>
      </c>
      <c r="L19" s="68">
        <v>0.10299999999999999</v>
      </c>
      <c r="M19" s="68">
        <v>0.10299999999999999</v>
      </c>
      <c r="N19" s="68">
        <v>0.10299999999999999</v>
      </c>
    </row>
    <row r="20" spans="1:15" x14ac:dyDescent="0.3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">+SUM(K23+K27+K31)</f>
        <v>18353</v>
      </c>
      <c r="L21" s="9">
        <f t="shared" si="3"/>
        <v>18353</v>
      </c>
      <c r="M21" s="9">
        <f t="shared" si="3"/>
        <v>18353</v>
      </c>
      <c r="N21" s="9">
        <f t="shared" si="3"/>
        <v>18353</v>
      </c>
    </row>
    <row r="22" spans="1:15" x14ac:dyDescent="0.3">
      <c r="A22" s="43" t="s">
        <v>129</v>
      </c>
      <c r="B22" s="46" t="str">
        <f t="shared" ref="B22:H22" si="4">+IFERROR(B21/A21-1,"nm")</f>
        <v>nm</v>
      </c>
      <c r="C22" s="46">
        <f t="shared" si="4"/>
        <v>7.4526928675400228E-2</v>
      </c>
      <c r="D22" s="46">
        <f t="shared" si="4"/>
        <v>3.0615009482525046E-2</v>
      </c>
      <c r="E22" s="46">
        <f t="shared" si="4"/>
        <v>-2.372502628811779E-2</v>
      </c>
      <c r="F22" s="46">
        <f t="shared" si="4"/>
        <v>7.0481319421070276E-2</v>
      </c>
      <c r="G22" s="46">
        <f t="shared" si="4"/>
        <v>-8.9171173437303519E-2</v>
      </c>
      <c r="H22" s="46">
        <f t="shared" si="4"/>
        <v>0.18606738470035911</v>
      </c>
      <c r="I22" s="46">
        <f>+IFERROR(I21/H21-1,"nm")</f>
        <v>6.8339251411607238E-2</v>
      </c>
      <c r="J22" s="46">
        <f t="shared" ref="J22:N22" si="5">+IFERROR(J21/I21-1,"nm")</f>
        <v>0</v>
      </c>
      <c r="K22" s="46">
        <f t="shared" si="5"/>
        <v>0</v>
      </c>
      <c r="L22" s="46">
        <f t="shared" si="5"/>
        <v>0</v>
      </c>
      <c r="M22" s="46">
        <f t="shared" si="5"/>
        <v>0</v>
      </c>
      <c r="N22" s="46">
        <f t="shared" si="5"/>
        <v>0</v>
      </c>
    </row>
    <row r="23" spans="1:15" x14ac:dyDescent="0.3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6">+J23*(1+K24)</f>
        <v>12228</v>
      </c>
      <c r="L23" s="3">
        <f t="shared" si="6"/>
        <v>12228</v>
      </c>
      <c r="M23" s="3">
        <f t="shared" si="6"/>
        <v>12228</v>
      </c>
      <c r="N23" s="3">
        <f t="shared" si="6"/>
        <v>12228</v>
      </c>
    </row>
    <row r="24" spans="1:15" x14ac:dyDescent="0.3">
      <c r="A24" s="43" t="s">
        <v>129</v>
      </c>
      <c r="B24" s="46" t="str">
        <f t="shared" ref="B24" si="7">+IFERROR(B23/A23-1,"nm")</f>
        <v>nm</v>
      </c>
      <c r="C24" s="46">
        <f t="shared" ref="C24" si="8">+IFERROR(C23/B23-1,"nm")</f>
        <v>9.3228309428638578E-2</v>
      </c>
      <c r="D24" s="46">
        <f t="shared" ref="D24" si="9">+IFERROR(D23/C23-1,"nm")</f>
        <v>4.1402301322722934E-2</v>
      </c>
      <c r="E24" s="46">
        <f t="shared" ref="E24" si="10">+IFERROR(E23/D23-1,"nm")</f>
        <v>-3.7381247418422192E-2</v>
      </c>
      <c r="F24" s="46">
        <f t="shared" ref="F24" si="11">+IFERROR(F23/E23-1,"nm")</f>
        <v>7.755846384895948E-2</v>
      </c>
      <c r="G24" s="46">
        <f t="shared" ref="G24" si="12">+IFERROR(G23/F23-1,"nm")</f>
        <v>-7.1279243404678949E-2</v>
      </c>
      <c r="H24" s="46">
        <f t="shared" ref="H24" si="13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14">+K25+K26</f>
        <v>0</v>
      </c>
      <c r="L24" s="46">
        <f t="shared" si="14"/>
        <v>0</v>
      </c>
      <c r="M24" s="46">
        <f t="shared" si="14"/>
        <v>0</v>
      </c>
      <c r="N24" s="46">
        <f t="shared" si="14"/>
        <v>0</v>
      </c>
    </row>
    <row r="25" spans="1:15" x14ac:dyDescent="0.3">
      <c r="A25" s="43" t="s">
        <v>137</v>
      </c>
      <c r="B25" s="46">
        <f>+Historicals!B180</f>
        <v>0.08</v>
      </c>
      <c r="C25" s="46">
        <f>+Historicals!C180</f>
        <v>0.1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0.19</v>
      </c>
      <c r="I25" s="46">
        <f>+Historicals!I180</f>
        <v>0.05</v>
      </c>
      <c r="J25" s="48">
        <v>0</v>
      </c>
      <c r="K25" s="48">
        <f t="shared" ref="K25:N26" si="15">+J25</f>
        <v>0</v>
      </c>
      <c r="L25" s="48">
        <f t="shared" si="15"/>
        <v>0</v>
      </c>
      <c r="M25" s="48">
        <f t="shared" si="15"/>
        <v>0</v>
      </c>
      <c r="N25" s="48">
        <f t="shared" si="15"/>
        <v>0</v>
      </c>
    </row>
    <row r="26" spans="1:15" x14ac:dyDescent="0.3">
      <c r="A26" s="43" t="s">
        <v>138</v>
      </c>
      <c r="B26" s="46" t="str">
        <f t="shared" ref="B26:H26" si="16">+IFERROR(B24-B25,"nm")</f>
        <v>nm</v>
      </c>
      <c r="C26" s="46">
        <f t="shared" si="16"/>
        <v>-6.7716905713614273E-3</v>
      </c>
      <c r="D26" s="46">
        <f t="shared" si="16"/>
        <v>1.4023013227229333E-3</v>
      </c>
      <c r="E26" s="46">
        <f t="shared" si="16"/>
        <v>2.6187525815778087E-3</v>
      </c>
      <c r="F26" s="46">
        <f t="shared" si="16"/>
        <v>-2.4415361510405215E-3</v>
      </c>
      <c r="G26" s="46">
        <f t="shared" si="16"/>
        <v>-1.2792434046789425E-3</v>
      </c>
      <c r="H26" s="46">
        <f t="shared" si="16"/>
        <v>5.815092721620746E-2</v>
      </c>
      <c r="I26" s="46">
        <f>+IFERROR(I24-I25,"nm")</f>
        <v>1.5458605290268046E-4</v>
      </c>
      <c r="J26" s="48">
        <v>0</v>
      </c>
      <c r="K26" s="48">
        <f t="shared" si="15"/>
        <v>0</v>
      </c>
      <c r="L26" s="48">
        <f t="shared" si="15"/>
        <v>0</v>
      </c>
      <c r="M26" s="48">
        <f t="shared" si="15"/>
        <v>0</v>
      </c>
      <c r="N26" s="48">
        <f t="shared" si="15"/>
        <v>0</v>
      </c>
    </row>
    <row r="27" spans="1:15" x14ac:dyDescent="0.3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17">+J27*(1+K28)</f>
        <v>5492</v>
      </c>
      <c r="L27" s="3">
        <f t="shared" ref="L27" si="18">+K27*(1+L28)</f>
        <v>5492</v>
      </c>
      <c r="M27" s="3">
        <f t="shared" ref="M27" si="19">+L27*(1+M28)</f>
        <v>5492</v>
      </c>
      <c r="N27" s="3">
        <f t="shared" ref="N27" si="20">+M27*(1+N28)</f>
        <v>5492</v>
      </c>
    </row>
    <row r="28" spans="1:15" x14ac:dyDescent="0.3">
      <c r="A28" s="43" t="s">
        <v>129</v>
      </c>
      <c r="B28" s="46" t="str">
        <f t="shared" ref="B28" si="21">+IFERROR(B27/A27-1,"nm")</f>
        <v>nm</v>
      </c>
      <c r="C28" s="46">
        <f t="shared" ref="C28" si="22">+IFERROR(C27/B27-1,"nm")</f>
        <v>7.6190476190476142E-2</v>
      </c>
      <c r="D28" s="46">
        <f t="shared" ref="D28" si="23">+IFERROR(D27/C27-1,"nm")</f>
        <v>2.9498525073746285E-2</v>
      </c>
      <c r="E28" s="46">
        <f t="shared" ref="E28" si="24">+IFERROR(E27/D27-1,"nm")</f>
        <v>1.0642652476463343E-2</v>
      </c>
      <c r="F28" s="46">
        <f t="shared" ref="F28" si="25">+IFERROR(F27/E27-1,"nm")</f>
        <v>6.5208586472256025E-2</v>
      </c>
      <c r="G28" s="46">
        <f t="shared" ref="G28" si="26">+IFERROR(G27/F27-1,"nm")</f>
        <v>-0.11806083650190113</v>
      </c>
      <c r="H28" s="46">
        <f t="shared" ref="H28" si="27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28">+K29+K30</f>
        <v>0</v>
      </c>
      <c r="L28" s="46">
        <f t="shared" ref="L28" si="29">+L29+L30</f>
        <v>0</v>
      </c>
      <c r="M28" s="46">
        <f t="shared" ref="M28" si="30">+M29+M30</f>
        <v>0</v>
      </c>
      <c r="N28" s="46">
        <f t="shared" ref="N28" si="31">+N29+N30</f>
        <v>0</v>
      </c>
    </row>
    <row r="29" spans="1:15" x14ac:dyDescent="0.3">
      <c r="A29" s="43" t="s">
        <v>137</v>
      </c>
      <c r="B29" s="46">
        <f>+Historicals!B184</f>
        <v>0.12</v>
      </c>
      <c r="C29" s="46">
        <f>+Historicals!C184</f>
        <v>0.16</v>
      </c>
      <c r="D29" s="46">
        <f>+Historicals!D184</f>
        <v>0.06</v>
      </c>
      <c r="E29" s="46">
        <f>+Historicals!E184</f>
        <v>0.09</v>
      </c>
      <c r="F29" s="46">
        <f>+Historicals!F184</f>
        <v>7.0000000000000007E-2</v>
      </c>
      <c r="G29" s="46">
        <f>+Historicals!G184</f>
        <v>-0.06</v>
      </c>
      <c r="H29" s="46">
        <f>+Historicals!H184</f>
        <v>0.17</v>
      </c>
      <c r="I29" s="46">
        <f>+Historicals!I184</f>
        <v>0.09</v>
      </c>
      <c r="J29" s="48">
        <v>0</v>
      </c>
      <c r="K29" s="48">
        <f t="shared" ref="K29:N29" si="32">+J29</f>
        <v>0</v>
      </c>
      <c r="L29" s="48">
        <f t="shared" si="32"/>
        <v>0</v>
      </c>
      <c r="M29" s="48">
        <f t="shared" si="32"/>
        <v>0</v>
      </c>
      <c r="N29" s="48">
        <f t="shared" si="32"/>
        <v>0</v>
      </c>
    </row>
    <row r="30" spans="1:15" x14ac:dyDescent="0.3">
      <c r="A30" s="43" t="s">
        <v>138</v>
      </c>
      <c r="B30" s="46" t="str">
        <f t="shared" ref="B30" si="33">+IFERROR(B28-B29,"nm")</f>
        <v>nm</v>
      </c>
      <c r="C30" s="46">
        <f t="shared" ref="C30" si="34">+IFERROR(C28-C29,"nm")</f>
        <v>-8.3809523809523861E-2</v>
      </c>
      <c r="D30" s="46">
        <f t="shared" ref="D30" si="35">+IFERROR(D28-D29,"nm")</f>
        <v>-3.0501474926253713E-2</v>
      </c>
      <c r="E30" s="46">
        <f t="shared" ref="E30" si="36">+IFERROR(E28-E29,"nm")</f>
        <v>-7.9357347523536653E-2</v>
      </c>
      <c r="F30" s="46">
        <f t="shared" ref="F30" si="37">+IFERROR(F28-F29,"nm")</f>
        <v>-4.7914135277439818E-3</v>
      </c>
      <c r="G30" s="46">
        <f t="shared" ref="G30" si="38">+IFERROR(G28-G29,"nm")</f>
        <v>-5.8060836501901136E-2</v>
      </c>
      <c r="H30" s="46">
        <f t="shared" ref="H30" si="39">+IFERROR(H28-H29,"nm")</f>
        <v>-8.6145721060573471E-2</v>
      </c>
      <c r="I30" s="46">
        <f>+IFERROR(I28-I29,"nm")</f>
        <v>2.2832140015910107E-3</v>
      </c>
      <c r="J30" s="48">
        <v>0</v>
      </c>
      <c r="K30" s="48">
        <f t="shared" ref="K30:N30" si="40">+J30</f>
        <v>0</v>
      </c>
      <c r="L30" s="48">
        <f t="shared" si="40"/>
        <v>0</v>
      </c>
      <c r="M30" s="48">
        <f t="shared" si="40"/>
        <v>0</v>
      </c>
      <c r="N30" s="48">
        <f t="shared" si="40"/>
        <v>0</v>
      </c>
    </row>
    <row r="31" spans="1:15" x14ac:dyDescent="0.3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41">+J31*(1+K32)</f>
        <v>633</v>
      </c>
      <c r="L31" s="3">
        <f t="shared" ref="L31" si="42">+K31*(1+L32)</f>
        <v>633</v>
      </c>
      <c r="M31" s="3">
        <f t="shared" ref="M31" si="43">+L31*(1+M32)</f>
        <v>633</v>
      </c>
      <c r="N31" s="3">
        <f t="shared" ref="N31" si="44">+M31*(1+N32)</f>
        <v>633</v>
      </c>
    </row>
    <row r="32" spans="1:15" x14ac:dyDescent="0.3">
      <c r="A32" s="43" t="s">
        <v>129</v>
      </c>
      <c r="B32" s="46" t="str">
        <f t="shared" ref="B32" si="45">+IFERROR(B31/A31-1,"nm")</f>
        <v>nm</v>
      </c>
      <c r="C32" s="46">
        <f t="shared" ref="C32" si="46">+IFERROR(C31/B31-1,"nm")</f>
        <v>-0.12742718446601942</v>
      </c>
      <c r="D32" s="46">
        <f t="shared" ref="D32" si="47">+IFERROR(D31/C31-1,"nm")</f>
        <v>-0.10152990264255912</v>
      </c>
      <c r="E32" s="46">
        <f t="shared" ref="E32" si="48">+IFERROR(E31/D31-1,"nm")</f>
        <v>-7.8947368421052655E-2</v>
      </c>
      <c r="F32" s="46">
        <f t="shared" ref="F32" si="49">+IFERROR(F31/E31-1,"nm")</f>
        <v>3.3613445378151141E-3</v>
      </c>
      <c r="G32" s="46">
        <f t="shared" ref="G32" si="50">+IFERROR(G31/F31-1,"nm")</f>
        <v>-0.13567839195979903</v>
      </c>
      <c r="H32" s="46">
        <f t="shared" ref="H32" si="51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52">+K33+K34</f>
        <v>0</v>
      </c>
      <c r="L32" s="46">
        <f t="shared" ref="L32" si="53">+L33+L34</f>
        <v>0</v>
      </c>
      <c r="M32" s="46">
        <f t="shared" ref="M32" si="54">+M33+M34</f>
        <v>0</v>
      </c>
      <c r="N32" s="46">
        <f t="shared" ref="N32" si="55">+N33+N34</f>
        <v>0</v>
      </c>
    </row>
    <row r="33" spans="1:14" x14ac:dyDescent="0.3">
      <c r="A33" s="43" t="s">
        <v>137</v>
      </c>
      <c r="B33" s="46">
        <f>+Historicals!B182</f>
        <v>-0.13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-0.08</v>
      </c>
      <c r="H33" s="46">
        <f>+Historicals!H182</f>
        <v>0.19</v>
      </c>
      <c r="I33" s="46">
        <f>+Historicals!I182</f>
        <v>0.25</v>
      </c>
      <c r="J33" s="48">
        <v>0</v>
      </c>
      <c r="K33" s="48">
        <f t="shared" ref="K33:N33" si="56">+J33</f>
        <v>0</v>
      </c>
      <c r="L33" s="48">
        <f t="shared" si="56"/>
        <v>0</v>
      </c>
      <c r="M33" s="48">
        <f t="shared" si="56"/>
        <v>0</v>
      </c>
      <c r="N33" s="48">
        <f t="shared" si="56"/>
        <v>0</v>
      </c>
    </row>
    <row r="34" spans="1:14" x14ac:dyDescent="0.3">
      <c r="A34" s="43" t="s">
        <v>138</v>
      </c>
      <c r="B34" s="46" t="str">
        <f t="shared" ref="B34" si="57">+IFERROR(B32-B33,"nm")</f>
        <v>nm</v>
      </c>
      <c r="C34" s="46">
        <f t="shared" ref="C34" si="58">+IFERROR(C32-C33,"nm")</f>
        <v>2.572815533980588E-3</v>
      </c>
      <c r="D34" s="46">
        <f t="shared" ref="D34" si="59">+IFERROR(D32-D33,"nm")</f>
        <v>-1.5299026425591167E-3</v>
      </c>
      <c r="E34" s="46">
        <f t="shared" ref="E34" si="60">+IFERROR(E32-E33,"nm")</f>
        <v>1.0526315789473467E-3</v>
      </c>
      <c r="F34" s="46">
        <f t="shared" ref="F34" si="61">+IFERROR(F32-F33,"nm")</f>
        <v>3.3613445378151141E-3</v>
      </c>
      <c r="G34" s="46">
        <f t="shared" ref="G34" si="62">+IFERROR(G32-G33,"nm")</f>
        <v>-5.5678391959799026E-2</v>
      </c>
      <c r="H34" s="46">
        <f t="shared" ref="H34" si="63">+IFERROR(H32-H33,"nm")</f>
        <v>-0.20744186046511631</v>
      </c>
      <c r="I34" s="46">
        <f>+IFERROR(I32-I33,"nm")</f>
        <v>-1.4792899408284654E-3</v>
      </c>
      <c r="J34" s="48">
        <v>0</v>
      </c>
      <c r="K34" s="48">
        <f t="shared" ref="K34:N34" si="64">+J34</f>
        <v>0</v>
      </c>
      <c r="L34" s="48">
        <f t="shared" si="64"/>
        <v>0</v>
      </c>
      <c r="M34" s="48">
        <f t="shared" si="64"/>
        <v>0</v>
      </c>
      <c r="N34" s="48">
        <f t="shared" si="64"/>
        <v>0</v>
      </c>
    </row>
    <row r="35" spans="1:14" x14ac:dyDescent="0.3">
      <c r="A35" s="9" t="s">
        <v>130</v>
      </c>
      <c r="B35" s="47">
        <f t="shared" ref="B35:H35" si="65">+B42+B38</f>
        <v>3766</v>
      </c>
      <c r="C35" s="47">
        <f t="shared" si="65"/>
        <v>3896</v>
      </c>
      <c r="D35" s="47">
        <f t="shared" si="65"/>
        <v>4015</v>
      </c>
      <c r="E35" s="47">
        <f t="shared" si="65"/>
        <v>3760</v>
      </c>
      <c r="F35" s="47">
        <f t="shared" si="65"/>
        <v>4074</v>
      </c>
      <c r="G35" s="47">
        <f t="shared" si="65"/>
        <v>3047</v>
      </c>
      <c r="H35" s="47">
        <f t="shared" si="65"/>
        <v>5219</v>
      </c>
      <c r="I35" s="47">
        <f>+I42+I38</f>
        <v>5238</v>
      </c>
      <c r="J35" s="47">
        <f>+J21*J37</f>
        <v>5238</v>
      </c>
      <c r="K35" s="47">
        <f t="shared" ref="K35:N35" si="66">+K21*K37</f>
        <v>5238</v>
      </c>
      <c r="L35" s="47">
        <f t="shared" si="66"/>
        <v>5238</v>
      </c>
      <c r="M35" s="47">
        <f t="shared" si="66"/>
        <v>5238</v>
      </c>
      <c r="N35" s="47">
        <f t="shared" si="66"/>
        <v>5238</v>
      </c>
    </row>
    <row r="36" spans="1:14" x14ac:dyDescent="0.3">
      <c r="A36" s="45" t="s">
        <v>129</v>
      </c>
      <c r="B36" s="46" t="str">
        <f t="shared" ref="B36" si="67">+IFERROR(B35/A35-1,"nm")</f>
        <v>nm</v>
      </c>
      <c r="C36" s="46">
        <f t="shared" ref="C36" si="68">+IFERROR(C35/B35-1,"nm")</f>
        <v>3.4519383961763239E-2</v>
      </c>
      <c r="D36" s="46">
        <f t="shared" ref="D36" si="69">+IFERROR(D35/C35-1,"nm")</f>
        <v>3.0544147843942548E-2</v>
      </c>
      <c r="E36" s="46">
        <f t="shared" ref="E36" si="70">+IFERROR(E35/D35-1,"nm")</f>
        <v>-6.3511830635118338E-2</v>
      </c>
      <c r="F36" s="46">
        <f t="shared" ref="F36" si="71">+IFERROR(F35/E35-1,"nm")</f>
        <v>8.3510638297872308E-2</v>
      </c>
      <c r="G36" s="46">
        <f t="shared" ref="G36" si="72">+IFERROR(G35/F35-1,"nm")</f>
        <v>-0.25208640157093765</v>
      </c>
      <c r="H36" s="46">
        <f t="shared" ref="H36" si="73">+IFERROR(H35/G35-1,"nm")</f>
        <v>0.71283229405973092</v>
      </c>
      <c r="I36" s="46">
        <f>+IFERROR(I35/H35-1,"nm")</f>
        <v>3.6405441655489312E-3</v>
      </c>
      <c r="J36" s="46">
        <f t="shared" ref="J36:N36" si="74">+IFERROR(J35/I35-1,"nm")</f>
        <v>0</v>
      </c>
      <c r="K36" s="46">
        <f t="shared" si="74"/>
        <v>0</v>
      </c>
      <c r="L36" s="46">
        <f t="shared" si="74"/>
        <v>0</v>
      </c>
      <c r="M36" s="46">
        <f t="shared" si="74"/>
        <v>0</v>
      </c>
      <c r="N36" s="46">
        <f t="shared" si="74"/>
        <v>0</v>
      </c>
    </row>
    <row r="37" spans="1:14" x14ac:dyDescent="0.3">
      <c r="A37" s="45" t="s">
        <v>131</v>
      </c>
      <c r="B37" s="46">
        <f t="shared" ref="B37:H37" si="75">+IFERROR(B35/B$21,"nm")</f>
        <v>0.27409024745269289</v>
      </c>
      <c r="C37" s="46">
        <f t="shared" si="75"/>
        <v>0.26388512598211866</v>
      </c>
      <c r="D37" s="46">
        <f t="shared" si="75"/>
        <v>0.26386698212407994</v>
      </c>
      <c r="E37" s="46">
        <f t="shared" si="75"/>
        <v>0.25311342982160889</v>
      </c>
      <c r="F37" s="46">
        <f t="shared" si="75"/>
        <v>0.25619418941013711</v>
      </c>
      <c r="G37" s="46">
        <f t="shared" si="75"/>
        <v>0.2103700635183651</v>
      </c>
      <c r="H37" s="46">
        <f t="shared" si="75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76">+J37</f>
        <v>0.28540293140086087</v>
      </c>
      <c r="L37" s="48">
        <f t="shared" si="76"/>
        <v>0.28540293140086087</v>
      </c>
      <c r="M37" s="48">
        <f t="shared" si="76"/>
        <v>0.28540293140086087</v>
      </c>
      <c r="N37" s="48">
        <f t="shared" si="76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+J41*J48</f>
        <v>124.00000000000001</v>
      </c>
      <c r="K38" s="47">
        <f t="shared" ref="K38:N38" si="77">+K41*K48</f>
        <v>124.00000000000001</v>
      </c>
      <c r="L38" s="47">
        <f t="shared" si="77"/>
        <v>124.00000000000001</v>
      </c>
      <c r="M38" s="47">
        <f t="shared" si="77"/>
        <v>124.00000000000001</v>
      </c>
      <c r="N38" s="47">
        <f t="shared" si="77"/>
        <v>124.00000000000001</v>
      </c>
    </row>
    <row r="39" spans="1:14" x14ac:dyDescent="0.3">
      <c r="A39" s="45" t="s">
        <v>129</v>
      </c>
      <c r="B39" s="46" t="str">
        <f t="shared" ref="B39" si="78">+IFERROR(B38/A38-1,"nm")</f>
        <v>nm</v>
      </c>
      <c r="C39" s="46">
        <f t="shared" ref="C39" si="79">+IFERROR(C38/B38-1,"nm")</f>
        <v>9.9173553719008156E-2</v>
      </c>
      <c r="D39" s="46">
        <f t="shared" ref="D39" si="80">+IFERROR(D38/C38-1,"nm")</f>
        <v>5.2631578947368363E-2</v>
      </c>
      <c r="E39" s="46">
        <f t="shared" ref="E39" si="81">+IFERROR(E38/D38-1,"nm")</f>
        <v>0.14285714285714279</v>
      </c>
      <c r="F39" s="46">
        <f t="shared" ref="F39" si="82">+IFERROR(F38/E38-1,"nm")</f>
        <v>-6.8749999999999978E-2</v>
      </c>
      <c r="G39" s="46">
        <f t="shared" ref="G39" si="83">+IFERROR(G38/F38-1,"nm")</f>
        <v>-6.7114093959731447E-3</v>
      </c>
      <c r="H39" s="46">
        <f t="shared" ref="H39" si="84">+IFERROR(H38/G38-1,"nm")</f>
        <v>-0.1216216216216216</v>
      </c>
      <c r="I39" s="46">
        <f>+IFERROR(I38/H38-1,"nm")</f>
        <v>-4.6153846153846101E-2</v>
      </c>
      <c r="J39" s="46">
        <f t="shared" ref="J39" si="85">+IFERROR(J38/I38-1,"nm")</f>
        <v>2.2204460492503131E-16</v>
      </c>
      <c r="K39" s="46">
        <f t="shared" ref="K39" si="86">+IFERROR(K38/J38-1,"nm")</f>
        <v>0</v>
      </c>
      <c r="L39" s="46">
        <f t="shared" ref="L39" si="87">+IFERROR(L38/K38-1,"nm")</f>
        <v>0</v>
      </c>
      <c r="M39" s="46">
        <f t="shared" ref="M39" si="88">+IFERROR(M38/L38-1,"nm")</f>
        <v>0</v>
      </c>
      <c r="N39" s="46">
        <f t="shared" ref="N39" si="89">+IFERROR(N38/M38-1,"nm")</f>
        <v>0</v>
      </c>
    </row>
    <row r="40" spans="1:14" x14ac:dyDescent="0.3">
      <c r="A40" s="45" t="s">
        <v>133</v>
      </c>
      <c r="B40" s="46">
        <f t="shared" ref="B40:H40" si="90">+IFERROR(B38/B$21,"nm")</f>
        <v>8.8064046579330417E-3</v>
      </c>
      <c r="C40" s="46">
        <f t="shared" si="90"/>
        <v>9.0083988079111346E-3</v>
      </c>
      <c r="D40" s="46">
        <f t="shared" si="90"/>
        <v>9.2008412197686646E-3</v>
      </c>
      <c r="E40" s="46">
        <f t="shared" si="90"/>
        <v>1.0770784247728038E-2</v>
      </c>
      <c r="F40" s="46">
        <f t="shared" si="90"/>
        <v>9.3698905798012821E-3</v>
      </c>
      <c r="G40" s="46">
        <f t="shared" si="90"/>
        <v>1.0218171775752554E-2</v>
      </c>
      <c r="H40" s="46">
        <f t="shared" si="90"/>
        <v>7.5673787764130628E-3</v>
      </c>
      <c r="I40" s="46">
        <f>+IFERROR(I38/I$21,"nm")</f>
        <v>6.7563886013185855E-3</v>
      </c>
      <c r="J40" s="46">
        <f t="shared" ref="J40:N40" si="91">+IFERROR(J38/J$21,"nm")</f>
        <v>6.7563886013185864E-3</v>
      </c>
      <c r="K40" s="46">
        <f t="shared" si="91"/>
        <v>6.7563886013185864E-3</v>
      </c>
      <c r="L40" s="46">
        <f t="shared" si="91"/>
        <v>6.7563886013185864E-3</v>
      </c>
      <c r="M40" s="46">
        <f t="shared" si="91"/>
        <v>6.7563886013185864E-3</v>
      </c>
      <c r="N40" s="46">
        <f t="shared" si="91"/>
        <v>6.7563886013185864E-3</v>
      </c>
    </row>
    <row r="41" spans="1:14" x14ac:dyDescent="0.3">
      <c r="A41" s="45" t="s">
        <v>140</v>
      </c>
      <c r="B41" s="46">
        <f t="shared" ref="B41:H41" si="92">+IFERROR(B38/B48,"nm")</f>
        <v>0.19145569620253164</v>
      </c>
      <c r="C41" s="46">
        <f t="shared" si="92"/>
        <v>0.17924528301886791</v>
      </c>
      <c r="D41" s="46">
        <f t="shared" si="92"/>
        <v>0.17094017094017094</v>
      </c>
      <c r="E41" s="46">
        <f t="shared" si="92"/>
        <v>0.18867924528301888</v>
      </c>
      <c r="F41" s="46">
        <f t="shared" si="92"/>
        <v>0.18304668304668303</v>
      </c>
      <c r="G41" s="46">
        <f t="shared" si="92"/>
        <v>0.22945736434108527</v>
      </c>
      <c r="H41" s="46">
        <f t="shared" si="9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93">+J41</f>
        <v>0.19405320813771518</v>
      </c>
      <c r="L41" s="48">
        <f t="shared" si="93"/>
        <v>0.19405320813771518</v>
      </c>
      <c r="M41" s="48">
        <f t="shared" si="93"/>
        <v>0.19405320813771518</v>
      </c>
      <c r="N41" s="48">
        <f t="shared" si="93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94">+K35-K38</f>
        <v>5114</v>
      </c>
      <c r="L42" s="9">
        <f t="shared" si="94"/>
        <v>5114</v>
      </c>
      <c r="M42" s="9">
        <f t="shared" si="94"/>
        <v>5114</v>
      </c>
      <c r="N42" s="9">
        <f t="shared" si="94"/>
        <v>5114</v>
      </c>
    </row>
    <row r="43" spans="1:14" x14ac:dyDescent="0.3">
      <c r="A43" s="45" t="s">
        <v>129</v>
      </c>
      <c r="B43" s="46" t="str">
        <f t="shared" ref="B43" si="95">+IFERROR(B42/A42-1,"nm")</f>
        <v>nm</v>
      </c>
      <c r="C43" s="46">
        <f t="shared" ref="C43" si="96">+IFERROR(C42/B42-1,"nm")</f>
        <v>3.2373113854595292E-2</v>
      </c>
      <c r="D43" s="46">
        <f t="shared" ref="D43" si="97">+IFERROR(D42/C42-1,"nm")</f>
        <v>2.9763486579856391E-2</v>
      </c>
      <c r="E43" s="46">
        <f t="shared" ref="E43" si="98">+IFERROR(E42/D42-1,"nm")</f>
        <v>-7.096774193548383E-2</v>
      </c>
      <c r="F43" s="46">
        <f t="shared" ref="F43" si="99">+IFERROR(F42/E42-1,"nm")</f>
        <v>9.0277777777777679E-2</v>
      </c>
      <c r="G43" s="46">
        <f t="shared" ref="G43" si="100">+IFERROR(G42/F42-1,"nm")</f>
        <v>-0.26140127388535028</v>
      </c>
      <c r="H43" s="46">
        <f t="shared" ref="H43" si="101">+IFERROR(H42/G42-1,"nm")</f>
        <v>0.75543290789927564</v>
      </c>
      <c r="I43" s="46">
        <f>+IFERROR(I42/H42-1,"nm")</f>
        <v>4.9125564943997002E-3</v>
      </c>
      <c r="J43" s="46">
        <f t="shared" ref="J43:N43" si="102">+IFERROR(J42/I42-1,"nm")</f>
        <v>0</v>
      </c>
      <c r="K43" s="46">
        <f t="shared" si="102"/>
        <v>0</v>
      </c>
      <c r="L43" s="46">
        <f t="shared" si="102"/>
        <v>0</v>
      </c>
      <c r="M43" s="46">
        <f t="shared" si="102"/>
        <v>0</v>
      </c>
      <c r="N43" s="46">
        <f t="shared" si="102"/>
        <v>0</v>
      </c>
    </row>
    <row r="44" spans="1:14" x14ac:dyDescent="0.3">
      <c r="A44" s="45" t="s">
        <v>131</v>
      </c>
      <c r="B44" s="46">
        <f t="shared" ref="B44:H44" si="103">+IFERROR(B42/B$21,"nm")</f>
        <v>0.26528384279475981</v>
      </c>
      <c r="C44" s="46">
        <f t="shared" si="103"/>
        <v>0.25487672717420751</v>
      </c>
      <c r="D44" s="46">
        <f t="shared" si="103"/>
        <v>0.25466614090431128</v>
      </c>
      <c r="E44" s="46">
        <f t="shared" si="103"/>
        <v>0.24234264557388085</v>
      </c>
      <c r="F44" s="46">
        <f t="shared" si="103"/>
        <v>0.2468242988303358</v>
      </c>
      <c r="G44" s="46">
        <f t="shared" si="103"/>
        <v>0.20015189174261253</v>
      </c>
      <c r="H44" s="46">
        <f t="shared" si="103"/>
        <v>0.29623377379358518</v>
      </c>
      <c r="I44" s="46">
        <f>+IFERROR(I42/I$21,"nm")</f>
        <v>0.27864654279954232</v>
      </c>
      <c r="J44" s="46">
        <f t="shared" ref="J44:N44" si="104">+IFERROR(J42/J$21,"nm")</f>
        <v>0.27864654279954232</v>
      </c>
      <c r="K44" s="46">
        <f t="shared" si="104"/>
        <v>0.27864654279954232</v>
      </c>
      <c r="L44" s="46">
        <f t="shared" si="104"/>
        <v>0.27864654279954232</v>
      </c>
      <c r="M44" s="46">
        <f t="shared" si="104"/>
        <v>0.27864654279954232</v>
      </c>
      <c r="N44" s="46">
        <f t="shared" si="104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+J21*J47</f>
        <v>146</v>
      </c>
      <c r="K45" s="47">
        <f t="shared" ref="K45:N45" si="105">+K21*K47</f>
        <v>146</v>
      </c>
      <c r="L45" s="47">
        <f t="shared" si="105"/>
        <v>146</v>
      </c>
      <c r="M45" s="47">
        <f t="shared" si="105"/>
        <v>146</v>
      </c>
      <c r="N45" s="47">
        <f t="shared" si="105"/>
        <v>146</v>
      </c>
    </row>
    <row r="46" spans="1:14" x14ac:dyDescent="0.3">
      <c r="A46" s="45" t="s">
        <v>129</v>
      </c>
      <c r="B46" s="46" t="str">
        <f t="shared" ref="B46" si="106">+IFERROR(B45/A45-1,"nm")</f>
        <v>nm</v>
      </c>
      <c r="C46" s="46">
        <f t="shared" ref="C46" si="107">+IFERROR(C45/B45-1,"nm")</f>
        <v>0.16346153846153855</v>
      </c>
      <c r="D46" s="46">
        <f t="shared" ref="D46" si="108">+IFERROR(D45/C45-1,"nm")</f>
        <v>-7.8512396694214837E-2</v>
      </c>
      <c r="E46" s="46">
        <f t="shared" ref="E46" si="109">+IFERROR(E45/D45-1,"nm")</f>
        <v>-0.12107623318385652</v>
      </c>
      <c r="F46" s="46">
        <f t="shared" ref="F46" si="110">+IFERROR(F45/E45-1,"nm")</f>
        <v>-0.40306122448979587</v>
      </c>
      <c r="G46" s="46">
        <f t="shared" ref="G46" si="111">+IFERROR(G45/F45-1,"nm")</f>
        <v>-5.9829059829059839E-2</v>
      </c>
      <c r="H46" s="46">
        <f t="shared" ref="H46" si="112">+IFERROR(H45/G45-1,"nm")</f>
        <v>-0.10909090909090913</v>
      </c>
      <c r="I46" s="46">
        <f>+IFERROR(I45/H45-1,"nm")</f>
        <v>0.48979591836734704</v>
      </c>
      <c r="J46" s="46">
        <f t="shared" ref="J46" si="113">+IFERROR(J45/I45-1,"nm")</f>
        <v>0</v>
      </c>
      <c r="K46" s="46">
        <f t="shared" ref="K46" si="114">+IFERROR(K45/J45-1,"nm")</f>
        <v>0</v>
      </c>
      <c r="L46" s="46">
        <f t="shared" ref="L46" si="115">+IFERROR(L45/K45-1,"nm")</f>
        <v>0</v>
      </c>
      <c r="M46" s="46">
        <f t="shared" ref="M46" si="116">+IFERROR(M45/L45-1,"nm")</f>
        <v>0</v>
      </c>
      <c r="N46" s="46">
        <f t="shared" ref="N46" si="117">+IFERROR(N45/M45-1,"nm")</f>
        <v>0</v>
      </c>
    </row>
    <row r="47" spans="1:14" x14ac:dyDescent="0.3">
      <c r="A47" s="45" t="s">
        <v>133</v>
      </c>
      <c r="B47" s="46">
        <f t="shared" ref="B47:H47" si="118">+IFERROR(B45/B$21,"nm")</f>
        <v>1.5138282387190683E-2</v>
      </c>
      <c r="C47" s="46">
        <f t="shared" si="118"/>
        <v>1.6391221891086428E-2</v>
      </c>
      <c r="D47" s="46">
        <f t="shared" si="118"/>
        <v>1.4655625657202945E-2</v>
      </c>
      <c r="E47" s="46">
        <f t="shared" si="118"/>
        <v>1.3194210703466847E-2</v>
      </c>
      <c r="F47" s="46">
        <f t="shared" si="118"/>
        <v>7.3575650861526856E-3</v>
      </c>
      <c r="G47" s="46">
        <f t="shared" si="118"/>
        <v>7.5945871306268989E-3</v>
      </c>
      <c r="H47" s="46">
        <f t="shared" si="118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19">+J47</f>
        <v>7.9551027080041418E-3</v>
      </c>
      <c r="L47" s="48">
        <f t="shared" si="119"/>
        <v>7.9551027080041418E-3</v>
      </c>
      <c r="M47" s="48">
        <f t="shared" si="119"/>
        <v>7.9551027080041418E-3</v>
      </c>
      <c r="N47" s="48">
        <f t="shared" si="119"/>
        <v>7.9551027080041418E-3</v>
      </c>
    </row>
    <row r="48" spans="1:14" x14ac:dyDescent="0.3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+J21*J50</f>
        <v>639.00000000000011</v>
      </c>
      <c r="K48" s="47">
        <f t="shared" ref="K48:N48" si="120">+K21*K50</f>
        <v>639.00000000000011</v>
      </c>
      <c r="L48" s="47">
        <f t="shared" si="120"/>
        <v>639.00000000000011</v>
      </c>
      <c r="M48" s="47">
        <f t="shared" si="120"/>
        <v>639.00000000000011</v>
      </c>
      <c r="N48" s="47">
        <f t="shared" si="120"/>
        <v>639.00000000000011</v>
      </c>
    </row>
    <row r="49" spans="1:14" x14ac:dyDescent="0.3">
      <c r="A49" s="45" t="s">
        <v>129</v>
      </c>
      <c r="B49" s="46" t="str">
        <f t="shared" ref="B49" si="121">+IFERROR(B48/A48-1,"nm")</f>
        <v>nm</v>
      </c>
      <c r="C49" s="46">
        <f t="shared" ref="C49" si="122">+IFERROR(C48/B48-1,"nm")</f>
        <v>0.17405063291139244</v>
      </c>
      <c r="D49" s="46">
        <f t="shared" ref="D49" si="123">+IFERROR(D48/C48-1,"nm")</f>
        <v>0.10377358490566047</v>
      </c>
      <c r="E49" s="46">
        <f t="shared" ref="E49" si="124">+IFERROR(E48/D48-1,"nm")</f>
        <v>3.5409035409035505E-2</v>
      </c>
      <c r="F49" s="46">
        <f t="shared" ref="F49" si="125">+IFERROR(F48/E48-1,"nm")</f>
        <v>-4.0094339622641528E-2</v>
      </c>
      <c r="G49" s="46">
        <f t="shared" ref="G49" si="126">+IFERROR(G48/F48-1,"nm")</f>
        <v>-0.20761670761670759</v>
      </c>
      <c r="H49" s="46">
        <f t="shared" ref="H49" si="127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28">+K50+K51</f>
        <v>3.4817196098730456E-2</v>
      </c>
      <c r="L49" s="46">
        <f t="shared" ref="L49" si="129">+L50+L51</f>
        <v>3.4817196098730456E-2</v>
      </c>
      <c r="M49" s="46">
        <f t="shared" ref="M49" si="130">+M50+M51</f>
        <v>3.4817196098730456E-2</v>
      </c>
      <c r="N49" s="46">
        <f t="shared" ref="N49" si="131">+N50+N51</f>
        <v>3.4817196098730456E-2</v>
      </c>
    </row>
    <row r="50" spans="1:14" x14ac:dyDescent="0.3">
      <c r="A50" s="45" t="s">
        <v>133</v>
      </c>
      <c r="B50" s="46">
        <f t="shared" ref="B50:H50" si="132">+IFERROR(B48/B$21,"nm")</f>
        <v>4.599708879184862E-2</v>
      </c>
      <c r="C50" s="46">
        <f t="shared" si="132"/>
        <v>5.0257382823083174E-2</v>
      </c>
      <c r="D50" s="46">
        <f t="shared" si="132"/>
        <v>5.3824921135646686E-2</v>
      </c>
      <c r="E50" s="46">
        <f t="shared" si="132"/>
        <v>5.7085156512958597E-2</v>
      </c>
      <c r="F50" s="46">
        <f t="shared" si="132"/>
        <v>5.1188529744686205E-2</v>
      </c>
      <c r="G50" s="46">
        <f t="shared" si="132"/>
        <v>4.4531897265948632E-2</v>
      </c>
      <c r="H50" s="46">
        <f t="shared" si="132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33">+J50</f>
        <v>3.4817196098730456E-2</v>
      </c>
      <c r="L50" s="48">
        <f t="shared" si="133"/>
        <v>3.4817196098730456E-2</v>
      </c>
      <c r="M50" s="48">
        <f t="shared" si="133"/>
        <v>3.4817196098730456E-2</v>
      </c>
      <c r="N50" s="48">
        <f t="shared" si="133"/>
        <v>3.4817196098730456E-2</v>
      </c>
    </row>
    <row r="51" spans="1:14" x14ac:dyDescent="0.3">
      <c r="A51" s="42" t="str">
        <f>+Historicals!A111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O70"/>
  <sheetViews>
    <sheetView topLeftCell="A20" workbookViewId="0">
      <selection activeCell="I78" sqref="I78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'[1]Segmental forecast'!B3</f>
        <v>30601</v>
      </c>
      <c r="C3" s="9">
        <f>'[1]Segmental forecast'!C3</f>
        <v>32376</v>
      </c>
      <c r="D3" s="9">
        <f>'[1]Segmental forecast'!D3</f>
        <v>34350</v>
      </c>
      <c r="E3" s="9">
        <f>'[1]Segmental forecast'!E3</f>
        <v>36397</v>
      </c>
      <c r="F3" s="9">
        <f>'[1]Segmental forecast'!F3</f>
        <v>39117</v>
      </c>
      <c r="G3" s="9">
        <f>'[1]Segmental forecast'!G3</f>
        <v>37403</v>
      </c>
      <c r="H3" s="9">
        <f>'[1]Segmental forecast'!H3</f>
        <v>44538</v>
      </c>
      <c r="I3" s="9">
        <f>'[1]Segmental forecast'!I3</f>
        <v>46710</v>
      </c>
      <c r="J3" s="9"/>
      <c r="K3" s="9"/>
      <c r="L3" s="9"/>
      <c r="M3" s="9"/>
      <c r="N3" s="9"/>
      <c r="O3" t="s">
        <v>157</v>
      </c>
    </row>
    <row r="4" spans="1:15" x14ac:dyDescent="0.3">
      <c r="A4" s="41" t="s">
        <v>129</v>
      </c>
      <c r="B4" s="49">
        <f>'[1]Segmental forecast'!B4</f>
        <v>0.06</v>
      </c>
      <c r="C4" s="49">
        <f>'[1]Segmental forecast'!C4</f>
        <v>0.06</v>
      </c>
      <c r="D4" s="49">
        <f>'[1]Segmental forecast'!D4</f>
        <v>0.06</v>
      </c>
      <c r="E4" s="49">
        <f>'[1]Segmental forecast'!E4</f>
        <v>7.0000000000000007E-2</v>
      </c>
      <c r="F4" s="49">
        <f>'[1]Segmental forecast'!F4</f>
        <v>-0.04</v>
      </c>
      <c r="G4" s="49">
        <f>'[1]Segmental forecast'!G4</f>
        <v>0.19</v>
      </c>
      <c r="H4" s="49">
        <f>'[1]Segmental forecast'!H4</f>
        <v>0.05</v>
      </c>
      <c r="I4" s="49">
        <f>'[1]Segmental forecast'!I4</f>
        <v>0.05</v>
      </c>
      <c r="J4" s="49"/>
      <c r="K4" s="49"/>
      <c r="L4" s="49"/>
      <c r="M4" s="49"/>
      <c r="N4" s="49"/>
    </row>
    <row r="5" spans="1:15" x14ac:dyDescent="0.3">
      <c r="A5" s="1" t="s">
        <v>158</v>
      </c>
      <c r="B5" s="9">
        <f>'[1]Segmental forecast'!B5</f>
        <v>7200</v>
      </c>
      <c r="C5" s="9">
        <f>'[1]Segmental forecast'!C5</f>
        <v>7600</v>
      </c>
      <c r="D5" s="9">
        <f>'[1]Segmental forecast'!D5</f>
        <v>8000</v>
      </c>
      <c r="E5" s="9">
        <f>'[1]Segmental forecast'!E5</f>
        <v>8300</v>
      </c>
      <c r="F5" s="9">
        <f>'[1]Segmental forecast'!F5</f>
        <v>8500</v>
      </c>
      <c r="G5" s="9">
        <f>'[1]Segmental forecast'!G5</f>
        <v>7000</v>
      </c>
      <c r="H5" s="9">
        <f>'[1]Segmental forecast'!H5</f>
        <v>9500</v>
      </c>
      <c r="I5" s="9">
        <f>'[1]Segmental forecast'!I5</f>
        <v>9800</v>
      </c>
      <c r="J5" s="9"/>
      <c r="K5" s="9"/>
      <c r="L5" s="9"/>
      <c r="M5" s="9"/>
      <c r="N5" s="9"/>
    </row>
    <row r="6" spans="1:15" x14ac:dyDescent="0.3">
      <c r="A6" s="50" t="s">
        <v>132</v>
      </c>
      <c r="B6" s="51">
        <f>'[1]Segmental forecast'!B8</f>
        <v>1500</v>
      </c>
      <c r="C6" s="51">
        <f>'[1]Segmental forecast'!C8</f>
        <v>1600</v>
      </c>
      <c r="D6" s="51">
        <f>'[1]Segmental forecast'!D8</f>
        <v>1700</v>
      </c>
      <c r="E6" s="51">
        <f>'[1]Segmental forecast'!E8</f>
        <v>1800</v>
      </c>
      <c r="F6" s="51">
        <f>'[1]Segmental forecast'!F8</f>
        <v>1850</v>
      </c>
      <c r="G6" s="51">
        <f>'[1]Segmental forecast'!G8</f>
        <v>1750</v>
      </c>
      <c r="H6" s="51">
        <f>'[1]Segmental forecast'!H8</f>
        <v>1900</v>
      </c>
      <c r="I6" s="51">
        <f>'[1]Segmental forecast'!I8</f>
        <v>2000</v>
      </c>
      <c r="J6" s="51"/>
      <c r="K6" s="51"/>
      <c r="L6" s="51"/>
      <c r="M6" s="51"/>
      <c r="N6" s="51"/>
    </row>
    <row r="7" spans="1:15" x14ac:dyDescent="0.3">
      <c r="A7" s="4" t="s">
        <v>134</v>
      </c>
      <c r="B7" s="5">
        <f>'[1]Segmental forecast'!B11</f>
        <v>4500</v>
      </c>
      <c r="C7" s="5">
        <f>'[1]Segmental forecast'!C11</f>
        <v>4800</v>
      </c>
      <c r="D7" s="5">
        <f>'[1]Segmental forecast'!D11</f>
        <v>5100</v>
      </c>
      <c r="E7" s="5">
        <f>'[1]Segmental forecast'!E11</f>
        <v>5200</v>
      </c>
      <c r="F7" s="5">
        <f>'[1]Segmental forecast'!F11</f>
        <v>5400</v>
      </c>
      <c r="G7" s="5">
        <f>'[1]Segmental forecast'!G11</f>
        <v>3000</v>
      </c>
      <c r="H7" s="5">
        <f>'[1]Segmental forecast'!H11</f>
        <v>6923</v>
      </c>
      <c r="I7" s="5">
        <f>'[1]Segmental forecast'!I11</f>
        <v>6856</v>
      </c>
      <c r="J7" s="5"/>
      <c r="K7" s="5"/>
      <c r="L7" s="5"/>
      <c r="M7" s="5"/>
      <c r="N7" s="5"/>
    </row>
    <row r="8" spans="1:15" x14ac:dyDescent="0.3">
      <c r="A8" s="41" t="s">
        <v>129</v>
      </c>
      <c r="B8" s="49">
        <f>'[1]Segmental forecast'!B12</f>
        <v>6.7000000000000004E-2</v>
      </c>
      <c r="C8" s="49">
        <f>'[1]Segmental forecast'!C12</f>
        <v>6.3E-2</v>
      </c>
      <c r="D8" s="49">
        <f>'[1]Segmental forecast'!D12</f>
        <v>0.02</v>
      </c>
      <c r="E8" s="49">
        <f>'[1]Segmental forecast'!E12</f>
        <v>3.7999999999999999E-2</v>
      </c>
      <c r="F8" s="49">
        <f>'[1]Segmental forecast'!F12</f>
        <v>-0.44400000000000001</v>
      </c>
      <c r="G8" s="49">
        <f>'[1]Segmental forecast'!G12</f>
        <v>1.3069999999999999</v>
      </c>
      <c r="H8" s="49">
        <f>'[1]Segmental forecast'!H12</f>
        <v>-0.01</v>
      </c>
      <c r="I8" s="49">
        <f>'[1]Segmental forecast'!I12</f>
        <v>-0.01</v>
      </c>
      <c r="J8" s="49"/>
      <c r="K8" s="49"/>
      <c r="L8" s="49"/>
      <c r="M8" s="49"/>
      <c r="N8" s="49"/>
    </row>
    <row r="9" spans="1:15" x14ac:dyDescent="0.3">
      <c r="A9" s="41" t="s">
        <v>131</v>
      </c>
      <c r="B9" s="49">
        <f>'[1]Segmental forecast'!B13</f>
        <v>0.14699999999999999</v>
      </c>
      <c r="C9" s="49">
        <f>'[1]Segmental forecast'!C13</f>
        <v>0.15</v>
      </c>
      <c r="D9" s="49">
        <f>'[1]Segmental forecast'!D13</f>
        <v>0.152</v>
      </c>
      <c r="E9" s="49">
        <f>'[1]Segmental forecast'!E13</f>
        <v>0.14299999999999999</v>
      </c>
      <c r="F9" s="49">
        <f>'[1]Segmental forecast'!F13</f>
        <v>0.14499999999999999</v>
      </c>
      <c r="G9" s="49">
        <f>'[1]Segmental forecast'!G13</f>
        <v>0.08</v>
      </c>
      <c r="H9" s="49">
        <f>'[1]Segmental forecast'!H13</f>
        <v>0.155</v>
      </c>
      <c r="I9" s="49">
        <f>'[1]Segmental forecast'!I13</f>
        <v>0.14699999999999999</v>
      </c>
      <c r="J9" s="49"/>
      <c r="K9" s="49"/>
      <c r="L9" s="49"/>
      <c r="M9" s="49"/>
      <c r="N9" s="49"/>
    </row>
    <row r="10" spans="1:15" x14ac:dyDescent="0.3">
      <c r="A10" s="2" t="s">
        <v>24</v>
      </c>
      <c r="B10" s="3">
        <f>[1]Historicals!B8</f>
        <v>28</v>
      </c>
      <c r="C10" s="3">
        <f>[1]Historicals!C8</f>
        <v>19</v>
      </c>
      <c r="D10" s="3">
        <f>[1]Historicals!D8</f>
        <v>59</v>
      </c>
      <c r="E10" s="3">
        <f>[1]Historicals!E8</f>
        <v>54</v>
      </c>
      <c r="F10" s="3">
        <f>[1]Historicals!F8</f>
        <v>49</v>
      </c>
      <c r="G10" s="3">
        <f>[1]Historicals!G8</f>
        <v>89</v>
      </c>
      <c r="H10" s="3">
        <f>[1]Historicals!H8</f>
        <v>262</v>
      </c>
      <c r="I10" s="3">
        <f>[1]Historicals!I8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159</v>
      </c>
      <c r="B11" s="5">
        <f>B7-B10</f>
        <v>4472</v>
      </c>
      <c r="C11" s="5">
        <f t="shared" ref="C11:I11" si="1">C7-C10</f>
        <v>4781</v>
      </c>
      <c r="D11" s="5">
        <f t="shared" si="1"/>
        <v>5041</v>
      </c>
      <c r="E11" s="5">
        <f t="shared" si="1"/>
        <v>5146</v>
      </c>
      <c r="F11" s="5">
        <f t="shared" si="1"/>
        <v>5351</v>
      </c>
      <c r="G11" s="5">
        <f t="shared" si="1"/>
        <v>2911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[1]Historicals!B11</f>
        <v>932</v>
      </c>
      <c r="C12" s="3">
        <f>[1]Historicals!C11</f>
        <v>863</v>
      </c>
      <c r="D12" s="3">
        <f>[1]Historicals!D11</f>
        <v>646</v>
      </c>
      <c r="E12" s="3">
        <f>[1]Historicals!E11</f>
        <v>2392</v>
      </c>
      <c r="F12" s="3">
        <f>[1]Historicals!F11</f>
        <v>772</v>
      </c>
      <c r="G12" s="3">
        <f>[1]Historicals!G11</f>
        <v>348</v>
      </c>
      <c r="H12" s="3">
        <f>[1]Historicals!H11</f>
        <v>934</v>
      </c>
      <c r="I12" s="3">
        <f>[1]Historicals!I11</f>
        <v>605</v>
      </c>
      <c r="J12" s="3"/>
      <c r="K12" s="3"/>
      <c r="L12" s="3"/>
      <c r="M12" s="3"/>
      <c r="N12" s="3"/>
    </row>
    <row r="13" spans="1:15" x14ac:dyDescent="0.3">
      <c r="A13" s="52" t="s">
        <v>160</v>
      </c>
      <c r="B13" s="53">
        <f>B12/B11*100</f>
        <v>20.840787119856888</v>
      </c>
      <c r="C13" s="53">
        <f t="shared" ref="C13:I13" si="2">C12/C11*100</f>
        <v>18.050617025726837</v>
      </c>
      <c r="D13" s="53">
        <f t="shared" si="2"/>
        <v>12.814917675064471</v>
      </c>
      <c r="E13" s="53">
        <f t="shared" si="2"/>
        <v>46.482705013602796</v>
      </c>
      <c r="F13" s="53">
        <f t="shared" si="2"/>
        <v>14.42720986731452</v>
      </c>
      <c r="G13" s="53">
        <f t="shared" si="2"/>
        <v>11.954654757815183</v>
      </c>
      <c r="H13" s="53">
        <f t="shared" si="2"/>
        <v>14.021918630836211</v>
      </c>
      <c r="I13" s="53">
        <f t="shared" si="2"/>
        <v>9.0963764847391371</v>
      </c>
      <c r="J13" s="54"/>
      <c r="K13" s="54"/>
      <c r="L13" s="54"/>
      <c r="M13" s="54"/>
      <c r="N13" s="54"/>
    </row>
    <row r="14" spans="1:15" ht="15" thickBot="1" x14ac:dyDescent="0.35">
      <c r="A14" s="6" t="s">
        <v>161</v>
      </c>
      <c r="B14" s="7">
        <f>B11-B12</f>
        <v>3540</v>
      </c>
      <c r="C14" s="7">
        <f t="shared" ref="C14:I14" si="3">C11-C12</f>
        <v>3918</v>
      </c>
      <c r="D14" s="7">
        <f t="shared" si="3"/>
        <v>4395</v>
      </c>
      <c r="E14" s="7">
        <f t="shared" si="3"/>
        <v>2754</v>
      </c>
      <c r="F14" s="7">
        <f t="shared" si="3"/>
        <v>4579</v>
      </c>
      <c r="G14" s="7">
        <f t="shared" si="3"/>
        <v>2563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162</v>
      </c>
      <c r="B15" s="3">
        <f>[1]Historicals!B54</f>
        <v>3</v>
      </c>
      <c r="C15" s="3">
        <f>[1]Historicals!C54</f>
        <v>3</v>
      </c>
      <c r="D15" s="3">
        <f>[1]Historicals!D54</f>
        <v>3</v>
      </c>
      <c r="E15" s="3">
        <f>[1]Historicals!E54</f>
        <v>3</v>
      </c>
      <c r="F15" s="3">
        <f>[1]Historicals!F54</f>
        <v>3</v>
      </c>
      <c r="G15" s="3">
        <f>[1]Historicals!G54</f>
        <v>3</v>
      </c>
      <c r="H15" s="3">
        <f>[1]Historicals!H54</f>
        <v>3</v>
      </c>
      <c r="I15" s="3">
        <f>[1]Historicals!I54</f>
        <v>3</v>
      </c>
      <c r="J15" s="3"/>
      <c r="K15" s="3"/>
      <c r="L15" s="3"/>
      <c r="M15" s="3"/>
      <c r="N15" s="3"/>
      <c r="O15" t="s">
        <v>163</v>
      </c>
    </row>
    <row r="16" spans="1:15" x14ac:dyDescent="0.3">
      <c r="A16" t="s">
        <v>164</v>
      </c>
      <c r="B16" s="55">
        <f>[1]Historicals!B15</f>
        <v>1.85</v>
      </c>
      <c r="C16" s="55">
        <f>[1]Historicals!C15</f>
        <v>2.16</v>
      </c>
      <c r="D16" s="55">
        <f>[1]Historicals!D15</f>
        <v>2.5099999999999998</v>
      </c>
      <c r="E16" s="55">
        <f>[1]Historicals!E15</f>
        <v>1.17</v>
      </c>
      <c r="F16" s="55">
        <f>[1]Historicals!F15</f>
        <v>2.4900000000000002</v>
      </c>
      <c r="G16" s="55">
        <f>[1]Historicals!G15</f>
        <v>1.6</v>
      </c>
      <c r="H16" s="55">
        <f>[1]Historicals!H15</f>
        <v>3.56</v>
      </c>
      <c r="I16" s="55">
        <f>[1]Historicals!I15</f>
        <v>3.75</v>
      </c>
      <c r="J16" s="55"/>
      <c r="K16" s="55"/>
      <c r="L16" s="55"/>
      <c r="M16" s="55"/>
      <c r="N16" s="55"/>
    </row>
    <row r="17" spans="1:15" x14ac:dyDescent="0.3">
      <c r="A17" t="s">
        <v>165</v>
      </c>
      <c r="B17" s="55">
        <f>B61/B15</f>
        <v>-299.66666666666669</v>
      </c>
      <c r="C17" s="55">
        <f t="shared" ref="C17:I17" si="4">C61/C15</f>
        <v>-340.66666666666669</v>
      </c>
      <c r="D17" s="55">
        <f t="shared" si="4"/>
        <v>-377.66666666666669</v>
      </c>
      <c r="E17" s="55">
        <f t="shared" si="4"/>
        <v>-414.33333333333331</v>
      </c>
      <c r="F17" s="55">
        <f t="shared" si="4"/>
        <v>-444</v>
      </c>
      <c r="G17" s="55">
        <f t="shared" si="4"/>
        <v>-484</v>
      </c>
      <c r="H17" s="55">
        <f t="shared" si="4"/>
        <v>-546</v>
      </c>
      <c r="I17" s="55">
        <f t="shared" si="4"/>
        <v>-612.33333333333337</v>
      </c>
      <c r="J17" s="55"/>
      <c r="K17" s="55"/>
      <c r="L17" s="55"/>
      <c r="M17" s="55"/>
      <c r="N17" s="55"/>
    </row>
    <row r="18" spans="1:15" x14ac:dyDescent="0.3">
      <c r="A18" s="52" t="s">
        <v>129</v>
      </c>
      <c r="B18" s="53"/>
      <c r="C18" s="53">
        <f>C17-B17/B17*100</f>
        <v>-440.66666666666669</v>
      </c>
      <c r="D18" s="53">
        <f t="shared" ref="D18:I18" si="5">D17-C17/C17*100</f>
        <v>-477.66666666666669</v>
      </c>
      <c r="E18" s="53">
        <f t="shared" si="5"/>
        <v>-514.33333333333326</v>
      </c>
      <c r="F18" s="53">
        <f t="shared" si="5"/>
        <v>-544</v>
      </c>
      <c r="G18" s="53">
        <f t="shared" si="5"/>
        <v>-584</v>
      </c>
      <c r="H18" s="53">
        <f t="shared" si="5"/>
        <v>-646</v>
      </c>
      <c r="I18" s="53">
        <f t="shared" si="5"/>
        <v>-712.33333333333337</v>
      </c>
      <c r="J18" s="54"/>
      <c r="K18" s="54"/>
      <c r="L18" s="54"/>
      <c r="M18" s="54"/>
      <c r="N18" s="54"/>
      <c r="O18" t="s">
        <v>166</v>
      </c>
    </row>
    <row r="19" spans="1:15" x14ac:dyDescent="0.3">
      <c r="A19" s="52" t="s">
        <v>167</v>
      </c>
      <c r="B19" s="53">
        <f>B17/B16*100</f>
        <v>-16198.198198198199</v>
      </c>
      <c r="C19" s="53">
        <f t="shared" ref="C19:I19" si="6">C17/C16*100</f>
        <v>-15771.604938271605</v>
      </c>
      <c r="D19" s="53">
        <f t="shared" si="6"/>
        <v>-15046.480743691902</v>
      </c>
      <c r="E19" s="53">
        <f t="shared" si="6"/>
        <v>-35413.105413105419</v>
      </c>
      <c r="F19" s="53">
        <f t="shared" si="6"/>
        <v>-17831.325301204815</v>
      </c>
      <c r="G19" s="53">
        <f t="shared" si="6"/>
        <v>-30250</v>
      </c>
      <c r="H19" s="53">
        <f t="shared" si="6"/>
        <v>-15337.078651685393</v>
      </c>
      <c r="I19" s="53">
        <f t="shared" si="6"/>
        <v>-16328.888888888889</v>
      </c>
      <c r="J19" s="53"/>
      <c r="K19" s="53"/>
      <c r="L19" s="53"/>
      <c r="M19" s="53"/>
      <c r="N19" s="53"/>
      <c r="O19" t="s">
        <v>166</v>
      </c>
    </row>
    <row r="20" spans="1:15" x14ac:dyDescent="0.3">
      <c r="A20" s="56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[1]Historicals!B25</f>
        <v>3852</v>
      </c>
      <c r="C21" s="3">
        <f>[1]Historicals!C25</f>
        <v>3138</v>
      </c>
      <c r="D21" s="3">
        <f>[1]Historicals!D25</f>
        <v>3808</v>
      </c>
      <c r="E21" s="3">
        <f>[1]Historicals!E25</f>
        <v>4249</v>
      </c>
      <c r="F21" s="3">
        <f>[1]Historicals!F25</f>
        <v>4466</v>
      </c>
      <c r="G21" s="3">
        <f>[1]Historicals!G25</f>
        <v>8348</v>
      </c>
      <c r="H21" s="3">
        <f>[1]Historicals!H25</f>
        <v>9889</v>
      </c>
      <c r="I21" s="3">
        <f>[1]Historicals!I25</f>
        <v>8574</v>
      </c>
      <c r="J21" s="3"/>
      <c r="K21" s="3"/>
      <c r="L21" s="3"/>
      <c r="M21" s="3"/>
      <c r="N21" s="3"/>
    </row>
    <row r="22" spans="1:15" x14ac:dyDescent="0.3">
      <c r="A22" t="s">
        <v>170</v>
      </c>
      <c r="B22" s="3">
        <f>B70-[1]Historicals!B39+[1]Historicals!B40+[1]Historicals!B46-B21-[1]Historicals!B26</f>
        <v>-5398</v>
      </c>
      <c r="C22" s="3">
        <f>C70-[1]Historicals!C39+[1]Historicals!C40+[1]Historicals!C46-C21-[1]Historicals!C26</f>
        <v>-2254</v>
      </c>
      <c r="D22" s="3">
        <f>D70-[1]Historicals!D39+[1]Historicals!D40+[1]Historicals!D46-D21-[1]Historicals!D26</f>
        <v>-6966</v>
      </c>
      <c r="E22" s="3">
        <f>E70-[1]Historicals!E39+[1]Historicals!E40+[1]Historicals!E46-E21-[1]Historicals!E26</f>
        <v>-7826</v>
      </c>
      <c r="F22" s="3">
        <f>F70-[1]Historicals!F39+[1]Historicals!F40+[1]Historicals!F46-F21-[1]Historicals!F26</f>
        <v>-1986</v>
      </c>
      <c r="G22" s="3">
        <f>G70-[1]Historicals!G39+[1]Historicals!G40+[1]Historicals!G46-G21-[1]Historicals!G26</f>
        <v>2612</v>
      </c>
      <c r="H22" s="3">
        <f>H70-[1]Historicals!H39+[1]Historicals!H40+[1]Historicals!H46-H21-[1]Historicals!H26</f>
        <v>-948</v>
      </c>
      <c r="I22" s="3">
        <f>I70-[1]Historicals!I39+[1]Historicals!I40+[1]Historicals!I46-I21-[1]Historicals!I26</f>
        <v>712</v>
      </c>
      <c r="J22" s="3"/>
      <c r="K22" s="3"/>
      <c r="L22" s="3"/>
      <c r="M22" s="3"/>
      <c r="N22" s="3"/>
    </row>
    <row r="23" spans="1:15" x14ac:dyDescent="0.3">
      <c r="A23" t="s">
        <v>171</v>
      </c>
      <c r="B23" s="3">
        <f>[1]Historicals!B28+[1]Historicals!B27-[1]Historicals!B41</f>
        <v>5564</v>
      </c>
      <c r="C23" s="3">
        <f>[1]Historicals!C28+[1]Historicals!C27-[1]Historicals!C41</f>
        <v>5888</v>
      </c>
      <c r="D23" s="3">
        <f>[1]Historicals!D28+[1]Historicals!D27-[1]Historicals!D41</f>
        <v>6684</v>
      </c>
      <c r="E23" s="3">
        <f>[1]Historicals!E28+[1]Historicals!E27-[1]Historicals!E41</f>
        <v>6480</v>
      </c>
      <c r="F23" s="3">
        <f>[1]Historicals!F28+[1]Historicals!F27-[1]Historicals!F41</f>
        <v>7282</v>
      </c>
      <c r="G23" s="3">
        <f>[1]Historicals!G28+[1]Historicals!G27-[1]Historicals!G41</f>
        <v>7868</v>
      </c>
      <c r="H23" s="3">
        <f>[1]Historicals!H28+[1]Historicals!H27-[1]Historicals!H41</f>
        <v>8481</v>
      </c>
      <c r="I23" s="3">
        <f>[1]Historicals!I28+[1]Historicals!I27-[1]Historicals!I41</f>
        <v>9729</v>
      </c>
      <c r="J23" s="3"/>
      <c r="K23" s="3"/>
      <c r="L23" s="3"/>
      <c r="M23" s="3"/>
      <c r="N23" s="3"/>
      <c r="O23" t="s">
        <v>172</v>
      </c>
    </row>
    <row r="24" spans="1:15" x14ac:dyDescent="0.3">
      <c r="A24" s="52" t="s">
        <v>173</v>
      </c>
      <c r="B24" s="53">
        <f>B23/B3*100</f>
        <v>18.18241233946603</v>
      </c>
      <c r="C24" s="53">
        <f t="shared" ref="C24:I24" si="7">C23/C3*100</f>
        <v>18.186310847541389</v>
      </c>
      <c r="D24" s="53">
        <f t="shared" si="7"/>
        <v>19.458515283842797</v>
      </c>
      <c r="E24" s="53">
        <f t="shared" si="7"/>
        <v>17.803665137236585</v>
      </c>
      <c r="F24" s="53">
        <f t="shared" si="7"/>
        <v>18.615947030702763</v>
      </c>
      <c r="G24" s="53">
        <f t="shared" si="7"/>
        <v>21.035745795791783</v>
      </c>
      <c r="H24" s="53">
        <f t="shared" si="7"/>
        <v>19.042166240064663</v>
      </c>
      <c r="I24" s="53">
        <f t="shared" si="7"/>
        <v>20.828516377649326</v>
      </c>
      <c r="J24" s="54"/>
      <c r="K24" s="54"/>
      <c r="L24" s="54"/>
      <c r="M24" s="54"/>
      <c r="N24" s="54"/>
    </row>
    <row r="25" spans="1:15" x14ac:dyDescent="0.3">
      <c r="A25" t="s">
        <v>174</v>
      </c>
      <c r="B25" s="3">
        <f>[1]Historicals!B29</f>
        <v>1968</v>
      </c>
      <c r="C25" s="3">
        <f>[1]Historicals!C29</f>
        <v>1489</v>
      </c>
      <c r="D25" s="3">
        <f>[1]Historicals!D29</f>
        <v>1150</v>
      </c>
      <c r="E25" s="3">
        <f>[1]Historicals!E29</f>
        <v>1130</v>
      </c>
      <c r="F25" s="3">
        <f>[1]Historicals!F29</f>
        <v>1968</v>
      </c>
      <c r="G25" s="3">
        <f>[1]Historicals!G29</f>
        <v>1653</v>
      </c>
      <c r="H25" s="3">
        <f>[1]Historicals!H29</f>
        <v>1498</v>
      </c>
      <c r="I25" s="3">
        <f>[1]Historicals!I29</f>
        <v>2129</v>
      </c>
      <c r="J25" s="3"/>
      <c r="K25" s="3"/>
      <c r="L25" s="3"/>
      <c r="M25" s="3"/>
      <c r="N25" s="3"/>
    </row>
    <row r="26" spans="1:15" x14ac:dyDescent="0.3">
      <c r="A26" t="s">
        <v>175</v>
      </c>
      <c r="B26" s="3">
        <f>[1]Historicals!B31</f>
        <v>2996</v>
      </c>
      <c r="C26" s="3">
        <f>[1]Historicals!C31</f>
        <v>3451</v>
      </c>
      <c r="D26" s="3">
        <f>[1]Historicals!D31</f>
        <v>3975</v>
      </c>
      <c r="E26" s="3">
        <f>[1]Historicals!E31</f>
        <v>4454</v>
      </c>
      <c r="F26" s="3">
        <f>[1]Historicals!F31</f>
        <v>4744</v>
      </c>
      <c r="G26" s="3">
        <f>[1]Historicals!G31</f>
        <v>4866</v>
      </c>
      <c r="H26" s="3">
        <f>[1]Historicals!H31</f>
        <v>4904</v>
      </c>
      <c r="I26" s="3">
        <f>[1]Historicals!I31</f>
        <v>4791</v>
      </c>
      <c r="J26" s="3"/>
      <c r="K26" s="3"/>
      <c r="L26" s="3"/>
      <c r="M26" s="3"/>
      <c r="N26" s="3"/>
    </row>
    <row r="27" spans="1:15" x14ac:dyDescent="0.3">
      <c r="A27" t="s">
        <v>176</v>
      </c>
      <c r="B27" s="3">
        <f>[1]Historicals!B33</f>
        <v>281</v>
      </c>
      <c r="C27" s="3">
        <f>[1]Historicals!C33</f>
        <v>281</v>
      </c>
      <c r="D27" s="3">
        <f>[1]Historicals!D33</f>
        <v>283</v>
      </c>
      <c r="E27" s="3">
        <f>[1]Historicals!E33</f>
        <v>285</v>
      </c>
      <c r="F27" s="3">
        <f>[1]Historicals!F33</f>
        <v>283</v>
      </c>
      <c r="G27" s="3">
        <f>[1]Historicals!G33</f>
        <v>274</v>
      </c>
      <c r="H27" s="3">
        <f>[1]Historicals!H33</f>
        <v>269</v>
      </c>
      <c r="I27" s="3">
        <f>[1]Historicals!I33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[1]Historicals!B34</f>
        <v>131</v>
      </c>
      <c r="C28" s="3">
        <f>[1]Historicals!C34</f>
        <v>131</v>
      </c>
      <c r="D28" s="3">
        <f>[1]Historicals!D34</f>
        <v>139</v>
      </c>
      <c r="E28" s="3">
        <f>[1]Historicals!E34</f>
        <v>154</v>
      </c>
      <c r="F28" s="3">
        <f>[1]Historicals!F34</f>
        <v>154</v>
      </c>
      <c r="G28" s="3">
        <f>[1]Historicals!G34</f>
        <v>223</v>
      </c>
      <c r="H28" s="3">
        <f>[1]Historicals!H34</f>
        <v>242</v>
      </c>
      <c r="I28" s="3">
        <f>[1]Historicals!I34</f>
        <v>284</v>
      </c>
      <c r="J28" s="3"/>
      <c r="K28" s="3"/>
      <c r="L28" s="3"/>
      <c r="M28" s="3"/>
      <c r="N28" s="3"/>
    </row>
    <row r="29" spans="1:15" x14ac:dyDescent="0.3">
      <c r="A29" s="57" t="s">
        <v>38</v>
      </c>
      <c r="B29" s="3">
        <f>[1]Historicals!B32</f>
        <v>0</v>
      </c>
      <c r="C29" s="3">
        <f>[1]Historicals!C32</f>
        <v>0</v>
      </c>
      <c r="D29" s="3">
        <f>[1]Historicals!D32</f>
        <v>0</v>
      </c>
      <c r="E29" s="3">
        <f>[1]Historicals!E32</f>
        <v>0</v>
      </c>
      <c r="F29" s="3">
        <v>0</v>
      </c>
      <c r="G29" s="3">
        <f>[1]Historicals!G32</f>
        <v>3097</v>
      </c>
      <c r="H29" s="3">
        <f>[1]Historicals!H32</f>
        <v>3113</v>
      </c>
      <c r="I29" s="3">
        <f>[1]Historicals!I32</f>
        <v>2926</v>
      </c>
      <c r="J29" s="3"/>
      <c r="K29" s="3"/>
      <c r="L29" s="3"/>
      <c r="M29" s="3"/>
      <c r="N29" s="3"/>
    </row>
    <row r="30" spans="1:15" x14ac:dyDescent="0.3">
      <c r="A30" t="s">
        <v>177</v>
      </c>
      <c r="B30" s="3">
        <f>[1]Historicals!B35</f>
        <v>2587</v>
      </c>
      <c r="C30" s="3">
        <f>[1]Historicals!C35</f>
        <v>2439</v>
      </c>
      <c r="D30" s="3">
        <f>[1]Historicals!D35</f>
        <v>2787</v>
      </c>
      <c r="E30" s="3">
        <f>[1]Historicals!E35</f>
        <v>2509</v>
      </c>
      <c r="F30" s="3">
        <f>[1]Historicals!F35</f>
        <v>2011</v>
      </c>
      <c r="G30" s="3">
        <f>[1]Historicals!G35</f>
        <v>2326</v>
      </c>
      <c r="H30" s="3">
        <f>[1]Historicals!H35</f>
        <v>2921</v>
      </c>
      <c r="I30" s="3">
        <f>[1]Historicals!I35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178</v>
      </c>
      <c r="B31" s="7">
        <f>B21+B25+B26+B27+B28+B29+B30</f>
        <v>11815</v>
      </c>
      <c r="C31" s="7">
        <f t="shared" ref="C31:I31" si="8">C21+C25+C26+C27+C28+C29+C30</f>
        <v>10929</v>
      </c>
      <c r="D31" s="7">
        <f t="shared" si="8"/>
        <v>12142</v>
      </c>
      <c r="E31" s="7">
        <f t="shared" si="8"/>
        <v>12781</v>
      </c>
      <c r="F31" s="7">
        <f t="shared" si="8"/>
        <v>13626</v>
      </c>
      <c r="G31" s="7">
        <f t="shared" si="8"/>
        <v>20787</v>
      </c>
      <c r="H31" s="7">
        <f t="shared" si="8"/>
        <v>22836</v>
      </c>
      <c r="I31" s="7">
        <f t="shared" si="8"/>
        <v>22811</v>
      </c>
      <c r="J31" s="7"/>
      <c r="K31" s="7"/>
      <c r="L31" s="7"/>
      <c r="M31" s="7"/>
      <c r="N31" s="7"/>
    </row>
    <row r="32" spans="1:15" ht="15" thickTop="1" x14ac:dyDescent="0.3">
      <c r="A32" t="s">
        <v>179</v>
      </c>
      <c r="B32" s="3">
        <f>B33+B34</f>
        <v>181</v>
      </c>
      <c r="C32" s="3">
        <f t="shared" ref="C32:I32" si="9">C33+C34</f>
        <v>45</v>
      </c>
      <c r="D32" s="3">
        <f t="shared" si="9"/>
        <v>331</v>
      </c>
      <c r="E32" s="3">
        <f t="shared" si="9"/>
        <v>342</v>
      </c>
      <c r="F32" s="3">
        <f t="shared" si="9"/>
        <v>15</v>
      </c>
      <c r="G32" s="3">
        <f t="shared" si="9"/>
        <v>251</v>
      </c>
      <c r="H32" s="3">
        <f t="shared" si="9"/>
        <v>2</v>
      </c>
      <c r="I32" s="3">
        <f t="shared" si="9"/>
        <v>510</v>
      </c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[1]Historicals!B39</f>
        <v>107</v>
      </c>
      <c r="C33" s="3">
        <f>[1]Historicals!C39</f>
        <v>44</v>
      </c>
      <c r="D33" s="3">
        <f>[1]Historicals!D39</f>
        <v>6</v>
      </c>
      <c r="E33" s="3">
        <f>[1]Historicals!E39</f>
        <v>6</v>
      </c>
      <c r="F33" s="3">
        <f>[1]Historicals!F39</f>
        <v>6</v>
      </c>
      <c r="G33" s="3">
        <f>[1]Historicals!G39</f>
        <v>3</v>
      </c>
      <c r="H33" s="3">
        <f>[1]Historicals!H39</f>
        <v>0</v>
      </c>
      <c r="I33" s="3">
        <f>[1]Historicals!I39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[1]Historicals!B40</f>
        <v>74</v>
      </c>
      <c r="C34" s="3">
        <f>[1]Historicals!C40</f>
        <v>1</v>
      </c>
      <c r="D34" s="3">
        <f>[1]Historicals!D40</f>
        <v>325</v>
      </c>
      <c r="E34" s="3">
        <f>[1]Historicals!E40</f>
        <v>336</v>
      </c>
      <c r="F34" s="3">
        <f>[1]Historicals!F40</f>
        <v>9</v>
      </c>
      <c r="G34" s="3">
        <f>[1]Historicals!G40</f>
        <v>248</v>
      </c>
      <c r="H34" s="3">
        <f>[1]Historicals!H40</f>
        <v>2</v>
      </c>
      <c r="I34" s="3">
        <f>[1]Historicals!I40</f>
        <v>10</v>
      </c>
      <c r="J34" s="3"/>
      <c r="K34" s="3"/>
      <c r="L34" s="3"/>
      <c r="M34" s="3"/>
      <c r="N34" s="3"/>
    </row>
    <row r="35" spans="1:15" x14ac:dyDescent="0.3">
      <c r="A35" t="s">
        <v>180</v>
      </c>
      <c r="B35" s="3">
        <f>[1]Historicals!B43+[1]Historicals!B44+[1]Historicals!B42</f>
        <v>4020</v>
      </c>
      <c r="C35" s="3">
        <f>[1]Historicals!C43+[1]Historicals!C44+[1]Historicals!C42</f>
        <v>3122</v>
      </c>
      <c r="D35" s="3">
        <f>[1]Historicals!D43+[1]Historicals!D44+[1]Historicals!D42</f>
        <v>3095</v>
      </c>
      <c r="E35" s="3">
        <f>[1]Historicals!E43+[1]Historicals!E44+[1]Historicals!E42</f>
        <v>3419</v>
      </c>
      <c r="F35" s="3">
        <f>[1]Historicals!F43+[1]Historicals!F44+[1]Historicals!F42</f>
        <v>5239</v>
      </c>
      <c r="G35" s="3">
        <f>[1]Historicals!G43+[1]Historicals!G44+[1]Historicals!G42</f>
        <v>5785</v>
      </c>
      <c r="H35" s="3">
        <f>[1]Historicals!H43+[1]Historicals!H44+[1]Historicals!H42</f>
        <v>6836</v>
      </c>
      <c r="I35" s="3">
        <f>[1]Historicals!I43+[1]Historicals!I44+[1]Historicals!I42</f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[1]Historicals!B46</f>
        <v>1079</v>
      </c>
      <c r="C36" s="3">
        <f>[1]Historicals!C46</f>
        <v>2010</v>
      </c>
      <c r="D36" s="3">
        <f>[1]Historicals!D46</f>
        <v>0</v>
      </c>
      <c r="E36" s="3">
        <f>[1]Historicals!E46</f>
        <v>0</v>
      </c>
      <c r="F36" s="3">
        <f>[1]Historicals!F46</f>
        <v>3464</v>
      </c>
      <c r="G36" s="3">
        <f>[1]Historicals!G46</f>
        <v>9406</v>
      </c>
      <c r="H36" s="3">
        <f>[1]Historicals!H46</f>
        <v>9413</v>
      </c>
      <c r="I36" s="3">
        <f>[1]Historicals!I46</f>
        <v>8920</v>
      </c>
      <c r="J36" s="3"/>
      <c r="K36" s="3"/>
      <c r="L36" s="3"/>
      <c r="M36" s="3"/>
      <c r="N36" s="3"/>
    </row>
    <row r="37" spans="1:15" x14ac:dyDescent="0.3">
      <c r="A37" s="57" t="s">
        <v>50</v>
      </c>
      <c r="B37" s="3">
        <v>0</v>
      </c>
      <c r="C37" s="3">
        <v>0</v>
      </c>
      <c r="D37" s="3">
        <f>[1]Historicals!D47</f>
        <v>3471</v>
      </c>
      <c r="E37" s="3">
        <f>[1]Historicals!E47</f>
        <v>3468</v>
      </c>
      <c r="F37" s="3">
        <v>0</v>
      </c>
      <c r="G37" s="3">
        <f>[1]Historicals!G47</f>
        <v>2913</v>
      </c>
      <c r="H37" s="3">
        <f>[1]Historicals!H47</f>
        <v>2931</v>
      </c>
      <c r="I37" s="3">
        <f>[1]Historicals!I47</f>
        <v>2777</v>
      </c>
      <c r="J37" s="3"/>
      <c r="K37" s="3"/>
      <c r="L37" s="3"/>
      <c r="M37" s="3"/>
      <c r="N37" s="3"/>
    </row>
    <row r="38" spans="1:15" x14ac:dyDescent="0.3">
      <c r="A38" t="s">
        <v>181</v>
      </c>
      <c r="B38" s="3">
        <f>[1]Historicals!B48</f>
        <v>1479</v>
      </c>
      <c r="C38" s="3">
        <f>[1]Historicals!C48</f>
        <v>1770</v>
      </c>
      <c r="D38" s="3">
        <f>[1]Historicals!D48</f>
        <v>1907</v>
      </c>
      <c r="E38" s="3">
        <f>[1]Historicals!E48</f>
        <v>3216</v>
      </c>
      <c r="F38" s="3">
        <f>[1]Historicals!F48</f>
        <v>0</v>
      </c>
      <c r="G38" s="3">
        <f>[1]Historicals!G48</f>
        <v>2684</v>
      </c>
      <c r="H38" s="3">
        <f>[1]Historicals!H48</f>
        <v>2955</v>
      </c>
      <c r="I38" s="3">
        <f>[1]Historicals!I48</f>
        <v>2613</v>
      </c>
      <c r="J38" s="3"/>
      <c r="K38" s="3"/>
      <c r="L38" s="3"/>
      <c r="M38" s="3"/>
      <c r="N38" s="3"/>
    </row>
    <row r="39" spans="1:15" x14ac:dyDescent="0.3">
      <c r="A39" t="s">
        <v>182</v>
      </c>
      <c r="B39" s="3">
        <f>[1]Historicals!B58</f>
        <v>12707</v>
      </c>
      <c r="C39" s="3">
        <f>[1]Historicals!C58</f>
        <v>12258</v>
      </c>
      <c r="D39" s="3">
        <f>[1]Historicals!D58</f>
        <v>12407</v>
      </c>
      <c r="E39" s="3">
        <f>[1]Historicals!E58</f>
        <v>9812</v>
      </c>
      <c r="F39" s="3">
        <f>[1]Historicals!F58</f>
        <v>9040</v>
      </c>
      <c r="G39" s="3">
        <f>[1]Historicals!G58</f>
        <v>8055</v>
      </c>
      <c r="H39" s="3">
        <f>[1]Historicals!H58</f>
        <v>12767</v>
      </c>
      <c r="I39" s="3">
        <f>[1]Historicals!I58</f>
        <v>15281</v>
      </c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305+1273*1</f>
        <v>1578</v>
      </c>
      <c r="C40" s="3">
        <f>305+1266*1</f>
        <v>1571</v>
      </c>
      <c r="D40" s="3">
        <f>305+1278*1</f>
        <v>1583</v>
      </c>
      <c r="E40" s="3">
        <f>305+1260*1</f>
        <v>1565</v>
      </c>
      <c r="F40" s="3">
        <f>305+1275*1</f>
        <v>1580</v>
      </c>
      <c r="G40" s="3">
        <f>305+1280*1</f>
        <v>1585</v>
      </c>
      <c r="H40" s="3">
        <f>305+1290*1</f>
        <v>1595</v>
      </c>
      <c r="I40" s="3">
        <f>305+1273*1</f>
        <v>1578</v>
      </c>
      <c r="J40" s="3"/>
      <c r="K40" s="3"/>
      <c r="L40" s="3"/>
      <c r="M40" s="3"/>
      <c r="N40" s="3"/>
    </row>
    <row r="41" spans="1:15" x14ac:dyDescent="0.3">
      <c r="A41" s="2" t="s">
        <v>184</v>
      </c>
      <c r="B41" s="3">
        <f>[1]Historicals!B57</f>
        <v>4685</v>
      </c>
      <c r="C41" s="3">
        <f>[1]Historicals!C57</f>
        <v>4151</v>
      </c>
      <c r="D41" s="3">
        <f>[1]Historicals!D57</f>
        <v>6907</v>
      </c>
      <c r="E41" s="3">
        <f>[1]Historicals!E57</f>
        <v>3517</v>
      </c>
      <c r="F41" s="3">
        <f>[1]Historicals!F57</f>
        <v>1643</v>
      </c>
      <c r="G41" s="3">
        <f>[1]Historicals!G57</f>
        <v>-191</v>
      </c>
      <c r="H41" s="3">
        <f>[1]Historicals!H57</f>
        <v>3179</v>
      </c>
      <c r="I41" s="3">
        <f>[1]Historicals!I57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185</v>
      </c>
      <c r="B42" s="3">
        <f>[1]Historicals!B56</f>
        <v>1246</v>
      </c>
      <c r="C42" s="3">
        <f>[1]Historicals!C56</f>
        <v>318</v>
      </c>
      <c r="D42" s="3">
        <f>[1]Historicals!D56</f>
        <v>-213</v>
      </c>
      <c r="E42" s="3">
        <f>[1]Historicals!E56</f>
        <v>-92</v>
      </c>
      <c r="F42" s="3">
        <f>[1]Historicals!F56</f>
        <v>231</v>
      </c>
      <c r="G42" s="3">
        <f>[1]Historicals!G56</f>
        <v>-56</v>
      </c>
      <c r="H42" s="3">
        <f>[1]Historicals!H56</f>
        <v>-380</v>
      </c>
      <c r="I42" s="3">
        <f>[1]Historicals!I56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186</v>
      </c>
      <c r="B43" s="7">
        <f>B32+B33+B34+B38+B35+B36+B37+B40+B41+B42</f>
        <v>14449</v>
      </c>
      <c r="C43" s="7">
        <f t="shared" ref="C43:I43" si="10">C32+C33+C34+C38+C35+C36+C37+C40+C41+C42</f>
        <v>13032</v>
      </c>
      <c r="D43" s="7">
        <f t="shared" si="10"/>
        <v>17412</v>
      </c>
      <c r="E43" s="7">
        <f t="shared" si="10"/>
        <v>15777</v>
      </c>
      <c r="F43" s="7">
        <f t="shared" si="10"/>
        <v>12187</v>
      </c>
      <c r="G43" s="7">
        <f t="shared" si="10"/>
        <v>22628</v>
      </c>
      <c r="H43" s="7">
        <f t="shared" si="10"/>
        <v>26533</v>
      </c>
      <c r="I43" s="7">
        <f t="shared" si="10"/>
        <v>27564</v>
      </c>
      <c r="J43" s="7"/>
      <c r="K43" s="7"/>
      <c r="L43" s="7"/>
      <c r="M43" s="7"/>
      <c r="N43" s="7"/>
    </row>
    <row r="44" spans="1:15" s="1" customFormat="1" ht="15" thickTop="1" x14ac:dyDescent="0.3">
      <c r="A44" s="58" t="s">
        <v>187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/>
      <c r="K44" s="58"/>
      <c r="L44" s="58"/>
      <c r="M44" s="58"/>
      <c r="N44" s="58"/>
    </row>
    <row r="45" spans="1:15" x14ac:dyDescent="0.3">
      <c r="A45" s="56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'[1]Segmental forecast'!B11</f>
        <v>4500</v>
      </c>
      <c r="C46" s="9">
        <f>'[1]Segmental forecast'!C11</f>
        <v>4800</v>
      </c>
      <c r="D46" s="9">
        <f>'[1]Segmental forecast'!D11</f>
        <v>5100</v>
      </c>
      <c r="E46" s="9">
        <f>'[1]Segmental forecast'!E11</f>
        <v>5200</v>
      </c>
      <c r="F46" s="9">
        <f>'[1]Segmental forecast'!F11</f>
        <v>5400</v>
      </c>
      <c r="G46" s="9">
        <f>'[1]Segmental forecast'!G11</f>
        <v>3000</v>
      </c>
      <c r="H46" s="9">
        <f>'[1]Segmental forecast'!H11</f>
        <v>6923</v>
      </c>
      <c r="I46" s="9">
        <f>'[1]Segmental forecast'!I11</f>
        <v>6856</v>
      </c>
      <c r="J46" s="9"/>
      <c r="K46" s="9"/>
      <c r="L46" s="9"/>
      <c r="M46" s="9"/>
      <c r="N46" s="9"/>
      <c r="O46" t="s">
        <v>189</v>
      </c>
    </row>
    <row r="47" spans="1:15" x14ac:dyDescent="0.3">
      <c r="A47" t="s">
        <v>132</v>
      </c>
      <c r="B47" s="59">
        <f>'[1]Segmental forecast'!B8</f>
        <v>1500</v>
      </c>
      <c r="C47" s="59">
        <f>'[1]Segmental forecast'!C8</f>
        <v>1600</v>
      </c>
      <c r="D47" s="59">
        <f>'[1]Segmental forecast'!D8</f>
        <v>1700</v>
      </c>
      <c r="E47" s="59">
        <f>'[1]Segmental forecast'!E8</f>
        <v>1800</v>
      </c>
      <c r="F47" s="59">
        <f>'[1]Segmental forecast'!F8</f>
        <v>1850</v>
      </c>
      <c r="G47" s="59">
        <f>'[1]Segmental forecast'!G8</f>
        <v>1750</v>
      </c>
      <c r="H47" s="59">
        <f>'[1]Segmental forecast'!H8</f>
        <v>1900</v>
      </c>
      <c r="I47" s="59">
        <f>'[1]Segmental forecast'!I8</f>
        <v>2000</v>
      </c>
      <c r="J47" s="59"/>
      <c r="K47" s="59"/>
      <c r="L47" s="59"/>
      <c r="M47" s="59"/>
      <c r="N47" s="59"/>
      <c r="O47" t="s">
        <v>189</v>
      </c>
    </row>
    <row r="48" spans="1:15" x14ac:dyDescent="0.3">
      <c r="A48" t="s">
        <v>190</v>
      </c>
      <c r="B48" s="3">
        <f>[1]Historicals!B11</f>
        <v>932</v>
      </c>
      <c r="C48" s="3">
        <f>[1]Historicals!C11</f>
        <v>863</v>
      </c>
      <c r="D48" s="3">
        <f>[1]Historicals!D11</f>
        <v>646</v>
      </c>
      <c r="E48" s="3">
        <f>[1]Historicals!E11</f>
        <v>2392</v>
      </c>
      <c r="F48" s="3">
        <f>[1]Historicals!F11</f>
        <v>772</v>
      </c>
      <c r="G48" s="3">
        <f>[1]Historicals!G11</f>
        <v>348</v>
      </c>
      <c r="H48" s="3">
        <f>[1]Historicals!H11</f>
        <v>934</v>
      </c>
      <c r="I48" s="3">
        <f>[1]Historicals!I11</f>
        <v>605</v>
      </c>
      <c r="J48" s="3"/>
      <c r="K48" s="3"/>
      <c r="L48" s="3"/>
      <c r="M48" s="3"/>
      <c r="N48" s="3"/>
      <c r="O48" t="s">
        <v>191</v>
      </c>
    </row>
    <row r="49" spans="1:15" x14ac:dyDescent="0.3">
      <c r="A49" s="1" t="s">
        <v>192</v>
      </c>
      <c r="B49" s="9">
        <f>B46-B48</f>
        <v>3568</v>
      </c>
      <c r="C49" s="9">
        <f t="shared" ref="C49:I49" si="11">C46-C48</f>
        <v>3937</v>
      </c>
      <c r="D49" s="9">
        <f t="shared" si="11"/>
        <v>4454</v>
      </c>
      <c r="E49" s="9">
        <f t="shared" si="11"/>
        <v>2808</v>
      </c>
      <c r="F49" s="9">
        <f t="shared" si="11"/>
        <v>4628</v>
      </c>
      <c r="G49" s="9">
        <f t="shared" si="11"/>
        <v>2652</v>
      </c>
      <c r="H49" s="9">
        <f t="shared" si="11"/>
        <v>5989</v>
      </c>
      <c r="I49" s="9">
        <f t="shared" si="11"/>
        <v>6251</v>
      </c>
      <c r="J49" s="9"/>
      <c r="K49" s="9"/>
      <c r="L49" s="9"/>
      <c r="M49" s="9"/>
      <c r="N49" s="9"/>
    </row>
    <row r="50" spans="1:15" x14ac:dyDescent="0.3">
      <c r="A50" t="s">
        <v>193</v>
      </c>
      <c r="B50" s="3">
        <f>[1]Historicals!B100</f>
        <v>53</v>
      </c>
      <c r="C50" s="3">
        <f>[1]Historicals!C100</f>
        <v>70</v>
      </c>
      <c r="D50" s="3">
        <f>[1]Historicals!D100</f>
        <v>98</v>
      </c>
      <c r="E50" s="3">
        <f>[1]Historicals!E100</f>
        <v>125</v>
      </c>
      <c r="F50" s="3">
        <f>[1]Historicals!F100</f>
        <v>153</v>
      </c>
      <c r="G50" s="3">
        <f>[1]Historicals!G100</f>
        <v>140</v>
      </c>
      <c r="H50" s="3">
        <f>[1]Historicals!H100</f>
        <v>293</v>
      </c>
      <c r="I50" s="3">
        <f>[1]Historicals!I100</f>
        <v>290</v>
      </c>
      <c r="J50" s="3"/>
      <c r="K50" s="3"/>
      <c r="L50" s="3"/>
      <c r="M50" s="3"/>
      <c r="N50" s="3"/>
      <c r="O50" t="s">
        <v>191</v>
      </c>
    </row>
    <row r="51" spans="1:15" x14ac:dyDescent="0.3">
      <c r="A51" t="s">
        <v>194</v>
      </c>
      <c r="B51" s="3">
        <v>488</v>
      </c>
      <c r="C51" s="3">
        <f>[1]Historicals!C72+[1]Historicals!C73+[1]Historicals!C74-[1]Historicals!C75</f>
        <v>-105</v>
      </c>
      <c r="D51" s="3">
        <f>[1]Historicals!D72+[1]Historicals!D73+[1]Historicals!D74-[1]Historicals!D75</f>
        <v>-619</v>
      </c>
      <c r="E51" s="3">
        <f>[1]Historicals!E72+[1]Historicals!E73+[1]Historicals!E74-[1]Historicals!E75</f>
        <v>-1548</v>
      </c>
      <c r="F51" s="3">
        <f>[1]Historicals!F72+[1]Historicals!F73+[1]Historicals!F74-[1]Historicals!F75</f>
        <v>-2488</v>
      </c>
      <c r="G51" s="3">
        <f>[1]Historicals!G72+[1]Historicals!G73+[1]Historicals!G74-[1]Historicals!G75</f>
        <v>-1293</v>
      </c>
      <c r="H51" s="3">
        <f>[1]Historicals!H72+[1]Historicals!H73+[1]Historicals!H74-[1]Historicals!H75</f>
        <v>-2607</v>
      </c>
      <c r="I51" s="3">
        <f>[1]Historicals!I72+[1]Historicals!I73+[1]Historicals!I74-[1]Historicals!I75</f>
        <v>-4390</v>
      </c>
      <c r="J51" s="3"/>
      <c r="K51" s="3"/>
      <c r="L51" s="3"/>
      <c r="M51" s="3"/>
      <c r="N51" s="3"/>
      <c r="O51" t="s">
        <v>195</v>
      </c>
    </row>
    <row r="52" spans="1:15" x14ac:dyDescent="0.3">
      <c r="A52" t="s">
        <v>135</v>
      </c>
      <c r="B52" s="3">
        <f>[1]Historicals!B81</f>
        <v>-963</v>
      </c>
      <c r="C52" s="3">
        <f>[1]Historicals!C81</f>
        <v>-1143</v>
      </c>
      <c r="D52" s="3">
        <f>[1]Historicals!D81</f>
        <v>-1105</v>
      </c>
      <c r="E52" s="3">
        <f>[1]Historicals!E81</f>
        <v>-1028</v>
      </c>
      <c r="F52" s="3">
        <f>[1]Historicals!F81</f>
        <v>-1119</v>
      </c>
      <c r="G52" s="3">
        <f>[1]Historicals!G81</f>
        <v>-1086</v>
      </c>
      <c r="H52" s="3">
        <f>[1]Historicals!H81</f>
        <v>-695</v>
      </c>
      <c r="I52" s="3">
        <f>[1]Historicals!I81</f>
        <v>-758</v>
      </c>
      <c r="J52" s="3"/>
      <c r="K52" s="3"/>
      <c r="L52" s="3"/>
      <c r="M52" s="3"/>
      <c r="N52" s="3"/>
      <c r="O52" t="s">
        <v>196</v>
      </c>
    </row>
    <row r="53" spans="1:15" x14ac:dyDescent="0.3">
      <c r="A53" s="1" t="s">
        <v>197</v>
      </c>
      <c r="B53" s="9">
        <f>B49+B47+B51-B52</f>
        <v>6519</v>
      </c>
      <c r="C53" s="9">
        <f t="shared" ref="C53:I53" si="12">C49+C47+C51-C52</f>
        <v>6575</v>
      </c>
      <c r="D53" s="9">
        <f t="shared" si="12"/>
        <v>6640</v>
      </c>
      <c r="E53" s="9">
        <f t="shared" si="12"/>
        <v>4088</v>
      </c>
      <c r="F53" s="9">
        <f t="shared" si="12"/>
        <v>5109</v>
      </c>
      <c r="G53" s="9">
        <f t="shared" si="12"/>
        <v>4195</v>
      </c>
      <c r="H53" s="9">
        <f t="shared" si="12"/>
        <v>5977</v>
      </c>
      <c r="I53" s="9">
        <f t="shared" si="12"/>
        <v>4619</v>
      </c>
      <c r="J53" s="9"/>
      <c r="K53" s="9"/>
      <c r="L53" s="9"/>
      <c r="M53" s="9"/>
      <c r="N53" s="9"/>
    </row>
    <row r="54" spans="1:15" x14ac:dyDescent="0.3">
      <c r="A54" t="s">
        <v>198</v>
      </c>
      <c r="B54" s="3">
        <v>256</v>
      </c>
      <c r="C54" s="3">
        <v>2483</v>
      </c>
      <c r="D54" s="3">
        <v>3305</v>
      </c>
      <c r="E54" s="3">
        <v>3415</v>
      </c>
      <c r="F54" s="3">
        <v>4591</v>
      </c>
      <c r="G54" s="3">
        <v>1294</v>
      </c>
      <c r="H54" s="3">
        <v>5772</v>
      </c>
      <c r="I54" s="3">
        <v>4386</v>
      </c>
      <c r="J54" s="3"/>
      <c r="K54" s="3"/>
      <c r="L54" s="3"/>
      <c r="M54" s="3"/>
      <c r="N54" s="3"/>
    </row>
    <row r="55" spans="1:15" x14ac:dyDescent="0.3">
      <c r="A55" s="27" t="s">
        <v>199</v>
      </c>
      <c r="B55" s="26">
        <f>B53+B52-B50-B51+B54</f>
        <v>5271</v>
      </c>
      <c r="C55" s="26">
        <f t="shared" ref="C55:I55" si="13">C53+C52-C50-C51+C54</f>
        <v>7950</v>
      </c>
      <c r="D55" s="26">
        <f t="shared" si="13"/>
        <v>9361</v>
      </c>
      <c r="E55" s="26">
        <f t="shared" si="13"/>
        <v>7898</v>
      </c>
      <c r="F55" s="26">
        <f t="shared" si="13"/>
        <v>10916</v>
      </c>
      <c r="G55" s="26">
        <f t="shared" si="13"/>
        <v>5556</v>
      </c>
      <c r="H55" s="26">
        <f t="shared" si="13"/>
        <v>13368</v>
      </c>
      <c r="I55" s="26">
        <f t="shared" si="13"/>
        <v>12347</v>
      </c>
      <c r="J55" s="26"/>
      <c r="K55" s="26"/>
      <c r="L55" s="26"/>
      <c r="M55" s="26"/>
      <c r="N55" s="26"/>
    </row>
    <row r="56" spans="1:15" x14ac:dyDescent="0.3">
      <c r="A56" t="s">
        <v>200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5" x14ac:dyDescent="0.3">
      <c r="A57" t="s">
        <v>201</v>
      </c>
      <c r="B57" s="3">
        <f>[1]Historicals!B82</f>
        <v>0</v>
      </c>
      <c r="C57" s="3">
        <f>[1]Historicals!C82</f>
        <v>6</v>
      </c>
      <c r="D57" s="3">
        <f>[1]Historicals!D82</f>
        <v>-34</v>
      </c>
      <c r="E57" s="3">
        <f>[1]Historicals!E82</f>
        <v>-22</v>
      </c>
      <c r="F57" s="3">
        <f>[1]Historicals!F82</f>
        <v>5</v>
      </c>
      <c r="G57" s="3">
        <f>[1]Historicals!G82</f>
        <v>31</v>
      </c>
      <c r="H57" s="3">
        <f>[1]Historicals!H82</f>
        <v>171</v>
      </c>
      <c r="I57" s="3">
        <f>[1]Historicals!I82</f>
        <v>-19</v>
      </c>
      <c r="J57" s="3"/>
      <c r="K57" s="3"/>
      <c r="L57" s="3"/>
      <c r="M57" s="3"/>
      <c r="N57" s="3"/>
    </row>
    <row r="58" spans="1:15" x14ac:dyDescent="0.3">
      <c r="A58" s="27" t="s">
        <v>202</v>
      </c>
      <c r="B58" s="26">
        <f>SUM(B56:B57)</f>
        <v>0</v>
      </c>
      <c r="C58" s="26">
        <f t="shared" ref="C58:I58" si="14">SUM(C56:C57)</f>
        <v>6</v>
      </c>
      <c r="D58" s="26">
        <f t="shared" si="14"/>
        <v>-34</v>
      </c>
      <c r="E58" s="26">
        <f t="shared" si="14"/>
        <v>-22</v>
      </c>
      <c r="F58" s="26">
        <f t="shared" si="14"/>
        <v>5</v>
      </c>
      <c r="G58" s="26">
        <f t="shared" si="14"/>
        <v>31</v>
      </c>
      <c r="H58" s="26">
        <f t="shared" si="14"/>
        <v>171</v>
      </c>
      <c r="I58" s="26">
        <f t="shared" si="14"/>
        <v>-19</v>
      </c>
      <c r="J58" s="26"/>
      <c r="K58" s="26"/>
      <c r="L58" s="26"/>
      <c r="M58" s="26"/>
      <c r="N58" s="26"/>
    </row>
    <row r="59" spans="1:15" x14ac:dyDescent="0.3">
      <c r="A59" t="s">
        <v>203</v>
      </c>
      <c r="B59" s="3">
        <f>[1]Historicals!B88-[1]Historicals!B89</f>
        <v>3048</v>
      </c>
      <c r="C59" s="3">
        <f>[1]Historicals!C88-[1]Historicals!C89</f>
        <v>3745</v>
      </c>
      <c r="D59" s="3">
        <f>[1]Historicals!D88-[1]Historicals!D89</f>
        <v>3223</v>
      </c>
      <c r="E59" s="3">
        <f>[1]Historicals!E88-[1]Historicals!E89</f>
        <v>4987</v>
      </c>
      <c r="F59" s="3">
        <f>[1]Historicals!F88-[1]Historicals!F89</f>
        <v>4986</v>
      </c>
      <c r="G59" s="3">
        <f>[1]Historicals!G88-[1]Historicals!G89</f>
        <v>3952</v>
      </c>
      <c r="H59" s="3">
        <f>[1]Historicals!H88-[1]Historicals!H89</f>
        <v>1780</v>
      </c>
      <c r="I59" s="3">
        <f>[1]Historicals!I88-[1]Historicals!I89</f>
        <v>5165</v>
      </c>
      <c r="J59" s="3"/>
      <c r="K59" s="3"/>
      <c r="L59" s="60"/>
      <c r="M59" s="3"/>
      <c r="N59" s="3"/>
    </row>
    <row r="60" spans="1:15" x14ac:dyDescent="0.3">
      <c r="A60" s="52" t="s">
        <v>129</v>
      </c>
      <c r="B60" s="53">
        <f>B59-2628/2628*100</f>
        <v>2948</v>
      </c>
      <c r="C60" s="53">
        <f>C59-B59/B59*100</f>
        <v>3645</v>
      </c>
      <c r="D60" s="53">
        <f t="shared" ref="D60:I60" si="15">D59-C59/C59*100</f>
        <v>3123</v>
      </c>
      <c r="E60" s="53">
        <f t="shared" si="15"/>
        <v>4887</v>
      </c>
      <c r="F60" s="53">
        <f t="shared" si="15"/>
        <v>4886</v>
      </c>
      <c r="G60" s="53">
        <f t="shared" si="15"/>
        <v>3852</v>
      </c>
      <c r="H60" s="53">
        <f t="shared" si="15"/>
        <v>1680</v>
      </c>
      <c r="I60" s="53">
        <f t="shared" si="15"/>
        <v>5065</v>
      </c>
      <c r="J60" s="53"/>
      <c r="K60" s="53"/>
      <c r="L60" s="53"/>
      <c r="M60" s="54"/>
      <c r="N60" s="54"/>
    </row>
    <row r="61" spans="1:15" x14ac:dyDescent="0.3">
      <c r="A61" t="s">
        <v>204</v>
      </c>
      <c r="B61" s="3">
        <f>[1]Historicals!B90</f>
        <v>-899</v>
      </c>
      <c r="C61" s="3">
        <f>[1]Historicals!C90</f>
        <v>-1022</v>
      </c>
      <c r="D61" s="3">
        <f>[1]Historicals!D90</f>
        <v>-1133</v>
      </c>
      <c r="E61" s="3">
        <f>[1]Historicals!E90</f>
        <v>-1243</v>
      </c>
      <c r="F61" s="3">
        <f>[1]Historicals!F90</f>
        <v>-1332</v>
      </c>
      <c r="G61" s="3">
        <f>[1]Historicals!G90</f>
        <v>-1452</v>
      </c>
      <c r="H61" s="3">
        <f>[1]Historicals!H90</f>
        <v>-1638</v>
      </c>
      <c r="I61" s="3">
        <f>[1]Historicals!I90</f>
        <v>-1837</v>
      </c>
      <c r="J61" s="3"/>
      <c r="K61" s="3"/>
      <c r="L61" s="3"/>
      <c r="M61" s="3"/>
      <c r="N61" s="3"/>
    </row>
    <row r="62" spans="1:15" x14ac:dyDescent="0.3">
      <c r="A62" t="s">
        <v>205</v>
      </c>
      <c r="B62" s="3">
        <f>[1]Historicals!B85</f>
        <v>0</v>
      </c>
      <c r="C62" s="3">
        <f>[1]Historicals!C85</f>
        <v>981</v>
      </c>
      <c r="D62" s="3">
        <f>[1]Historicals!D85</f>
        <v>1482</v>
      </c>
      <c r="E62" s="3">
        <f>[1]Historicals!E85</f>
        <v>0</v>
      </c>
      <c r="F62" s="3">
        <f>[1]Historicals!F85</f>
        <v>0</v>
      </c>
      <c r="G62" s="3">
        <f>[1]Historicals!G85</f>
        <v>0</v>
      </c>
      <c r="H62" s="3">
        <f>[1]Historicals!H85</f>
        <v>0</v>
      </c>
      <c r="I62" s="3">
        <f>[1]Historicals!I85</f>
        <v>0</v>
      </c>
      <c r="J62" s="3"/>
      <c r="K62" s="3"/>
      <c r="L62" s="3"/>
      <c r="M62" s="3"/>
      <c r="N62" s="3"/>
    </row>
    <row r="63" spans="1:15" x14ac:dyDescent="0.3">
      <c r="A63" t="s">
        <v>206</v>
      </c>
      <c r="B63" s="3">
        <f>[1]Historicals!B91</f>
        <v>0</v>
      </c>
      <c r="C63" s="3">
        <f>[1]Historicals!C91</f>
        <v>0</v>
      </c>
      <c r="D63" s="3">
        <f>[1]Historicals!D91</f>
        <v>0</v>
      </c>
      <c r="E63" s="3">
        <f>[1]Historicals!E91</f>
        <v>-84</v>
      </c>
      <c r="F63" s="3">
        <f>[1]Historicals!F91</f>
        <v>-50</v>
      </c>
      <c r="G63" s="3">
        <f>[1]Historicals!G91</f>
        <v>-58</v>
      </c>
      <c r="H63" s="3">
        <f>[1]Historicals!H91</f>
        <v>-136</v>
      </c>
      <c r="I63" s="3">
        <f>[1]Historicals!I91</f>
        <v>-151</v>
      </c>
      <c r="J63" s="3"/>
      <c r="K63" s="3"/>
      <c r="L63" s="3"/>
      <c r="M63" s="3"/>
      <c r="N63" s="3"/>
    </row>
    <row r="64" spans="1:15" x14ac:dyDescent="0.3">
      <c r="A64" s="27" t="s">
        <v>207</v>
      </c>
      <c r="B64" s="26">
        <f>B59+B61</f>
        <v>2149</v>
      </c>
      <c r="C64" s="26">
        <f t="shared" ref="C64:I64" si="16">C59+C61</f>
        <v>2723</v>
      </c>
      <c r="D64" s="26">
        <f t="shared" si="16"/>
        <v>2090</v>
      </c>
      <c r="E64" s="26">
        <f t="shared" si="16"/>
        <v>3744</v>
      </c>
      <c r="F64" s="26">
        <f t="shared" si="16"/>
        <v>3654</v>
      </c>
      <c r="G64" s="26">
        <f t="shared" si="16"/>
        <v>2500</v>
      </c>
      <c r="H64" s="26">
        <f t="shared" si="16"/>
        <v>142</v>
      </c>
      <c r="I64" s="26">
        <f t="shared" si="16"/>
        <v>3328</v>
      </c>
      <c r="J64" s="26"/>
      <c r="K64" s="26"/>
      <c r="L64" s="26"/>
      <c r="M64" s="26"/>
      <c r="N64" s="26"/>
    </row>
    <row r="65" spans="1:15" x14ac:dyDescent="0.3">
      <c r="A65" t="s">
        <v>208</v>
      </c>
      <c r="B65" s="3">
        <f>[1]Historicals!B70</f>
        <v>424</v>
      </c>
      <c r="C65" s="3">
        <f>[1]Historicals!C70</f>
        <v>98</v>
      </c>
      <c r="D65" s="3">
        <f>[1]Historicals!D70</f>
        <v>-117</v>
      </c>
      <c r="E65" s="3">
        <f>[1]Historicals!E70</f>
        <v>-99</v>
      </c>
      <c r="F65" s="3">
        <f>[1]Historicals!F70</f>
        <v>233</v>
      </c>
      <c r="G65" s="3">
        <f>[1]Historicals!G70</f>
        <v>23</v>
      </c>
      <c r="H65" s="3">
        <f>[1]Historicals!H70</f>
        <v>-138</v>
      </c>
      <c r="I65" s="3">
        <f>[1]Historicals!I70</f>
        <v>-26</v>
      </c>
      <c r="J65" s="3"/>
      <c r="K65" s="3"/>
      <c r="L65" s="3"/>
      <c r="M65" s="3"/>
      <c r="N65" s="3"/>
    </row>
    <row r="66" spans="1:15" x14ac:dyDescent="0.3">
      <c r="A66" s="27" t="s">
        <v>209</v>
      </c>
      <c r="B66" s="26">
        <f>B68-B67</f>
        <v>1632</v>
      </c>
      <c r="C66" s="26">
        <f t="shared" ref="C66:I66" si="17">C68-C67</f>
        <v>-714</v>
      </c>
      <c r="D66" s="26">
        <f t="shared" si="17"/>
        <v>670</v>
      </c>
      <c r="E66" s="26">
        <f t="shared" si="17"/>
        <v>441</v>
      </c>
      <c r="F66" s="26">
        <f t="shared" si="17"/>
        <v>217</v>
      </c>
      <c r="G66" s="26">
        <f t="shared" si="17"/>
        <v>3882</v>
      </c>
      <c r="H66" s="26">
        <f t="shared" si="17"/>
        <v>1541</v>
      </c>
      <c r="I66" s="26">
        <f t="shared" si="17"/>
        <v>-1315</v>
      </c>
      <c r="J66" s="26"/>
      <c r="K66" s="26"/>
      <c r="L66" s="26"/>
      <c r="M66" s="26"/>
      <c r="N66" s="26"/>
    </row>
    <row r="67" spans="1:15" x14ac:dyDescent="0.3">
      <c r="A67" t="s">
        <v>210</v>
      </c>
      <c r="B67" s="3">
        <f>[1]Historicals!B95</f>
        <v>2220</v>
      </c>
      <c r="C67" s="3">
        <f>[1]Historicals!C95</f>
        <v>3852</v>
      </c>
      <c r="D67" s="3">
        <f>[1]Historicals!D95</f>
        <v>3138</v>
      </c>
      <c r="E67" s="3">
        <f>[1]Historicals!E95</f>
        <v>3808</v>
      </c>
      <c r="F67" s="3">
        <f>[1]Historicals!F95</f>
        <v>4249</v>
      </c>
      <c r="G67" s="3">
        <f>[1]Historicals!G95</f>
        <v>4466</v>
      </c>
      <c r="H67" s="3">
        <f>[1]Historicals!H95</f>
        <v>8348</v>
      </c>
      <c r="I67" s="3">
        <f>[1]Historicals!I95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211</v>
      </c>
      <c r="B68" s="7">
        <f>[1]Historicals!B96</f>
        <v>3852</v>
      </c>
      <c r="C68" s="7">
        <f>[1]Historicals!C96</f>
        <v>3138</v>
      </c>
      <c r="D68" s="7">
        <f>[1]Historicals!D96</f>
        <v>3808</v>
      </c>
      <c r="E68" s="7">
        <f>[1]Historicals!E96</f>
        <v>4249</v>
      </c>
      <c r="F68" s="7">
        <f>[1]Historicals!F96</f>
        <v>4466</v>
      </c>
      <c r="G68" s="7">
        <f>[1]Historicals!G96</f>
        <v>8348</v>
      </c>
      <c r="H68" s="7">
        <f>[1]Historicals!H96</f>
        <v>9889</v>
      </c>
      <c r="I68" s="7">
        <f>[1]Historicals!I96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58" t="s">
        <v>187</v>
      </c>
      <c r="B69" s="69">
        <v>0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[1]Historicals!B39+[1]Historicals!B40+[1]Historicals!B46-B21+[1]Historicals!B26</f>
        <v>-520</v>
      </c>
      <c r="C70" s="47">
        <f>[1]Historicals!C39+[1]Historicals!C40+[1]Historicals!C46-C21+[1]Historicals!C26</f>
        <v>1236</v>
      </c>
      <c r="D70" s="47">
        <f>[1]Historicals!D39+[1]Historicals!D40+[1]Historicals!D46-D21+[1]Historicals!D26</f>
        <v>-1106</v>
      </c>
      <c r="E70" s="47">
        <f>[1]Historicals!E39+[1]Historicals!E40+[1]Historicals!E46-E21+[1]Historicals!E26</f>
        <v>-2911</v>
      </c>
      <c r="F70" s="47">
        <f>[1]Historicals!F39+[1]Historicals!F40+[1]Historicals!F46-F21+[1]Historicals!F26</f>
        <v>-790</v>
      </c>
      <c r="G70" s="47">
        <f>[1]Historicals!G39+[1]Historicals!G40+[1]Historicals!G46-G21+[1]Historicals!G26</f>
        <v>1748</v>
      </c>
      <c r="H70" s="47">
        <f>[1]Historicals!H39+[1]Historicals!H40+[1]Historicals!H46-H21+[1]Historicals!H26</f>
        <v>3113</v>
      </c>
      <c r="I70" s="47">
        <f>[1]Historicals!I39+[1]Historicals!I40+[1]Historicals!I46-I21+[1]Historicals!I26</f>
        <v>5279</v>
      </c>
      <c r="J70" s="47"/>
      <c r="K70" s="47"/>
      <c r="L70" s="47"/>
      <c r="M70" s="47"/>
      <c r="N70" s="47"/>
      <c r="O70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DEBF-4EAC-4781-BEF7-D226D189CDFE}">
  <sheetPr>
    <tabColor theme="3" tint="-0.249977111117893"/>
  </sheetPr>
  <dimension ref="A1:D14"/>
  <sheetViews>
    <sheetView tabSelected="1" workbookViewId="0">
      <selection activeCell="D25" sqref="D25"/>
    </sheetView>
  </sheetViews>
  <sheetFormatPr defaultRowHeight="14.4" x14ac:dyDescent="0.3"/>
  <cols>
    <col min="2" max="2" width="12.88671875" bestFit="1" customWidth="1"/>
    <col min="3" max="3" width="21.33203125" customWidth="1"/>
    <col min="4" max="4" width="79.5546875" customWidth="1"/>
  </cols>
  <sheetData>
    <row r="1" spans="1:4" x14ac:dyDescent="0.3">
      <c r="A1" s="70" t="s">
        <v>215</v>
      </c>
      <c r="B1" s="70" t="s">
        <v>216</v>
      </c>
      <c r="C1" s="70" t="s">
        <v>217</v>
      </c>
      <c r="D1" s="70" t="s">
        <v>218</v>
      </c>
    </row>
    <row r="2" spans="1:4" x14ac:dyDescent="0.3">
      <c r="A2" s="71">
        <v>2015</v>
      </c>
      <c r="B2" s="71">
        <v>30601</v>
      </c>
      <c r="C2" s="71">
        <v>6</v>
      </c>
      <c r="D2" s="71" t="s">
        <v>219</v>
      </c>
    </row>
    <row r="3" spans="1:4" x14ac:dyDescent="0.3">
      <c r="A3" s="71">
        <v>2016</v>
      </c>
      <c r="B3" s="71">
        <v>32376</v>
      </c>
      <c r="C3" s="71">
        <v>6</v>
      </c>
      <c r="D3" s="71" t="s">
        <v>220</v>
      </c>
    </row>
    <row r="4" spans="1:4" x14ac:dyDescent="0.3">
      <c r="A4" s="71">
        <v>2017</v>
      </c>
      <c r="B4" s="71">
        <v>34350</v>
      </c>
      <c r="C4" s="71">
        <v>6</v>
      </c>
      <c r="D4" s="71" t="s">
        <v>221</v>
      </c>
    </row>
    <row r="5" spans="1:4" x14ac:dyDescent="0.3">
      <c r="A5" s="71">
        <v>2018</v>
      </c>
      <c r="B5" s="71">
        <v>36397</v>
      </c>
      <c r="C5" s="71">
        <v>7</v>
      </c>
      <c r="D5" s="71" t="s">
        <v>222</v>
      </c>
    </row>
    <row r="6" spans="1:4" x14ac:dyDescent="0.3">
      <c r="A6" s="71">
        <v>2019</v>
      </c>
      <c r="B6" s="71">
        <v>39117</v>
      </c>
      <c r="C6" s="71">
        <v>8</v>
      </c>
      <c r="D6" s="71" t="s">
        <v>223</v>
      </c>
    </row>
    <row r="7" spans="1:4" x14ac:dyDescent="0.3">
      <c r="A7" s="71">
        <v>2020</v>
      </c>
      <c r="B7" s="71">
        <v>37403</v>
      </c>
      <c r="C7" s="71">
        <v>-4</v>
      </c>
      <c r="D7" s="71" t="s">
        <v>224</v>
      </c>
    </row>
    <row r="8" spans="1:4" x14ac:dyDescent="0.3">
      <c r="A8" s="71">
        <v>2021</v>
      </c>
      <c r="B8" s="71">
        <v>44538</v>
      </c>
      <c r="C8" s="71">
        <v>19</v>
      </c>
      <c r="D8" s="71" t="s">
        <v>225</v>
      </c>
    </row>
    <row r="9" spans="1:4" x14ac:dyDescent="0.3">
      <c r="A9" s="71">
        <v>2022</v>
      </c>
      <c r="B9" s="71">
        <v>46710</v>
      </c>
      <c r="C9" s="71">
        <v>5</v>
      </c>
      <c r="D9" s="71" t="s">
        <v>226</v>
      </c>
    </row>
    <row r="10" spans="1:4" x14ac:dyDescent="0.3">
      <c r="A10" s="71">
        <v>2023</v>
      </c>
      <c r="B10" s="71">
        <v>49045.5</v>
      </c>
      <c r="C10" s="71">
        <v>5</v>
      </c>
      <c r="D10" s="71" t="s">
        <v>227</v>
      </c>
    </row>
    <row r="11" spans="1:4" x14ac:dyDescent="0.3">
      <c r="A11" s="71">
        <v>2024</v>
      </c>
      <c r="B11" s="71">
        <v>51497.775000000001</v>
      </c>
      <c r="C11" s="71">
        <v>5</v>
      </c>
      <c r="D11" s="71" t="s">
        <v>228</v>
      </c>
    </row>
    <row r="12" spans="1:4" x14ac:dyDescent="0.3">
      <c r="A12" s="71">
        <v>2025</v>
      </c>
      <c r="B12" s="71">
        <v>54072.663750000007</v>
      </c>
      <c r="C12" s="71">
        <v>5</v>
      </c>
      <c r="D12" s="71" t="s">
        <v>228</v>
      </c>
    </row>
    <row r="13" spans="1:4" x14ac:dyDescent="0.3">
      <c r="A13" s="71">
        <v>2026</v>
      </c>
      <c r="B13" s="71">
        <v>56776.29693750001</v>
      </c>
      <c r="C13" s="71">
        <v>5</v>
      </c>
      <c r="D13" s="71" t="s">
        <v>228</v>
      </c>
    </row>
    <row r="14" spans="1:4" x14ac:dyDescent="0.3">
      <c r="A14" s="71">
        <v>2027</v>
      </c>
      <c r="B14" s="71">
        <v>59615.111784375011</v>
      </c>
      <c r="C14" s="71">
        <v>5</v>
      </c>
      <c r="D14" s="7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Explanatory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2024-11-25T19:26:33Z</dcterms:modified>
</cp:coreProperties>
</file>