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joor\Downloads\"/>
    </mc:Choice>
  </mc:AlternateContent>
  <xr:revisionPtr revIDLastSave="0" documentId="8_{630F973A-95B4-40A2-A0D4-0BE01EC293AF}" xr6:coauthVersionLast="47" xr6:coauthVersionMax="47" xr10:uidLastSave="{00000000-0000-0000-0000-000000000000}"/>
  <bookViews>
    <workbookView xWindow="-108" yWindow="-108" windowWidth="23256" windowHeight="12456" activeTab="4" xr2:uid="{00000000-000D-0000-FFFF-FFFF00000000}"/>
  </bookViews>
  <sheets>
    <sheet name="Sheet1" sheetId="2" r:id="rId1"/>
    <sheet name="Historicals" sheetId="1" r:id="rId2"/>
    <sheet name="Segmental forecast" sheetId="3" r:id="rId3"/>
    <sheet name="Three Statements" sheetId="4" r:id="rId4"/>
    <sheet name="Column by Column balancing" sheetId="7"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7" l="1"/>
  <c r="H3" i="7"/>
  <c r="H4" i="7"/>
  <c r="H5" i="7"/>
  <c r="H6" i="7"/>
  <c r="H7" i="7"/>
  <c r="H8" i="7"/>
  <c r="N42" i="4"/>
  <c r="J42" i="4"/>
  <c r="K42" i="4"/>
  <c r="L42" i="4"/>
  <c r="M42" i="4"/>
  <c r="I42" i="4"/>
  <c r="H42" i="4"/>
  <c r="G42" i="4"/>
  <c r="F42" i="4"/>
  <c r="E42" i="4"/>
  <c r="D42" i="4"/>
  <c r="C42" i="4"/>
  <c r="B42" i="4"/>
  <c r="C40" i="4"/>
  <c r="D40" i="4"/>
  <c r="E40" i="4"/>
  <c r="F40" i="4"/>
  <c r="G40" i="4"/>
  <c r="H40" i="4"/>
  <c r="I40" i="4"/>
  <c r="J40" i="4"/>
  <c r="K40" i="4"/>
  <c r="L40" i="4"/>
  <c r="M40" i="4"/>
  <c r="N40" i="4"/>
  <c r="B40" i="4"/>
  <c r="N61" i="4"/>
  <c r="E61" i="4"/>
  <c r="G61" i="4"/>
  <c r="H61" i="4"/>
  <c r="I61" i="4"/>
  <c r="J61" i="4"/>
  <c r="K61" i="4"/>
  <c r="L61" i="4"/>
  <c r="M61" i="4"/>
  <c r="B58" i="4"/>
  <c r="B59" i="4" s="1"/>
  <c r="B30" i="4"/>
  <c r="C30" i="4" s="1"/>
  <c r="I69" i="4"/>
  <c r="H69" i="4"/>
  <c r="G69" i="4"/>
  <c r="F69" i="4"/>
  <c r="E69" i="4"/>
  <c r="D69" i="4"/>
  <c r="C69" i="4"/>
  <c r="B69" i="4"/>
  <c r="I67" i="4"/>
  <c r="H67" i="4"/>
  <c r="G67" i="4"/>
  <c r="F67" i="4"/>
  <c r="E67" i="4"/>
  <c r="D67" i="4"/>
  <c r="C67" i="4"/>
  <c r="B67" i="4"/>
  <c r="I65" i="4"/>
  <c r="H65" i="4"/>
  <c r="G65" i="4"/>
  <c r="F65" i="4"/>
  <c r="E65" i="4"/>
  <c r="D65" i="4"/>
  <c r="C65" i="4"/>
  <c r="I64" i="4"/>
  <c r="H64" i="4"/>
  <c r="G64" i="4"/>
  <c r="F64" i="4"/>
  <c r="E64" i="4"/>
  <c r="D64" i="4"/>
  <c r="C64" i="4"/>
  <c r="B64" i="4"/>
  <c r="I63" i="4"/>
  <c r="H63" i="4"/>
  <c r="G63" i="4"/>
  <c r="F63" i="4"/>
  <c r="E63" i="4"/>
  <c r="D63" i="4"/>
  <c r="C63" i="4"/>
  <c r="B63" i="4"/>
  <c r="I60" i="4"/>
  <c r="I66" i="4" s="1"/>
  <c r="H60" i="4"/>
  <c r="H66" i="4" s="1"/>
  <c r="G60" i="4"/>
  <c r="G66" i="4" s="1"/>
  <c r="F60" i="4"/>
  <c r="F66" i="4" s="1"/>
  <c r="E60" i="4"/>
  <c r="E66" i="4" s="1"/>
  <c r="D60" i="4"/>
  <c r="D66" i="4" s="1"/>
  <c r="C60" i="4"/>
  <c r="C66" i="4" s="1"/>
  <c r="B60" i="4"/>
  <c r="B66" i="4" s="1"/>
  <c r="I53" i="4"/>
  <c r="H53" i="4"/>
  <c r="G53" i="4"/>
  <c r="F53" i="4"/>
  <c r="E53" i="4"/>
  <c r="D53" i="4"/>
  <c r="C53" i="4"/>
  <c r="B53" i="4"/>
  <c r="I52" i="4"/>
  <c r="H52" i="4"/>
  <c r="G52" i="4"/>
  <c r="F52" i="4"/>
  <c r="E52" i="4"/>
  <c r="D52" i="4"/>
  <c r="C52" i="4"/>
  <c r="I51" i="4"/>
  <c r="H51" i="4"/>
  <c r="G51" i="4"/>
  <c r="F51" i="4"/>
  <c r="E51" i="4"/>
  <c r="D51" i="4"/>
  <c r="C51" i="4"/>
  <c r="B51" i="4"/>
  <c r="I49" i="4"/>
  <c r="H49" i="4"/>
  <c r="G49" i="4"/>
  <c r="F49" i="4"/>
  <c r="E49" i="4"/>
  <c r="D49" i="4"/>
  <c r="C49" i="4"/>
  <c r="B49" i="4"/>
  <c r="I48" i="4"/>
  <c r="H48" i="4"/>
  <c r="G48" i="4"/>
  <c r="F48" i="4"/>
  <c r="E48" i="4"/>
  <c r="D48" i="4"/>
  <c r="C48" i="4"/>
  <c r="B48" i="4"/>
  <c r="I47" i="4"/>
  <c r="I50" i="4" s="1"/>
  <c r="I54" i="4" s="1"/>
  <c r="I56" i="4" s="1"/>
  <c r="H47" i="4"/>
  <c r="H50" i="4" s="1"/>
  <c r="G47" i="4"/>
  <c r="G50" i="4" s="1"/>
  <c r="G54" i="4" s="1"/>
  <c r="G56" i="4" s="1"/>
  <c r="F47" i="4"/>
  <c r="F50" i="4" s="1"/>
  <c r="E47" i="4"/>
  <c r="E50" i="4" s="1"/>
  <c r="D47" i="4"/>
  <c r="D50" i="4" s="1"/>
  <c r="C47" i="4"/>
  <c r="C50" i="4" s="1"/>
  <c r="B47" i="4"/>
  <c r="B50" i="4" s="1"/>
  <c r="I43" i="4"/>
  <c r="H43" i="4"/>
  <c r="G43" i="4"/>
  <c r="F43" i="4"/>
  <c r="E43" i="4"/>
  <c r="D43" i="4"/>
  <c r="C43" i="4"/>
  <c r="B43" i="4"/>
  <c r="I41" i="4"/>
  <c r="H41" i="4"/>
  <c r="G41" i="4"/>
  <c r="F41" i="4"/>
  <c r="E41" i="4"/>
  <c r="D41" i="4"/>
  <c r="C41" i="4"/>
  <c r="B41" i="4"/>
  <c r="I39" i="4"/>
  <c r="H39" i="4"/>
  <c r="G39" i="4"/>
  <c r="F39" i="4"/>
  <c r="E39" i="4"/>
  <c r="D39" i="4"/>
  <c r="C39" i="4"/>
  <c r="B39" i="4"/>
  <c r="I38" i="4"/>
  <c r="H38" i="4"/>
  <c r="G38" i="4"/>
  <c r="F38" i="4"/>
  <c r="E38" i="4"/>
  <c r="D38" i="4"/>
  <c r="C38" i="4"/>
  <c r="B38" i="4"/>
  <c r="I37" i="4"/>
  <c r="H37" i="4"/>
  <c r="G37" i="4"/>
  <c r="E37" i="4"/>
  <c r="D37" i="4"/>
  <c r="I36" i="4"/>
  <c r="H36" i="4"/>
  <c r="G36" i="4"/>
  <c r="F36" i="4"/>
  <c r="E36" i="4"/>
  <c r="D36" i="4"/>
  <c r="C36" i="4"/>
  <c r="B36" i="4"/>
  <c r="I35" i="4"/>
  <c r="H35" i="4"/>
  <c r="G35" i="4"/>
  <c r="F35" i="4"/>
  <c r="E35" i="4"/>
  <c r="D35" i="4"/>
  <c r="C35" i="4"/>
  <c r="B35" i="4"/>
  <c r="I34" i="4"/>
  <c r="H34" i="4"/>
  <c r="G34" i="4"/>
  <c r="F34" i="4"/>
  <c r="E34" i="4"/>
  <c r="D34" i="4"/>
  <c r="C34" i="4"/>
  <c r="B34" i="4"/>
  <c r="I33" i="4"/>
  <c r="I32" i="4" s="1"/>
  <c r="H33" i="4"/>
  <c r="H32" i="4" s="1"/>
  <c r="G33" i="4"/>
  <c r="G32" i="4" s="1"/>
  <c r="F33" i="4"/>
  <c r="F32" i="4" s="1"/>
  <c r="E33" i="4"/>
  <c r="D33" i="4"/>
  <c r="C33" i="4"/>
  <c r="B33" i="4"/>
  <c r="E32" i="4"/>
  <c r="D32" i="4"/>
  <c r="C32" i="4"/>
  <c r="I29" i="4"/>
  <c r="H29" i="4"/>
  <c r="G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B23" i="4"/>
  <c r="I16" i="4"/>
  <c r="H16" i="4"/>
  <c r="G16" i="4"/>
  <c r="F16" i="4"/>
  <c r="E16" i="4"/>
  <c r="D16" i="4"/>
  <c r="C16" i="4"/>
  <c r="B16" i="4"/>
  <c r="I15" i="4"/>
  <c r="I17" i="4" s="1"/>
  <c r="H15" i="4"/>
  <c r="G15" i="4"/>
  <c r="G17" i="4" s="1"/>
  <c r="F15" i="4"/>
  <c r="E15" i="4"/>
  <c r="D15" i="4"/>
  <c r="C15" i="4"/>
  <c r="B15" i="4"/>
  <c r="B17" i="4" s="1"/>
  <c r="B19" i="4" s="1"/>
  <c r="I12" i="4"/>
  <c r="H12" i="4"/>
  <c r="G12" i="4"/>
  <c r="F12" i="4"/>
  <c r="E12" i="4"/>
  <c r="D12" i="4"/>
  <c r="C12" i="4"/>
  <c r="B12" i="4"/>
  <c r="I10" i="4"/>
  <c r="H10" i="4"/>
  <c r="G10" i="4"/>
  <c r="F10" i="4"/>
  <c r="E10" i="4"/>
  <c r="D10" i="4"/>
  <c r="C10" i="4"/>
  <c r="C11" i="4" s="1"/>
  <c r="C14" i="4" s="1"/>
  <c r="B10" i="4"/>
  <c r="N9" i="4"/>
  <c r="M9" i="4"/>
  <c r="L9" i="4"/>
  <c r="K9" i="4"/>
  <c r="J9" i="4"/>
  <c r="I9" i="4"/>
  <c r="H9" i="4"/>
  <c r="G9" i="4"/>
  <c r="F9" i="4"/>
  <c r="E9" i="4"/>
  <c r="D9" i="4"/>
  <c r="C9" i="4"/>
  <c r="B9" i="4"/>
  <c r="N8" i="4"/>
  <c r="M8" i="4"/>
  <c r="L8" i="4"/>
  <c r="K8" i="4"/>
  <c r="J8" i="4"/>
  <c r="I8" i="4"/>
  <c r="H8" i="4"/>
  <c r="G8" i="4"/>
  <c r="F8" i="4"/>
  <c r="E8" i="4"/>
  <c r="D8" i="4"/>
  <c r="C8" i="4"/>
  <c r="B8" i="4"/>
  <c r="N7" i="4"/>
  <c r="N11" i="4" s="1"/>
  <c r="M7" i="4"/>
  <c r="M11" i="4" s="1"/>
  <c r="L7" i="4"/>
  <c r="L11" i="4" s="1"/>
  <c r="K7" i="4"/>
  <c r="K11" i="4" s="1"/>
  <c r="J7" i="4"/>
  <c r="J11" i="4" s="1"/>
  <c r="I7" i="4"/>
  <c r="H7" i="4"/>
  <c r="G7" i="4"/>
  <c r="F7" i="4"/>
  <c r="E7" i="4"/>
  <c r="D7" i="4"/>
  <c r="C7" i="4"/>
  <c r="B7" i="4"/>
  <c r="N6" i="4"/>
  <c r="M6" i="4"/>
  <c r="L6" i="4"/>
  <c r="K6" i="4"/>
  <c r="J6" i="4"/>
  <c r="I6" i="4"/>
  <c r="H6" i="4"/>
  <c r="G6" i="4"/>
  <c r="F6" i="4"/>
  <c r="E6" i="4"/>
  <c r="D6" i="4"/>
  <c r="C6" i="4"/>
  <c r="B6" i="4"/>
  <c r="N5" i="4"/>
  <c r="M5" i="4"/>
  <c r="L5" i="4"/>
  <c r="K5" i="4"/>
  <c r="J5" i="4"/>
  <c r="I5" i="4"/>
  <c r="H5" i="4"/>
  <c r="G5" i="4"/>
  <c r="F5" i="4"/>
  <c r="E5" i="4"/>
  <c r="D5" i="4"/>
  <c r="C5" i="4"/>
  <c r="B5" i="4"/>
  <c r="N4" i="4"/>
  <c r="M4" i="4"/>
  <c r="L4" i="4"/>
  <c r="K4" i="4"/>
  <c r="J4" i="4"/>
  <c r="I4" i="4"/>
  <c r="H4" i="4"/>
  <c r="G4" i="4"/>
  <c r="F4" i="4"/>
  <c r="E4" i="4"/>
  <c r="D4" i="4"/>
  <c r="C4" i="4"/>
  <c r="B4" i="4"/>
  <c r="N3" i="4"/>
  <c r="M3" i="4"/>
  <c r="L3" i="4"/>
  <c r="K3" i="4"/>
  <c r="J3" i="4"/>
  <c r="I3" i="4"/>
  <c r="H3" i="4"/>
  <c r="G3" i="4"/>
  <c r="F3" i="4"/>
  <c r="E3" i="4"/>
  <c r="D3" i="4"/>
  <c r="C3" i="4"/>
  <c r="B3" i="4"/>
  <c r="I16" i="3"/>
  <c r="H16" i="3"/>
  <c r="G16" i="3"/>
  <c r="F16" i="3"/>
  <c r="E16" i="3"/>
  <c r="D16" i="3"/>
  <c r="C16" i="3"/>
  <c r="B16" i="3"/>
  <c r="C176" i="1"/>
  <c r="F175" i="1"/>
  <c r="F176" i="1" s="1"/>
  <c r="C175" i="1"/>
  <c r="G172" i="1"/>
  <c r="G175" i="1" s="1"/>
  <c r="G176" i="1" s="1"/>
  <c r="F172" i="1"/>
  <c r="E172" i="1"/>
  <c r="E175" i="1" s="1"/>
  <c r="E176" i="1" s="1"/>
  <c r="D172" i="1"/>
  <c r="D175" i="1" s="1"/>
  <c r="D176" i="1" s="1"/>
  <c r="C172" i="1"/>
  <c r="B172" i="1"/>
  <c r="B175" i="1" s="1"/>
  <c r="B176" i="1" s="1"/>
  <c r="C164" i="1"/>
  <c r="C165" i="1" s="1"/>
  <c r="F163" i="1"/>
  <c r="C163" i="1"/>
  <c r="G161" i="1"/>
  <c r="F161" i="1"/>
  <c r="F164" i="1" s="1"/>
  <c r="F165" i="1" s="1"/>
  <c r="E161" i="1"/>
  <c r="E163" i="1" s="1"/>
  <c r="D161" i="1"/>
  <c r="D163" i="1" s="1"/>
  <c r="C161" i="1"/>
  <c r="B161" i="1"/>
  <c r="B163" i="1" s="1"/>
  <c r="B164" i="1" s="1"/>
  <c r="B165" i="1" s="1"/>
  <c r="E154" i="1"/>
  <c r="B154" i="1"/>
  <c r="E153" i="1"/>
  <c r="C153" i="1"/>
  <c r="C154" i="1" s="1"/>
  <c r="B153" i="1"/>
  <c r="G150" i="1"/>
  <c r="G153" i="1" s="1"/>
  <c r="G154" i="1" s="1"/>
  <c r="F150" i="1"/>
  <c r="F153" i="1" s="1"/>
  <c r="F154" i="1" s="1"/>
  <c r="E150" i="1"/>
  <c r="D150" i="1"/>
  <c r="D153" i="1" s="1"/>
  <c r="D154" i="1" s="1"/>
  <c r="C150" i="1"/>
  <c r="B150" i="1"/>
  <c r="G143" i="1"/>
  <c r="D143" i="1"/>
  <c r="G142" i="1"/>
  <c r="E142" i="1"/>
  <c r="E143" i="1" s="1"/>
  <c r="D142" i="1"/>
  <c r="B142" i="1"/>
  <c r="B143" i="1" s="1"/>
  <c r="G139" i="1"/>
  <c r="F139" i="1"/>
  <c r="F142" i="1" s="1"/>
  <c r="F143" i="1" s="1"/>
  <c r="E139" i="1"/>
  <c r="D139" i="1"/>
  <c r="C139" i="1"/>
  <c r="C142" i="1" s="1"/>
  <c r="C143" i="1" s="1"/>
  <c r="B139" i="1"/>
  <c r="F132" i="1"/>
  <c r="B132" i="1"/>
  <c r="G131" i="1"/>
  <c r="G132" i="1" s="1"/>
  <c r="F131" i="1"/>
  <c r="D131" i="1"/>
  <c r="D132" i="1" s="1"/>
  <c r="G124" i="1"/>
  <c r="F124" i="1"/>
  <c r="E124" i="1"/>
  <c r="E131" i="1" s="1"/>
  <c r="E132" i="1" s="1"/>
  <c r="D124" i="1"/>
  <c r="C124" i="1"/>
  <c r="C131" i="1" s="1"/>
  <c r="C132" i="1" s="1"/>
  <c r="B124" i="1"/>
  <c r="B131" i="1" s="1"/>
  <c r="G97" i="1"/>
  <c r="F97" i="1"/>
  <c r="E97" i="1"/>
  <c r="D97" i="1"/>
  <c r="C97" i="1"/>
  <c r="B97" i="1"/>
  <c r="F94" i="1"/>
  <c r="G92" i="1"/>
  <c r="F92" i="1"/>
  <c r="E92" i="1"/>
  <c r="D92" i="1"/>
  <c r="C92" i="1"/>
  <c r="B92" i="1"/>
  <c r="G83" i="1"/>
  <c r="G94" i="1" s="1"/>
  <c r="F83" i="1"/>
  <c r="E83" i="1"/>
  <c r="D83" i="1"/>
  <c r="D94" i="1" s="1"/>
  <c r="C83" i="1"/>
  <c r="B83" i="1"/>
  <c r="G76" i="1"/>
  <c r="F76" i="1"/>
  <c r="E76" i="1"/>
  <c r="E94" i="1" s="1"/>
  <c r="D76" i="1"/>
  <c r="C76" i="1"/>
  <c r="C94" i="1" s="1"/>
  <c r="B76" i="1"/>
  <c r="B94" i="1" s="1"/>
  <c r="E59" i="1"/>
  <c r="E60" i="1" s="1"/>
  <c r="G58" i="1"/>
  <c r="F58" i="1"/>
  <c r="E58" i="1"/>
  <c r="D58" i="1"/>
  <c r="C58" i="1"/>
  <c r="B58" i="1"/>
  <c r="G45" i="1"/>
  <c r="G59" i="1" s="1"/>
  <c r="G60" i="1" s="1"/>
  <c r="F45" i="1"/>
  <c r="E45" i="1"/>
  <c r="D45" i="1"/>
  <c r="C45" i="1"/>
  <c r="B45" i="1"/>
  <c r="G36" i="1"/>
  <c r="E36" i="1"/>
  <c r="D36" i="1"/>
  <c r="D60" i="1" s="1"/>
  <c r="B36" i="1"/>
  <c r="B60" i="1" s="1"/>
  <c r="G30" i="1"/>
  <c r="F30" i="1"/>
  <c r="F36" i="1" s="1"/>
  <c r="F60" i="1" s="1"/>
  <c r="E30" i="1"/>
  <c r="D30" i="1"/>
  <c r="C30" i="1"/>
  <c r="C36" i="1" s="1"/>
  <c r="C60" i="1" s="1"/>
  <c r="B30" i="1"/>
  <c r="G12" i="1"/>
  <c r="F12" i="1"/>
  <c r="E12" i="1"/>
  <c r="D12" i="1"/>
  <c r="C12" i="1"/>
  <c r="B12" i="1"/>
  <c r="G7" i="1"/>
  <c r="F7" i="1"/>
  <c r="E7" i="1"/>
  <c r="D7" i="1"/>
  <c r="C7" i="1"/>
  <c r="B7" i="1"/>
  <c r="G4" i="1"/>
  <c r="F4" i="1"/>
  <c r="E4" i="1"/>
  <c r="D4" i="1"/>
  <c r="C4" i="1"/>
  <c r="B4" i="1"/>
  <c r="F44" i="4" l="1"/>
  <c r="H44" i="4"/>
  <c r="B61" i="4"/>
  <c r="F61" i="4"/>
  <c r="C44" i="4"/>
  <c r="C54" i="4"/>
  <c r="C56" i="4" s="1"/>
  <c r="D11" i="4"/>
  <c r="E44" i="4"/>
  <c r="F11" i="4"/>
  <c r="F14" i="4" s="1"/>
  <c r="D61" i="4"/>
  <c r="C61" i="4"/>
  <c r="B54" i="4"/>
  <c r="B56" i="4" s="1"/>
  <c r="B70" i="4" s="1"/>
  <c r="C58" i="4"/>
  <c r="C59" i="4" s="1"/>
  <c r="D30" i="4"/>
  <c r="D54" i="4"/>
  <c r="D56" i="4" s="1"/>
  <c r="H11" i="4"/>
  <c r="H14" i="4" s="1"/>
  <c r="B32" i="4"/>
  <c r="B44" i="4" s="1"/>
  <c r="H54" i="4"/>
  <c r="H56" i="4" s="1"/>
  <c r="D13" i="4"/>
  <c r="D17" i="4"/>
  <c r="D24" i="4"/>
  <c r="E17" i="4"/>
  <c r="E19" i="4" s="1"/>
  <c r="G44" i="4"/>
  <c r="E54" i="4"/>
  <c r="E56" i="4" s="1"/>
  <c r="I11" i="4"/>
  <c r="I14" i="4" s="1"/>
  <c r="F54" i="4"/>
  <c r="F56" i="4" s="1"/>
  <c r="G11" i="4"/>
  <c r="G14" i="4" s="1"/>
  <c r="E24" i="4"/>
  <c r="F24" i="4"/>
  <c r="B11" i="4"/>
  <c r="B14" i="4" s="1"/>
  <c r="G24" i="4"/>
  <c r="I44" i="4"/>
  <c r="C17" i="4"/>
  <c r="C18" i="4" s="1"/>
  <c r="H17" i="4"/>
  <c r="H19" i="4" s="1"/>
  <c r="H24" i="4"/>
  <c r="I24" i="4"/>
  <c r="D14" i="4"/>
  <c r="E11" i="4"/>
  <c r="E14" i="4" s="1"/>
  <c r="B24" i="4"/>
  <c r="D44" i="4"/>
  <c r="F17" i="4"/>
  <c r="C24" i="4"/>
  <c r="D19" i="4"/>
  <c r="E18" i="4"/>
  <c r="C19" i="4"/>
  <c r="G19" i="4"/>
  <c r="I19" i="4"/>
  <c r="C13" i="4"/>
  <c r="B62" i="4"/>
  <c r="C62" i="4"/>
  <c r="D62" i="4"/>
  <c r="E62" i="4"/>
  <c r="F62" i="4"/>
  <c r="G62" i="4"/>
  <c r="H62" i="4"/>
  <c r="I62" i="4"/>
  <c r="G163" i="1"/>
  <c r="G164" i="1" s="1"/>
  <c r="G165" i="1" s="1"/>
  <c r="D164" i="1"/>
  <c r="D165" i="1" s="1"/>
  <c r="E164" i="1"/>
  <c r="E165" i="1" s="1"/>
  <c r="B21" i="4" l="1"/>
  <c r="B31" i="4" s="1"/>
  <c r="B68" i="4"/>
  <c r="F13" i="4"/>
  <c r="C70" i="4"/>
  <c r="I18" i="4"/>
  <c r="B13" i="4"/>
  <c r="H18" i="4"/>
  <c r="I13" i="4"/>
  <c r="D58" i="4"/>
  <c r="D59" i="4" s="1"/>
  <c r="D70" i="4" s="1"/>
  <c r="E30" i="4"/>
  <c r="H13" i="4"/>
  <c r="F18" i="4"/>
  <c r="B72" i="4"/>
  <c r="B22" i="4" s="1"/>
  <c r="F19" i="4"/>
  <c r="G18" i="4"/>
  <c r="D18" i="4"/>
  <c r="G13" i="4"/>
  <c r="E13" i="4"/>
  <c r="J1" i="4"/>
  <c r="K1" i="4" s="1"/>
  <c r="L1" i="4" s="1"/>
  <c r="M1" i="4" s="1"/>
  <c r="N1" i="4" s="1"/>
  <c r="H1" i="4"/>
  <c r="G1" i="4" s="1"/>
  <c r="F1" i="4" s="1"/>
  <c r="E1" i="4" s="1"/>
  <c r="D1" i="4" s="1"/>
  <c r="C1" i="4" s="1"/>
  <c r="B1" i="4" s="1"/>
  <c r="C21" i="4" l="1"/>
  <c r="C68" i="4"/>
  <c r="F30" i="4"/>
  <c r="E58" i="4"/>
  <c r="E59" i="4" s="1"/>
  <c r="E70" i="4" s="1"/>
  <c r="D68" i="4"/>
  <c r="D21" i="4"/>
  <c r="A51" i="3"/>
  <c r="C72" i="4" l="1"/>
  <c r="C22" i="4" s="1"/>
  <c r="C31" i="4"/>
  <c r="D31" i="4"/>
  <c r="D72" i="4"/>
  <c r="D22" i="4" s="1"/>
  <c r="E68" i="4"/>
  <c r="E21" i="4"/>
  <c r="G30" i="4"/>
  <c r="F58" i="4"/>
  <c r="F59" i="4" s="1"/>
  <c r="F70" i="4" s="1"/>
  <c r="I48" i="3"/>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F21" i="4" l="1"/>
  <c r="F68" i="4"/>
  <c r="H30" i="4"/>
  <c r="G58" i="4"/>
  <c r="G59" i="4" s="1"/>
  <c r="G70" i="4" s="1"/>
  <c r="E72" i="4"/>
  <c r="E22" i="4" s="1"/>
  <c r="E31" i="4"/>
  <c r="N24" i="3"/>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G21" i="4" l="1"/>
  <c r="G68" i="4"/>
  <c r="I30" i="4"/>
  <c r="H58" i="4"/>
  <c r="H59" i="4" s="1"/>
  <c r="H70" i="4" s="1"/>
  <c r="F72" i="4"/>
  <c r="F22" i="4" s="1"/>
  <c r="F31" i="4"/>
  <c r="L41" i="3"/>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172" i="1"/>
  <c r="I175" i="1" s="1"/>
  <c r="I176" i="1" s="1"/>
  <c r="H172" i="1"/>
  <c r="H175" i="1" s="1"/>
  <c r="H176" i="1" s="1"/>
  <c r="H163" i="1"/>
  <c r="H164" i="1" s="1"/>
  <c r="H165" i="1" s="1"/>
  <c r="I161" i="1"/>
  <c r="I163" i="1" s="1"/>
  <c r="H161" i="1"/>
  <c r="H125" i="1"/>
  <c r="I125" i="1"/>
  <c r="I150" i="1"/>
  <c r="I153" i="1" s="1"/>
  <c r="I154" i="1" s="1"/>
  <c r="H150" i="1"/>
  <c r="H153" i="1" s="1"/>
  <c r="H154" i="1" s="1"/>
  <c r="J30" i="4" l="1"/>
  <c r="I58" i="4"/>
  <c r="I59" i="4" s="1"/>
  <c r="I70" i="4" s="1"/>
  <c r="H68" i="4"/>
  <c r="H21" i="4"/>
  <c r="G72" i="4"/>
  <c r="G22" i="4" s="1"/>
  <c r="G31" i="4"/>
  <c r="J48" i="3"/>
  <c r="J38" i="3" s="1"/>
  <c r="I164" i="1"/>
  <c r="I165" i="1" s="1"/>
  <c r="M41" i="3"/>
  <c r="C36" i="3"/>
  <c r="G36" i="3"/>
  <c r="H36" i="3"/>
  <c r="D36" i="3"/>
  <c r="F36" i="3"/>
  <c r="E36" i="3"/>
  <c r="L32" i="3"/>
  <c r="M33" i="3"/>
  <c r="L31" i="3"/>
  <c r="L28" i="3"/>
  <c r="L27" i="3" s="1"/>
  <c r="M29" i="3"/>
  <c r="K21" i="3"/>
  <c r="I119" i="1"/>
  <c r="H119" i="1"/>
  <c r="I115" i="1"/>
  <c r="H115" i="1"/>
  <c r="I111" i="1"/>
  <c r="H111" i="1"/>
  <c r="H107" i="1"/>
  <c r="H21" i="3" s="1"/>
  <c r="G21" i="3"/>
  <c r="F21" i="3"/>
  <c r="F37" i="3" s="1"/>
  <c r="E21" i="3"/>
  <c r="E37" i="3" s="1"/>
  <c r="D21" i="3"/>
  <c r="D37" i="3" s="1"/>
  <c r="C21" i="3"/>
  <c r="B21" i="3"/>
  <c r="B37" i="3" s="1"/>
  <c r="I107" i="1"/>
  <c r="I21" i="3" s="1"/>
  <c r="I50" i="3" s="1"/>
  <c r="J50" i="3" s="1"/>
  <c r="I139" i="1"/>
  <c r="I142" i="1" s="1"/>
  <c r="H139" i="1"/>
  <c r="H142" i="1" s="1"/>
  <c r="H72" i="4" l="1"/>
  <c r="H22" i="4" s="1"/>
  <c r="H31" i="4"/>
  <c r="I21" i="4"/>
  <c r="I68" i="4"/>
  <c r="K30" i="4"/>
  <c r="J58" i="4"/>
  <c r="J59" i="4" s="1"/>
  <c r="G44" i="3"/>
  <c r="G47" i="3"/>
  <c r="G40" i="3"/>
  <c r="G22" i="3"/>
  <c r="G50" i="3"/>
  <c r="N41" i="3"/>
  <c r="H50" i="3"/>
  <c r="H44" i="3"/>
  <c r="H40" i="3"/>
  <c r="H22" i="3"/>
  <c r="H47" i="3"/>
  <c r="J49" i="3"/>
  <c r="K50" i="3"/>
  <c r="B22" i="3"/>
  <c r="B44" i="3"/>
  <c r="B47" i="3"/>
  <c r="B50" i="3"/>
  <c r="B40" i="3"/>
  <c r="H37" i="3"/>
  <c r="C50" i="3"/>
  <c r="C22" i="3"/>
  <c r="C44" i="3"/>
  <c r="C47" i="3"/>
  <c r="C40" i="3"/>
  <c r="C37" i="3"/>
  <c r="D47" i="3"/>
  <c r="D40" i="3"/>
  <c r="D50" i="3"/>
  <c r="D44" i="3"/>
  <c r="D22" i="3"/>
  <c r="E50" i="3"/>
  <c r="E47" i="3"/>
  <c r="E40" i="3"/>
  <c r="E22" i="3"/>
  <c r="E44" i="3"/>
  <c r="F50" i="3"/>
  <c r="F47" i="3"/>
  <c r="F40" i="3"/>
  <c r="F22" i="3"/>
  <c r="F44" i="3"/>
  <c r="G37" i="3"/>
  <c r="I22" i="3"/>
  <c r="I44" i="3"/>
  <c r="J22" i="3"/>
  <c r="I40" i="3"/>
  <c r="I47" i="3"/>
  <c r="J47" i="3" s="1"/>
  <c r="I37" i="3"/>
  <c r="J37" i="3" s="1"/>
  <c r="K22" i="3"/>
  <c r="M32" i="3"/>
  <c r="M31" i="3" s="1"/>
  <c r="N33" i="3"/>
  <c r="N32" i="3" s="1"/>
  <c r="L21" i="3"/>
  <c r="M28" i="3"/>
  <c r="M27" i="3" s="1"/>
  <c r="N29" i="3"/>
  <c r="N28" i="3" s="1"/>
  <c r="H124" i="1"/>
  <c r="H131" i="1" s="1"/>
  <c r="H132" i="1" s="1"/>
  <c r="I124" i="1"/>
  <c r="J70" i="4" l="1"/>
  <c r="J21" i="4" s="1"/>
  <c r="J72" i="4" s="1"/>
  <c r="L30" i="4"/>
  <c r="K58" i="4"/>
  <c r="K59" i="4" s="1"/>
  <c r="K70" i="4" s="1"/>
  <c r="K21" i="4" s="1"/>
  <c r="K72" i="4" s="1"/>
  <c r="I72" i="4"/>
  <c r="I22" i="4" s="1"/>
  <c r="I31" i="4"/>
  <c r="L50" i="3"/>
  <c r="K49" i="3"/>
  <c r="N31" i="3"/>
  <c r="L48" i="3"/>
  <c r="L38" i="3" s="1"/>
  <c r="K48" i="3"/>
  <c r="K38" i="3" s="1"/>
  <c r="K47" i="3"/>
  <c r="J45" i="3"/>
  <c r="J46" i="3" s="1"/>
  <c r="K37" i="3"/>
  <c r="J35" i="3"/>
  <c r="L22" i="3"/>
  <c r="N27" i="3"/>
  <c r="M21" i="3"/>
  <c r="I131" i="1"/>
  <c r="H92" i="1"/>
  <c r="I92" i="1"/>
  <c r="H83" i="1"/>
  <c r="I83" i="1"/>
  <c r="H58" i="1"/>
  <c r="I58" i="1"/>
  <c r="H45" i="1"/>
  <c r="H59" i="1" s="1"/>
  <c r="I45" i="1"/>
  <c r="H30" i="1"/>
  <c r="H36" i="1" s="1"/>
  <c r="I30" i="1"/>
  <c r="I36" i="1" s="1"/>
  <c r="H7" i="1"/>
  <c r="I7" i="1"/>
  <c r="H4" i="1"/>
  <c r="H10" i="1" s="1"/>
  <c r="I4" i="1"/>
  <c r="I10" i="1" s="1"/>
  <c r="M30" i="4" l="1"/>
  <c r="L58" i="4"/>
  <c r="L59" i="4" s="1"/>
  <c r="L70" i="4" s="1"/>
  <c r="L21" i="4" s="1"/>
  <c r="L72" i="4" s="1"/>
  <c r="N21" i="3"/>
  <c r="L47" i="3"/>
  <c r="K45" i="3"/>
  <c r="K46" i="3" s="1"/>
  <c r="J36" i="3"/>
  <c r="J42" i="3"/>
  <c r="L49" i="3"/>
  <c r="M50" i="3"/>
  <c r="M48" i="3" s="1"/>
  <c r="M38" i="3" s="1"/>
  <c r="L37" i="3"/>
  <c r="K35" i="3"/>
  <c r="K36" i="3" s="1"/>
  <c r="M22" i="3"/>
  <c r="N22" i="3"/>
  <c r="H12" i="1"/>
  <c r="H20" i="1" s="1"/>
  <c r="H143" i="1"/>
  <c r="I12" i="1"/>
  <c r="I20" i="1" s="1"/>
  <c r="I143" i="1"/>
  <c r="H64" i="1"/>
  <c r="H76" i="1" s="1"/>
  <c r="H94" i="1" s="1"/>
  <c r="H96" i="1" s="1"/>
  <c r="I59" i="1"/>
  <c r="I60" i="1" s="1"/>
  <c r="H60" i="1"/>
  <c r="N30" i="4" l="1"/>
  <c r="N58" i="4" s="1"/>
  <c r="N59" i="4" s="1"/>
  <c r="N70" i="4" s="1"/>
  <c r="N21" i="4" s="1"/>
  <c r="N72" i="4" s="1"/>
  <c r="M58" i="4"/>
  <c r="M59" i="4" s="1"/>
  <c r="M70" i="4" s="1"/>
  <c r="M21" i="4" s="1"/>
  <c r="M72" i="4" s="1"/>
  <c r="M49" i="3"/>
  <c r="N50" i="3"/>
  <c r="N49" i="3" s="1"/>
  <c r="M47" i="3"/>
  <c r="L45" i="3"/>
  <c r="L46" i="3" s="1"/>
  <c r="J43" i="3"/>
  <c r="J44" i="3"/>
  <c r="K42" i="3"/>
  <c r="N48" i="3"/>
  <c r="N38" i="3" s="1"/>
  <c r="M37" i="3"/>
  <c r="L35" i="3"/>
  <c r="I64" i="1"/>
  <c r="I76" i="1" s="1"/>
  <c r="I94" i="1" s="1"/>
  <c r="I95" i="1"/>
  <c r="I96" i="1" s="1"/>
  <c r="I97" i="1" s="1"/>
  <c r="H97" i="1"/>
  <c r="K44" i="3" l="1"/>
  <c r="K43" i="3"/>
  <c r="N47" i="3"/>
  <c r="M45" i="3"/>
  <c r="M46" i="3" s="1"/>
  <c r="L36" i="3"/>
  <c r="L42" i="3"/>
  <c r="N37" i="3"/>
  <c r="N35" i="3" s="1"/>
  <c r="N42" i="3" s="1"/>
  <c r="M35" i="3"/>
  <c r="H1" i="1"/>
  <c r="G1" i="1" s="1"/>
  <c r="F1" i="1" s="1"/>
  <c r="E1" i="1" s="1"/>
  <c r="D1" i="1" s="1"/>
  <c r="C1" i="1" s="1"/>
  <c r="B1" i="1" s="1"/>
  <c r="N44" i="3" l="1"/>
  <c r="N46" i="3"/>
  <c r="N45" i="3"/>
  <c r="L44" i="3"/>
  <c r="L43" i="3"/>
  <c r="M36" i="3"/>
  <c r="M42" i="3"/>
  <c r="N36" i="3"/>
  <c r="M44" i="3" l="1"/>
  <c r="M43" i="3"/>
  <c r="N43"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<sst xmlns="http://schemas.openxmlformats.org/spreadsheetml/2006/main" count="376" uniqueCount="239">
  <si>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</si>
  <si>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</si>
  <si>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</si>
  <si>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</si>
  <si>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</si>
  <si>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</si>
  <si>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</si>
  <si>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</si>
  <si>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</si>
  <si>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</si>
  <si>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</si>
  <si>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</si>
  <si>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</si>
  <si>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</si>
  <si>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</si>
  <si>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</si>
  <si>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</si>
  <si>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</si>
  <si>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</si>
  <si>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</si>
  <si>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</si>
  <si>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</si>
  <si>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</si>
  <si>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</si>
  <si>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</si>
  <si>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</si>
  <si>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</si>
  <si>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</si>
  <si>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</si>
  <si>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</si>
  <si>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</si>
  <si>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</si>
  <si>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</si>
  <si>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</si>
  <si>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</si>
  <si>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</si>
  <si>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</si>
  <si>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</si>
  <si>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</si>
  <si>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</si>
  <si>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</si>
  <si>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</si>
  <si>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</si>
  <si>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</si>
  <si>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</si>
  <si>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</si>
  <si>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</si>
  <si>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</si>
  <si>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</si>
  <si>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</si>
  <si>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</si>
  <si>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</si>
  <si>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</si>
  <si>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</si>
  <si>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</si>
  <si>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</si>
  <si>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</si>
  <si>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</si>
  <si>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</si>
  <si>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</si>
  <si>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</si>
  <si>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</si>
  <si>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</si>
  <si>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</si>
  <si>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</si>
  <si>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</si>
  <si>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</si>
  <si>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</si>
  <si>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</si>
  <si>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</si>
  <si>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</si>
  <si>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</si>
  <si>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</si>
  <si>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</si>
  <si>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</si>
  <si>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</si>
  <si>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</si>
  <si>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</si>
  <si>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</si>
  <si>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</si>
  <si>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</si>
  <si>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</si>
  <si>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</si>
  <si>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</si>
  <si>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</si>
  <si>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</si>
  <si>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</si>
  <si>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</si>
  <si>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</si>
  <si>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</si>
  <si>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</si>
  <si>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</si>
  <si>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</si>
  <si>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</si>
  <si>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</si>
  <si>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</si>
  <si>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</si>
  <si>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</si>
  <si>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</si>
  <si>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</si>
  <si>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</si>
  <si>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</si>
  <si>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</si>
  <si>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</si>
  <si>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</si>
  <si>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</si>
  <si>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</si>
  <si>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</si>
  <si>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</si>
  <si>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</si>
  <si>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</si>
  <si>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</si>
  <si>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</si>
  <si>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</si>
  <si>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</si>
  <si>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</si>
  <si>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</si>
  <si>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</si>
  <si>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</si>
  <si>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</si>
  <si>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</si>
  <si>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</si>
  <si>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</si>
  <si>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</si>
  <si>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</si>
  <si>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</si>
  <si>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</si>
  <si>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</si>
  <si>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</si>
  <si>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</si>
  <si>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</si>
  <si>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</si>
  <si>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</si>
  <si>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</si>
  <si>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</si>
  <si>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</si>
  <si>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</si>
  <si>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</si>
  <si>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</si>
  <si>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</si>
  <si>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</si>
  <si>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</si>
  <si>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</si>
  <si>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</si>
  <si>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</si>
  <si>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</si>
  <si>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</si>
  <si>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</si>
  <si>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</si>
  <si>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</si>
  <si>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</si>
  <si>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</si>
  <si>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</si>
  <si>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</si>
  <si>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</si>
  <si>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</si>
  <si>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</si>
  <si>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</si>
  <si>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</si>
  <si>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</si>
  <si>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</si>
  <si>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</si>
  <si>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</si>
  <si>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</si>
  <si>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</si>
  <si>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</si>
  <si>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</si>
  <si>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</si>
  <si>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</si>
  <si>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</si>
  <si>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</si>
  <si>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</si>
  <si>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</si>
  <si>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</si>
  <si>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</si>
  <si>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</si>
  <si>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</si>
  <si>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</si>
  <si>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</si>
  <si>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</si>
  <si>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</si>
  <si>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</si>
  <si>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</si>
  <si>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</si>
  <si>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</si>
  <si>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</si>
  <si>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</si>
  <si>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</si>
  <si>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</si>
  <si>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</si>
  <si>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</si>
  <si>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</si>
  <si>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</si>
  <si>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</si>
  <si>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</si>
  <si>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</si>
  <si>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</si>
  <si>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</si>
  <si>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</si>
  <si>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</si>
  <si>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</si>
  <si>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</si>
  <si>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</si>
  <si>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</si>
  <si>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</si>
  <si>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</si>
  <si>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</si>
  <si>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</si>
  <si>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t>
  </si>
  <si>
    <t>shares repurchased</t>
  </si>
  <si>
    <t>New share count</t>
  </si>
  <si>
    <t>Retained Earnings Adjusted</t>
  </si>
  <si>
    <t>Cash Flow (Net Change)</t>
  </si>
  <si>
    <t>Closing Cash (Balance Sheet)</t>
  </si>
  <si>
    <t>Total Assets (Balance Sheet)</t>
  </si>
  <si>
    <t>Total Liabilities &amp; Equity (Balance Sheet)</t>
  </si>
  <si>
    <t>Net Income (Income Statement)</t>
  </si>
  <si>
    <t>Retained Earnings (Balance Sheet)</t>
  </si>
  <si>
    <t>Strong revenue growth (6%) with positive cash flow from operations. Retained earnings increased due to net income exceeding dividends paid. Total assets and liabilities balanced accurately.</t>
  </si>
  <si>
    <t>Continued revenue growth at 6%. Significant increase in cash flow from operations, resulting in a strong cash balance. Retained earnings grew from net income, despite higher dividend payouts.</t>
  </si>
  <si>
    <t>Revenue growth remains steady (6%), supporting positive cash flow. Retained earnings boosted further by increasing net income, while the company's balance sheet remains well-aligned.</t>
  </si>
  <si>
    <t>Revenue growth slows to 7% from prior years. Increase in tax expenses led to reduced net income. Balance sheet adjustments made for cash flow consistency and capex alignment.</t>
  </si>
  <si>
    <t>Revenue sees moderate growth (7%), with improved cash flow from operations. Capex allocation reflects asset addition. Shareholder equity adjusted for higher dividend payouts.</t>
  </si>
  <si>
    <t>Revenue declines by 4% due to economic challenges. Operating cash flow remains positive but decreased. Retained earnings dip due to lower net income and consistent dividend payouts.</t>
  </si>
  <si>
    <t>Revenue rebounds significantly (19% growth). Cash flow from operations surges, leading to an increase in cash and equity positions. Share repurchase activity begins impacting equity.</t>
  </si>
  <si>
    <t>Revenue growth stabilizes at 5%. Strong operating cash flow supports rising retained earnings and equity balance. Share repurchases continue to reflect in equity adjustments.</t>
  </si>
  <si>
    <t>Revenue growth steady at 5%. Cash flow continues to perform well, supporting further share repurchases. Equity balance remains aligned with asset growth and shareholder returns.</t>
  </si>
  <si>
    <t>Consistent 5% revenue growth sustains cash flow and equity increases. Retained earnings remain stable despite share repurchase activity. Balance sheet fully reconciled.</t>
  </si>
  <si>
    <t>Continued revenue growth at 5%. Cash flow sustains operational and investment activities while supporting dividends and share repurchases. Balance sheet remains balanced.</t>
  </si>
  <si>
    <t>Revenue grows 5% again, with stable net income and retained earnings. Operating cash flow supports shareholder returns and capex allocations, maintaining balance sheet consistency.</t>
  </si>
  <si>
    <t>Revenue continues at 5% growth, maintaining strong cash flow and equity balance. Retained earnings increase due to consistent net income and well-managed dividend payouts.</t>
  </si>
  <si>
    <t>Buyback Amount ($M)</t>
  </si>
  <si>
    <t>Average Share Price ($)</t>
  </si>
  <si>
    <t>Shares Repurchased (M)</t>
  </si>
  <si>
    <t>Ending Share Count (M)</t>
  </si>
  <si>
    <t>EPS ($)</t>
  </si>
  <si>
    <t>Adjusted Retained Earnings ($M)</t>
  </si>
  <si>
    <t>Net Debt ($M)</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</si>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</sst>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4" fontId="0" fillId="0" borderId="0" xfId="0" applyNumberFormat="1"/>
    <xf numFmtId="165" fontId="0" fillId="0" borderId="0" xfId="3" applyNumberFormat="1" applyFont="1"/>
    <xf numFmtId="165" fontId="2" fillId="0" borderId="0" xfId="3" applyNumberFormat="1" applyFont="1"/>
    <xf numFmtId="3" fontId="2" fillId="0" borderId="0" xfId="0" applyNumberFormat="1" applyFont="1"/>
    <xf numFmtId="3" fontId="2" fillId="0" borderId="5" xfId="0" applyNumberFormat="1" applyFont="1" applyBorder="1"/>
    <xf numFmtId="0" fontId="2" fillId="0" borderId="0" xfId="0" applyFont="1" applyAlignment="1">
      <alignment horizontal="right"/>
    </xf>
    <xf numFmtId="9" fontId="0" fillId="0" borderId="0" xfId="0" applyNumberFormat="1" applyAlignment="1">
      <alignment horizontal="right"/>
    </xf>
    <xf numFmtId="10" fontId="0" fillId="0" borderId="0" xfId="0" applyNumberFormat="1" applyAlignment="1">
      <alignment horizontal="right"/>
    </xf>
    <xf numFmtId="165" fontId="5" fillId="0" borderId="0" xfId="1" applyNumberFormat="1" applyFont="1" applyBorder="1"/>
    <xf numFmtId="2" fontId="2" fillId="0" borderId="0" xfId="0" applyNumberFormat="1" applyFont="1"/>
    <xf numFmtId="3" fontId="0" fillId="0" borderId="0" xfId="0" applyNumberFormat="1" applyAlignment="1">
      <alignment vertical="center" wrapText="1"/>
    </xf>
    <xf numFmtId="0" fontId="18" fillId="0" borderId="0" xfId="0" applyFont="1" applyFill="1"/>
    <xf numFmtId="0" fontId="18" fillId="0" borderId="0" xfId="0" applyFont="1" applyFill="1" applyAlignment="1">
      <alignment horizontal="right"/>
    </xf>
    <xf numFmtId="0" fontId="0" fillId="0" borderId="0" xfId="0" applyFill="1"/>
    <xf numFmtId="0" fontId="2" fillId="0" borderId="2" xfId="0" applyFont="1" applyFill="1" applyBorder="1"/>
    <xf numFmtId="0" fontId="2" fillId="0" borderId="0" xfId="0" applyFont="1" applyFill="1"/>
    <xf numFmtId="0" fontId="0" fillId="0" borderId="0" xfId="0" applyFill="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joor\Downloads\FRANK-WISDOM%2071732707586017_Task%2013%20-%20Forecasting%20the%20Three%20Statements.xlsx" TargetMode="External"/><Relationship Id="rId1" Type="http://schemas.openxmlformats.org/officeDocument/2006/relationships/externalLinkPath" Target="FRANK-WISDOM%2071732707586017_Task%2013%20-%20Forecasting%20the%20Three%20Statement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joor\Downloads\RE-SEND%20FRANK-WISDOM%2071731951095703_Task%2011%20-%20Linking%20Cash%20Flow%20Statement.xlsx" TargetMode="External"/><Relationship Id="rId1" Type="http://schemas.openxmlformats.org/officeDocument/2006/relationships/externalLinkPath" Target="RE-SEND%20FRANK-WISDOM%2071731951095703_Task%2011%20-%20Linking%20Cash%20Flow%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sheetData sheetId="2">
        <row r="3">
          <cell r="B3">
            <v>30601</v>
          </cell>
          <cell r="C3">
            <v>32376</v>
          </cell>
          <cell r="D3">
            <v>34350</v>
          </cell>
          <cell r="E3">
            <v>36397</v>
          </cell>
          <cell r="F3">
            <v>39117</v>
          </cell>
          <cell r="G3">
            <v>37403</v>
          </cell>
          <cell r="H3">
            <v>44538</v>
          </cell>
          <cell r="I3">
            <v>46710</v>
          </cell>
          <cell r="J3">
            <v>49045.5</v>
          </cell>
          <cell r="K3">
            <v>51497.78</v>
          </cell>
          <cell r="L3">
            <v>54072.66</v>
          </cell>
          <cell r="M3">
            <v>56776.3</v>
          </cell>
          <cell r="N3">
            <v>59615.11</v>
          </cell>
        </row>
        <row r="4">
          <cell r="B4">
            <v>0.06</v>
          </cell>
          <cell r="C4">
            <v>0.06</v>
          </cell>
          <cell r="D4">
            <v>0.06</v>
          </cell>
          <cell r="E4">
            <v>7.0000000000000007E-2</v>
          </cell>
          <cell r="F4">
            <v>-0.04</v>
          </cell>
          <cell r="G4">
            <v>0.19</v>
          </cell>
          <cell r="H4">
            <v>0.05</v>
          </cell>
          <cell r="I4">
            <v>0.05</v>
          </cell>
          <cell r="J4">
            <v>0.05</v>
          </cell>
          <cell r="K4">
            <v>0.05</v>
          </cell>
          <cell r="L4">
            <v>0.05</v>
          </cell>
          <cell r="M4">
            <v>0.05</v>
          </cell>
          <cell r="N4">
            <v>0.05</v>
          </cell>
        </row>
        <row r="5">
          <cell r="B5">
            <v>7200</v>
          </cell>
          <cell r="C5">
            <v>7600</v>
          </cell>
          <cell r="D5">
            <v>8000</v>
          </cell>
          <cell r="E5">
            <v>8300</v>
          </cell>
          <cell r="F5">
            <v>8500</v>
          </cell>
          <cell r="G5">
            <v>7000</v>
          </cell>
          <cell r="H5">
            <v>9500</v>
          </cell>
          <cell r="I5">
            <v>9800</v>
          </cell>
          <cell r="J5">
            <v>10113.6</v>
          </cell>
          <cell r="K5">
            <v>10437.24</v>
          </cell>
          <cell r="L5">
            <v>10771.23</v>
          </cell>
          <cell r="M5">
            <v>11115.91</v>
          </cell>
          <cell r="N5">
            <v>11471.61</v>
          </cell>
        </row>
        <row r="8">
          <cell r="B8">
            <v>1500</v>
          </cell>
          <cell r="C8">
            <v>1600</v>
          </cell>
          <cell r="D8">
            <v>1700</v>
          </cell>
          <cell r="E8">
            <v>1800</v>
          </cell>
          <cell r="F8">
            <v>1850</v>
          </cell>
          <cell r="G8">
            <v>1750</v>
          </cell>
          <cell r="H8">
            <v>1900</v>
          </cell>
          <cell r="I8">
            <v>2000</v>
          </cell>
          <cell r="J8">
            <v>2106</v>
          </cell>
          <cell r="K8">
            <v>2217.62</v>
          </cell>
          <cell r="L8">
            <v>2335.15</v>
          </cell>
          <cell r="M8">
            <v>2458.91</v>
          </cell>
          <cell r="N8">
            <v>2589.2399999999998</v>
          </cell>
        </row>
        <row r="11">
          <cell r="B11">
            <v>4500</v>
          </cell>
          <cell r="C11">
            <v>4800</v>
          </cell>
          <cell r="D11">
            <v>5100</v>
          </cell>
          <cell r="E11">
            <v>5200</v>
          </cell>
          <cell r="F11">
            <v>5400</v>
          </cell>
          <cell r="G11">
            <v>3000</v>
          </cell>
          <cell r="H11">
            <v>6923</v>
          </cell>
          <cell r="I11">
            <v>6856</v>
          </cell>
          <cell r="J11">
            <v>6787.44</v>
          </cell>
          <cell r="K11">
            <v>6719.57</v>
          </cell>
          <cell r="L11">
            <v>6652.37</v>
          </cell>
          <cell r="M11">
            <v>6585.85</v>
          </cell>
          <cell r="N11">
            <v>6519.99</v>
          </cell>
        </row>
        <row r="12">
          <cell r="B12">
            <v>6.7000000000000004E-2</v>
          </cell>
          <cell r="C12">
            <v>6.3E-2</v>
          </cell>
          <cell r="D12">
            <v>0.02</v>
          </cell>
          <cell r="E12">
            <v>3.7999999999999999E-2</v>
          </cell>
          <cell r="F12">
            <v>-0.44400000000000001</v>
          </cell>
          <cell r="G12">
            <v>1.3069999999999999</v>
          </cell>
          <cell r="H12">
            <v>-0.01</v>
          </cell>
          <cell r="I12">
            <v>-0.01</v>
          </cell>
          <cell r="J12">
            <v>-0.01</v>
          </cell>
          <cell r="K12">
            <v>-0.01</v>
          </cell>
          <cell r="L12">
            <v>-0.01</v>
          </cell>
          <cell r="M12">
            <v>-0.01</v>
          </cell>
          <cell r="N12">
            <v>-0.01</v>
          </cell>
        </row>
        <row r="13">
          <cell r="B13">
            <v>0.14699999999999999</v>
          </cell>
          <cell r="C13">
            <v>0.15</v>
          </cell>
          <cell r="D13">
            <v>0.152</v>
          </cell>
          <cell r="E13">
            <v>0.14299999999999999</v>
          </cell>
          <cell r="F13">
            <v>0.14499999999999999</v>
          </cell>
          <cell r="G13">
            <v>0.08</v>
          </cell>
          <cell r="H13">
            <v>0.155</v>
          </cell>
          <cell r="I13">
            <v>0.14699999999999999</v>
          </cell>
          <cell r="J13">
            <v>0.14699999999999999</v>
          </cell>
          <cell r="K13">
            <v>0.14699999999999999</v>
          </cell>
          <cell r="L13">
            <v>0.14699999999999999</v>
          </cell>
          <cell r="M13">
            <v>0.14699999999999999</v>
          </cell>
          <cell r="N13">
            <v>0.14699999999999999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5">
          <cell r="B15">
            <v>1.85</v>
          </cell>
          <cell r="C15">
            <v>2.16</v>
          </cell>
          <cell r="D15">
            <v>2.5099999999999998</v>
          </cell>
          <cell r="E15">
            <v>1.17</v>
          </cell>
          <cell r="F15">
            <v>2.4900000000000002</v>
          </cell>
          <cell r="G15">
            <v>1.6</v>
          </cell>
          <cell r="H15">
            <v>3.56</v>
          </cell>
          <cell r="I15">
            <v>3.75</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2996</v>
          </cell>
          <cell r="C31">
            <v>3451</v>
          </cell>
          <cell r="D31">
            <v>3975</v>
          </cell>
          <cell r="E31">
            <v>4454</v>
          </cell>
          <cell r="F31">
            <v>4744</v>
          </cell>
          <cell r="G31">
            <v>4866</v>
          </cell>
          <cell r="H31">
            <v>4904</v>
          </cell>
          <cell r="I31">
            <v>4791</v>
          </cell>
        </row>
        <row r="32">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cell r="C42"/>
          <cell r="D42"/>
          <cell r="E42"/>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0</v>
          </cell>
          <cell r="E46">
            <v>0</v>
          </cell>
          <cell r="F46">
            <v>3464</v>
          </cell>
          <cell r="G46">
            <v>9406</v>
          </cell>
          <cell r="H46">
            <v>9413</v>
          </cell>
          <cell r="I46">
            <v>8920</v>
          </cell>
        </row>
        <row r="47">
          <cell r="D47">
            <v>3471</v>
          </cell>
          <cell r="E47">
            <v>3468</v>
          </cell>
          <cell r="G47">
            <v>2913</v>
          </cell>
          <cell r="H47">
            <v>2931</v>
          </cell>
          <cell r="I47">
            <v>2777</v>
          </cell>
        </row>
        <row r="48">
          <cell r="B48">
            <v>1479</v>
          </cell>
          <cell r="C48">
            <v>1770</v>
          </cell>
          <cell r="D48">
            <v>1907</v>
          </cell>
          <cell r="E48">
            <v>3216</v>
          </cell>
          <cell r="F48">
            <v>0</v>
          </cell>
          <cell r="G48">
            <v>2684</v>
          </cell>
          <cell r="H48">
            <v>2955</v>
          </cell>
          <cell r="I48">
            <v>2613</v>
          </cell>
        </row>
        <row r="54">
          <cell r="B54">
            <v>3</v>
          </cell>
          <cell r="C54">
            <v>3</v>
          </cell>
          <cell r="D54">
            <v>3</v>
          </cell>
          <cell r="E54">
            <v>3</v>
          </cell>
          <cell r="F54">
            <v>3</v>
          </cell>
          <cell r="G54">
            <v>3</v>
          </cell>
          <cell r="H54">
            <v>3</v>
          </cell>
          <cell r="I54">
            <v>3</v>
          </cell>
        </row>
        <row r="56">
          <cell r="B56">
            <v>1246</v>
          </cell>
          <cell r="C56">
            <v>318</v>
          </cell>
          <cell r="D56">
            <v>-213</v>
          </cell>
          <cell r="E56">
            <v>-92</v>
          </cell>
          <cell r="F56">
            <v>231</v>
          </cell>
          <cell r="G56">
            <v>-56</v>
          </cell>
          <cell r="H56">
            <v>-380</v>
          </cell>
          <cell r="I56">
            <v>318</v>
          </cell>
        </row>
        <row r="58">
          <cell r="B58">
            <v>12707</v>
          </cell>
          <cell r="C58">
            <v>12258</v>
          </cell>
          <cell r="D58">
            <v>12407</v>
          </cell>
          <cell r="E58">
            <v>9812</v>
          </cell>
          <cell r="F58">
            <v>9040</v>
          </cell>
          <cell r="G58">
            <v>8055</v>
          </cell>
          <cell r="H58">
            <v>12767</v>
          </cell>
          <cell r="I58">
            <v>15281</v>
          </cell>
        </row>
        <row r="70">
          <cell r="B70">
            <v>424</v>
          </cell>
          <cell r="C70">
            <v>98</v>
          </cell>
          <cell r="D70">
            <v>-117</v>
          </cell>
          <cell r="E70">
            <v>-99</v>
          </cell>
          <cell r="F70">
            <v>233</v>
          </cell>
          <cell r="G70">
            <v>23</v>
          </cell>
          <cell r="H70">
            <v>-138</v>
          </cell>
          <cell r="I70">
            <v>-26</v>
          </cell>
        </row>
        <row r="72">
          <cell r="C72">
            <v>60</v>
          </cell>
          <cell r="D72">
            <v>-426</v>
          </cell>
          <cell r="E72">
            <v>187</v>
          </cell>
          <cell r="F72">
            <v>-270</v>
          </cell>
          <cell r="G72">
            <v>1239</v>
          </cell>
          <cell r="H72">
            <v>-1606</v>
          </cell>
          <cell r="I72">
            <v>-504</v>
          </cell>
        </row>
        <row r="73">
          <cell r="C73">
            <v>-590</v>
          </cell>
          <cell r="D73">
            <v>-231</v>
          </cell>
          <cell r="E73">
            <v>-255</v>
          </cell>
          <cell r="F73">
            <v>-490</v>
          </cell>
          <cell r="G73">
            <v>-1854</v>
          </cell>
          <cell r="H73">
            <v>507</v>
          </cell>
          <cell r="I73">
            <v>-1676</v>
          </cell>
        </row>
        <row r="74">
          <cell r="C74">
            <v>-161</v>
          </cell>
          <cell r="D74">
            <v>-120</v>
          </cell>
          <cell r="E74">
            <v>35</v>
          </cell>
          <cell r="F74">
            <v>-203</v>
          </cell>
          <cell r="G74">
            <v>-654</v>
          </cell>
          <cell r="H74">
            <v>-182</v>
          </cell>
          <cell r="I74">
            <v>-845</v>
          </cell>
        </row>
        <row r="75">
          <cell r="C75">
            <v>-586</v>
          </cell>
          <cell r="D75">
            <v>-158</v>
          </cell>
          <cell r="E75">
            <v>1515</v>
          </cell>
          <cell r="F75">
            <v>1525</v>
          </cell>
          <cell r="G75">
            <v>24</v>
          </cell>
          <cell r="H75">
            <v>1326</v>
          </cell>
          <cell r="I75">
            <v>1365</v>
          </cell>
        </row>
        <row r="81">
          <cell r="B81">
            <v>-963</v>
          </cell>
          <cell r="C81">
            <v>-1143</v>
          </cell>
          <cell r="D81">
            <v>-1105</v>
          </cell>
          <cell r="E81">
            <v>-1028</v>
          </cell>
          <cell r="F81">
            <v>-1119</v>
          </cell>
          <cell r="G81">
            <v>-1086</v>
          </cell>
          <cell r="H81">
            <v>-695</v>
          </cell>
          <cell r="I81">
            <v>-758</v>
          </cell>
        </row>
        <row r="85">
          <cell r="B85">
            <v>0</v>
          </cell>
          <cell r="C85">
            <v>981</v>
          </cell>
          <cell r="D85">
            <v>1482</v>
          </cell>
          <cell r="E85">
            <v>0</v>
          </cell>
          <cell r="F85">
            <v>0</v>
          </cell>
          <cell r="G85">
            <v>0</v>
          </cell>
          <cell r="H85">
            <v>0</v>
          </cell>
          <cell r="I85">
            <v>0</v>
          </cell>
        </row>
        <row r="88">
          <cell r="B88">
            <v>514</v>
          </cell>
          <cell r="C88">
            <v>507</v>
          </cell>
          <cell r="D88">
            <v>0</v>
          </cell>
          <cell r="E88">
            <v>733</v>
          </cell>
          <cell r="F88">
            <v>700</v>
          </cell>
          <cell r="G88">
            <v>885</v>
          </cell>
          <cell r="H88">
            <v>1172</v>
          </cell>
          <cell r="I88">
            <v>1151</v>
          </cell>
        </row>
        <row r="89">
          <cell r="B89">
            <v>-2534</v>
          </cell>
          <cell r="C89">
            <v>-3238</v>
          </cell>
          <cell r="D89">
            <v>-3223</v>
          </cell>
          <cell r="E89">
            <v>-4254</v>
          </cell>
          <cell r="F89">
            <v>-4286</v>
          </cell>
          <cell r="G89">
            <v>-3067</v>
          </cell>
          <cell r="H89">
            <v>-608</v>
          </cell>
          <cell r="I89">
            <v>-4014</v>
          </cell>
        </row>
        <row r="90">
          <cell r="B90">
            <v>-899</v>
          </cell>
          <cell r="C90">
            <v>-1022</v>
          </cell>
          <cell r="D90">
            <v>-1133</v>
          </cell>
          <cell r="E90">
            <v>-1243</v>
          </cell>
          <cell r="F90">
            <v>-1332</v>
          </cell>
          <cell r="G90">
            <v>-1452</v>
          </cell>
          <cell r="H90">
            <v>-1638</v>
          </cell>
          <cell r="I90">
            <v>-1837</v>
          </cell>
        </row>
        <row r="91">
          <cell r="C91"/>
          <cell r="D91"/>
          <cell r="E91">
            <v>-84</v>
          </cell>
          <cell r="F91">
            <v>-50</v>
          </cell>
          <cell r="G91">
            <v>-58</v>
          </cell>
          <cell r="H91">
            <v>-136</v>
          </cell>
          <cell r="I91">
            <v>-151</v>
          </cell>
        </row>
        <row r="95">
          <cell r="B95">
            <v>2220</v>
          </cell>
          <cell r="C95">
            <v>3852</v>
          </cell>
          <cell r="D95">
            <v>3138</v>
          </cell>
          <cell r="E95">
            <v>3808</v>
          </cell>
          <cell r="F95">
            <v>4249</v>
          </cell>
          <cell r="G95">
            <v>4466</v>
          </cell>
          <cell r="H95">
            <v>8348</v>
          </cell>
          <cell r="I95">
            <v>9889</v>
          </cell>
        </row>
        <row r="100">
          <cell r="B100">
            <v>53</v>
          </cell>
          <cell r="C100">
            <v>70</v>
          </cell>
          <cell r="D100">
            <v>98</v>
          </cell>
          <cell r="E100">
            <v>125</v>
          </cell>
          <cell r="F100">
            <v>153</v>
          </cell>
          <cell r="G100">
            <v>140</v>
          </cell>
          <cell r="H100">
            <v>293</v>
          </cell>
          <cell r="I100">
            <v>290</v>
          </cell>
        </row>
      </sheetData>
      <sheetData sheetId="2">
        <row r="8">
          <cell r="B8">
            <v>1500</v>
          </cell>
          <cell r="C8">
            <v>1600</v>
          </cell>
          <cell r="D8">
            <v>1700</v>
          </cell>
          <cell r="E8">
            <v>1800</v>
          </cell>
          <cell r="F8">
            <v>1850</v>
          </cell>
          <cell r="G8">
            <v>1750</v>
          </cell>
          <cell r="H8">
            <v>1900</v>
          </cell>
          <cell r="I8">
            <v>2000</v>
          </cell>
        </row>
        <row r="11">
          <cell r="B11">
            <v>4500</v>
          </cell>
          <cell r="C11">
            <v>4800</v>
          </cell>
          <cell r="D11">
            <v>5100</v>
          </cell>
          <cell r="E11">
            <v>5200</v>
          </cell>
          <cell r="F11">
            <v>5400</v>
          </cell>
          <cell r="G11">
            <v>3000</v>
          </cell>
          <cell r="H11">
            <v>6923</v>
          </cell>
          <cell r="I11">
            <v>6856</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120" workbookViewId="0">
      <selection activeCell="A15" sqref="A15"/>
    </sheetView>
  </sheetViews>
  <sheetFormatPr defaultRowHeight="14.4" x14ac:dyDescent="0.3"/>
  <cols>
    <col min="1" max="1" width="176.109375" style="19" customWidth="1"/>
  </cols>
  <sheetData>
    <row r="1" spans="1:1" ht="23.4" x14ac:dyDescent="0.45">
      <c r="A1" s="18" t="s">
        <v>20</v>
      </c>
    </row>
    <row r="2" spans="1:1" x14ac:dyDescent="0.3">
      <c r="A2" s="1" t="s">
        <v>197</v>
      </c>
    </row>
    <row r="3" spans="1:1" x14ac:dyDescent="0.3">
      <c r="A3" t="s">
        <v>198</v>
      </c>
    </row>
    <row r="4" spans="1:1" x14ac:dyDescent="0.3">
      <c r="A4" t="s">
        <v>199</v>
      </c>
    </row>
    <row r="5" spans="1:1" x14ac:dyDescent="0.3">
      <c r="A5" t="s">
        <v>200</v>
      </c>
    </row>
    <row r="6" spans="1:1" x14ac:dyDescent="0.3">
      <c r="A6" t="s">
        <v>201</v>
      </c>
    </row>
    <row r="7" spans="1:1" x14ac:dyDescent="0.3">
      <c r="A7" t="s">
        <v>206</v>
      </c>
    </row>
    <row r="8" spans="1:1" x14ac:dyDescent="0.3">
      <c r="A8" s="2" t="s">
        <v>202</v>
      </c>
    </row>
    <row r="9" spans="1:1" x14ac:dyDescent="0.3">
      <c r="A9" t="s">
        <v>203</v>
      </c>
    </row>
    <row r="10" spans="1:1" x14ac:dyDescent="0.3">
      <c r="A10"/>
    </row>
    <row r="11" spans="1:1" x14ac:dyDescent="0.3">
      <c r="A11" t="s">
        <v>204</v>
      </c>
    </row>
    <row r="12" spans="1:1" x14ac:dyDescent="0.3">
      <c r="A12" t="s">
        <v>207</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activeCell="A207" sqref="A20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8">
        <v>30601</v>
      </c>
      <c r="C2" s="8">
        <v>32376</v>
      </c>
      <c r="D2" s="8">
        <v>34350</v>
      </c>
      <c r="E2" s="8">
        <v>36397</v>
      </c>
      <c r="F2" s="8">
        <v>39117</v>
      </c>
      <c r="G2" s="8">
        <v>37403</v>
      </c>
      <c r="H2" s="3">
        <v>44538</v>
      </c>
      <c r="I2" s="3">
        <v>46710</v>
      </c>
    </row>
    <row r="3" spans="1:9" x14ac:dyDescent="0.3">
      <c r="A3" s="22" t="s">
        <v>28</v>
      </c>
      <c r="B3" s="8">
        <v>16534</v>
      </c>
      <c r="C3" s="8">
        <v>17405</v>
      </c>
      <c r="D3" s="8">
        <v>19038</v>
      </c>
      <c r="E3" s="8">
        <v>20441</v>
      </c>
      <c r="F3" s="8">
        <v>21643</v>
      </c>
      <c r="G3" s="8">
        <v>21162</v>
      </c>
      <c r="H3" s="23">
        <v>24576</v>
      </c>
      <c r="I3" s="23">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21</v>
      </c>
      <c r="B5" s="8">
        <v>3213</v>
      </c>
      <c r="C5" s="8">
        <v>3278</v>
      </c>
      <c r="D5" s="8">
        <v>3341</v>
      </c>
      <c r="E5" s="8">
        <v>3577</v>
      </c>
      <c r="F5" s="8">
        <v>3753</v>
      </c>
      <c r="G5" s="8">
        <v>3592</v>
      </c>
      <c r="H5" s="3">
        <v>3114</v>
      </c>
      <c r="I5" s="3">
        <v>3850</v>
      </c>
    </row>
    <row r="6" spans="1:9" x14ac:dyDescent="0.3">
      <c r="A6" s="11" t="s">
        <v>22</v>
      </c>
      <c r="B6" s="8">
        <v>6679</v>
      </c>
      <c r="C6" s="8">
        <v>7191</v>
      </c>
      <c r="D6" s="8">
        <v>7222</v>
      </c>
      <c r="E6" s="8">
        <v>7934</v>
      </c>
      <c r="F6" s="8">
        <v>8949</v>
      </c>
      <c r="G6" s="8">
        <v>9534</v>
      </c>
      <c r="H6" s="3">
        <v>9911</v>
      </c>
      <c r="I6" s="3">
        <v>10954</v>
      </c>
    </row>
    <row r="7" spans="1:9" x14ac:dyDescent="0.3">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3">
      <c r="A8" s="2" t="s">
        <v>24</v>
      </c>
      <c r="B8">
        <v>28</v>
      </c>
      <c r="C8">
        <v>19</v>
      </c>
      <c r="D8">
        <v>59</v>
      </c>
      <c r="E8">
        <v>54</v>
      </c>
      <c r="F8">
        <v>49</v>
      </c>
      <c r="G8">
        <v>89</v>
      </c>
      <c r="H8" s="3">
        <v>262</v>
      </c>
      <c r="I8" s="3">
        <v>205</v>
      </c>
    </row>
    <row r="9" spans="1:9" x14ac:dyDescent="0.3">
      <c r="A9" s="2" t="s">
        <v>5</v>
      </c>
      <c r="B9">
        <v>-58</v>
      </c>
      <c r="C9">
        <v>-140</v>
      </c>
      <c r="D9">
        <v>-196</v>
      </c>
      <c r="E9">
        <v>66</v>
      </c>
      <c r="F9">
        <v>-78</v>
      </c>
      <c r="G9">
        <v>139</v>
      </c>
      <c r="H9" s="3">
        <v>14</v>
      </c>
      <c r="I9" s="3">
        <v>-181</v>
      </c>
    </row>
    <row r="10" spans="1:9" x14ac:dyDescent="0.3">
      <c r="A10" s="4" t="s">
        <v>25</v>
      </c>
      <c r="B10" s="5">
        <v>6689</v>
      </c>
      <c r="C10" s="5">
        <v>7178</v>
      </c>
      <c r="D10" s="5">
        <v>7250</v>
      </c>
      <c r="E10" s="5">
        <v>7383</v>
      </c>
      <c r="F10" s="5">
        <v>8207</v>
      </c>
      <c r="G10" s="5">
        <v>6392</v>
      </c>
      <c r="H10" s="5">
        <f t="shared" ref="H10" si="5">+H4-H7-H8-H9</f>
        <v>6661</v>
      </c>
      <c r="I10" s="5">
        <f>+I4-I7-I8-I9</f>
        <v>6651</v>
      </c>
    </row>
    <row r="11" spans="1:9" x14ac:dyDescent="0.3">
      <c r="A11" s="2" t="s">
        <v>26</v>
      </c>
      <c r="B11">
        <v>932</v>
      </c>
      <c r="C11">
        <v>863</v>
      </c>
      <c r="D11">
        <v>646</v>
      </c>
      <c r="E11" s="8">
        <v>2392</v>
      </c>
      <c r="F11">
        <v>772</v>
      </c>
      <c r="G11">
        <v>348</v>
      </c>
      <c r="H11" s="3">
        <v>934</v>
      </c>
      <c r="I11" s="3">
        <v>605</v>
      </c>
    </row>
    <row r="12" spans="1:9" ht="15" thickBot="1" x14ac:dyDescent="0.35">
      <c r="A12" s="6" t="s">
        <v>29</v>
      </c>
      <c r="B12" s="7">
        <f t="shared" ref="B12:G12" si="6">+B10-B11</f>
        <v>5757</v>
      </c>
      <c r="C12" s="7">
        <f>+C10-C11</f>
        <v>6315</v>
      </c>
      <c r="D12" s="7">
        <f t="shared" si="6"/>
        <v>6604</v>
      </c>
      <c r="E12" s="7">
        <f t="shared" si="6"/>
        <v>4991</v>
      </c>
      <c r="F12" s="7">
        <f t="shared" si="6"/>
        <v>7435</v>
      </c>
      <c r="G12" s="7">
        <f t="shared" si="6"/>
        <v>6044</v>
      </c>
      <c r="H12" s="7">
        <f t="shared" ref="H12" si="7">+H10-H11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C17" s="63">
        <v>1697.9</v>
      </c>
      <c r="D17" s="63">
        <v>1657.8</v>
      </c>
      <c r="E17" s="63">
        <v>1623.8</v>
      </c>
      <c r="F17" s="63">
        <v>1579.7</v>
      </c>
      <c r="G17" s="63">
        <v>1558.8</v>
      </c>
      <c r="H17" s="8">
        <v>1573</v>
      </c>
      <c r="I17" s="8">
        <v>1578.8</v>
      </c>
    </row>
    <row r="18" spans="1:9" x14ac:dyDescent="0.3">
      <c r="A18" s="2" t="s">
        <v>7</v>
      </c>
      <c r="C18" s="63">
        <v>1742.5</v>
      </c>
      <c r="D18" s="63">
        <v>1692</v>
      </c>
      <c r="E18" s="63">
        <v>1659.1</v>
      </c>
      <c r="F18" s="63">
        <v>1618.4</v>
      </c>
      <c r="G18" s="63">
        <v>1591.6</v>
      </c>
      <c r="H18" s="8">
        <v>1609.4</v>
      </c>
      <c r="I18" s="8">
        <v>1610.8</v>
      </c>
    </row>
    <row r="20" spans="1:9" s="12" customFormat="1" x14ac:dyDescent="0.3">
      <c r="A20" s="12" t="s">
        <v>2</v>
      </c>
      <c r="B20" s="13">
        <v>0</v>
      </c>
      <c r="C20" s="13">
        <v>0</v>
      </c>
      <c r="D20" s="13">
        <v>0</v>
      </c>
      <c r="E20" s="13">
        <v>0</v>
      </c>
      <c r="F20" s="13">
        <v>0</v>
      </c>
      <c r="G20" s="13">
        <v>0</v>
      </c>
      <c r="H20" s="13">
        <f t="shared" ref="H20" si="8">+ROUND(((H12/H18)-H15),2)</f>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8">
        <v>3852</v>
      </c>
      <c r="C25" s="8">
        <v>3138</v>
      </c>
      <c r="D25" s="8">
        <v>3808</v>
      </c>
      <c r="E25" s="8">
        <v>4249</v>
      </c>
      <c r="F25" s="8">
        <v>4466</v>
      </c>
      <c r="G25" s="8">
        <v>8348</v>
      </c>
      <c r="H25" s="3">
        <v>9889</v>
      </c>
      <c r="I25" s="3">
        <v>8574</v>
      </c>
    </row>
    <row r="26" spans="1:9" x14ac:dyDescent="0.3">
      <c r="A26" s="11" t="s">
        <v>33</v>
      </c>
      <c r="B26" s="8">
        <v>2072</v>
      </c>
      <c r="C26" s="8">
        <v>2319</v>
      </c>
      <c r="D26" s="8">
        <v>2371</v>
      </c>
      <c r="E26">
        <v>996</v>
      </c>
      <c r="F26">
        <v>197</v>
      </c>
      <c r="G26">
        <v>439</v>
      </c>
      <c r="H26" s="3">
        <v>3587</v>
      </c>
      <c r="I26" s="3">
        <v>4423</v>
      </c>
    </row>
    <row r="27" spans="1:9" x14ac:dyDescent="0.3">
      <c r="A27" s="11" t="s">
        <v>34</v>
      </c>
      <c r="B27" s="8">
        <v>3358</v>
      </c>
      <c r="C27" s="8">
        <v>3241</v>
      </c>
      <c r="D27" s="8">
        <v>3677</v>
      </c>
      <c r="E27" s="8">
        <v>3498</v>
      </c>
      <c r="F27" s="8">
        <v>4272</v>
      </c>
      <c r="G27" s="8">
        <v>2749</v>
      </c>
      <c r="H27" s="3">
        <v>4463</v>
      </c>
      <c r="I27" s="3">
        <v>4667</v>
      </c>
    </row>
    <row r="28" spans="1:9" x14ac:dyDescent="0.3">
      <c r="A28" s="11" t="s">
        <v>35</v>
      </c>
      <c r="B28" s="8">
        <v>4337</v>
      </c>
      <c r="C28" s="8">
        <v>4838</v>
      </c>
      <c r="D28" s="8">
        <v>5055</v>
      </c>
      <c r="E28" s="8">
        <v>5261</v>
      </c>
      <c r="F28" s="8">
        <v>5622</v>
      </c>
      <c r="G28" s="8">
        <v>7367</v>
      </c>
      <c r="H28" s="3">
        <v>6854</v>
      </c>
      <c r="I28" s="3">
        <v>8420</v>
      </c>
    </row>
    <row r="29" spans="1:9" x14ac:dyDescent="0.3">
      <c r="A29" s="11" t="s">
        <v>36</v>
      </c>
      <c r="B29" s="8">
        <v>1968</v>
      </c>
      <c r="C29" s="8">
        <v>1489</v>
      </c>
      <c r="D29" s="8">
        <v>1150</v>
      </c>
      <c r="E29" s="8">
        <v>1130</v>
      </c>
      <c r="F29" s="8">
        <v>1968</v>
      </c>
      <c r="G29" s="8">
        <v>1653</v>
      </c>
      <c r="H29" s="3">
        <v>1498</v>
      </c>
      <c r="I29" s="3">
        <v>2129</v>
      </c>
    </row>
    <row r="30" spans="1:9" x14ac:dyDescent="0.3">
      <c r="A30" s="4" t="s">
        <v>10</v>
      </c>
      <c r="B30" s="5">
        <f t="shared" ref="B30:G30" si="9">+SUM(B25:B29)</f>
        <v>15587</v>
      </c>
      <c r="C30" s="5">
        <f t="shared" si="9"/>
        <v>15025</v>
      </c>
      <c r="D30" s="5">
        <f t="shared" si="9"/>
        <v>16061</v>
      </c>
      <c r="E30" s="5">
        <f t="shared" si="9"/>
        <v>15134</v>
      </c>
      <c r="F30" s="5">
        <f t="shared" si="9"/>
        <v>16525</v>
      </c>
      <c r="G30" s="5">
        <f t="shared" si="9"/>
        <v>20556</v>
      </c>
      <c r="H30" s="5">
        <f t="shared" ref="H30" si="10">+SUM(H25:H29)</f>
        <v>26291</v>
      </c>
      <c r="I30" s="5">
        <f>+SUM(I25:I29)</f>
        <v>28213</v>
      </c>
    </row>
    <row r="31" spans="1:9" x14ac:dyDescent="0.3">
      <c r="A31" s="2" t="s">
        <v>37</v>
      </c>
      <c r="B31" s="8">
        <v>2996</v>
      </c>
      <c r="C31" s="8">
        <v>3451</v>
      </c>
      <c r="D31" s="8">
        <v>3975</v>
      </c>
      <c r="E31" s="8">
        <v>4454</v>
      </c>
      <c r="F31" s="8">
        <v>4744</v>
      </c>
      <c r="G31" s="8">
        <v>4866</v>
      </c>
      <c r="H31" s="3">
        <v>4904</v>
      </c>
      <c r="I31" s="3">
        <v>4791</v>
      </c>
    </row>
    <row r="32" spans="1:9" x14ac:dyDescent="0.3">
      <c r="A32" s="2" t="s">
        <v>38</v>
      </c>
      <c r="F32" t="s">
        <v>208</v>
      </c>
      <c r="G32" s="8">
        <v>3097</v>
      </c>
      <c r="H32" s="3">
        <v>3113</v>
      </c>
      <c r="I32" s="3">
        <v>2926</v>
      </c>
    </row>
    <row r="33" spans="1:9" x14ac:dyDescent="0.3">
      <c r="A33" s="2" t="s">
        <v>39</v>
      </c>
      <c r="B33">
        <v>281</v>
      </c>
      <c r="C33">
        <v>281</v>
      </c>
      <c r="D33">
        <v>283</v>
      </c>
      <c r="E33">
        <v>285</v>
      </c>
      <c r="F33">
        <v>283</v>
      </c>
      <c r="G33">
        <v>274</v>
      </c>
      <c r="H33" s="3">
        <v>269</v>
      </c>
      <c r="I33" s="3">
        <v>286</v>
      </c>
    </row>
    <row r="34" spans="1:9" x14ac:dyDescent="0.3">
      <c r="A34" s="2" t="s">
        <v>40</v>
      </c>
      <c r="B34">
        <v>131</v>
      </c>
      <c r="C34">
        <v>131</v>
      </c>
      <c r="D34">
        <v>139</v>
      </c>
      <c r="E34">
        <v>154</v>
      </c>
      <c r="F34">
        <v>154</v>
      </c>
      <c r="G34">
        <v>223</v>
      </c>
      <c r="H34" s="3">
        <v>242</v>
      </c>
      <c r="I34" s="3">
        <v>284</v>
      </c>
    </row>
    <row r="35" spans="1:9" x14ac:dyDescent="0.3">
      <c r="A35" s="2" t="s">
        <v>41</v>
      </c>
      <c r="B35" s="8">
        <v>2587</v>
      </c>
      <c r="C35" s="8">
        <v>2439</v>
      </c>
      <c r="D35" s="8">
        <v>2787</v>
      </c>
      <c r="E35" s="8">
        <v>2509</v>
      </c>
      <c r="F35" s="8">
        <v>2011</v>
      </c>
      <c r="G35" s="8">
        <v>2326</v>
      </c>
      <c r="H35" s="3">
        <v>2921</v>
      </c>
      <c r="I35" s="3">
        <v>3821</v>
      </c>
    </row>
    <row r="36" spans="1:9" ht="15" thickBot="1" x14ac:dyDescent="0.35">
      <c r="A36" s="6" t="s">
        <v>42</v>
      </c>
      <c r="B36" s="7">
        <f t="shared" ref="B36:G36" si="11">+SUM(B30:B35)</f>
        <v>21582</v>
      </c>
      <c r="C36" s="7">
        <f t="shared" si="11"/>
        <v>21327</v>
      </c>
      <c r="D36" s="7">
        <f t="shared" si="11"/>
        <v>23245</v>
      </c>
      <c r="E36" s="7">
        <f t="shared" si="11"/>
        <v>22536</v>
      </c>
      <c r="F36" s="7">
        <f t="shared" si="11"/>
        <v>23717</v>
      </c>
      <c r="G36" s="7">
        <f t="shared" si="11"/>
        <v>31342</v>
      </c>
      <c r="H36" s="7">
        <f t="shared" ref="H36" si="12">+SUM(H30:H35)</f>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v>107</v>
      </c>
      <c r="C39">
        <v>44</v>
      </c>
      <c r="D39">
        <v>6</v>
      </c>
      <c r="E39">
        <v>6</v>
      </c>
      <c r="F39">
        <v>6</v>
      </c>
      <c r="G39">
        <v>3</v>
      </c>
      <c r="H39" s="3">
        <v>0</v>
      </c>
      <c r="I39" s="3">
        <v>500</v>
      </c>
    </row>
    <row r="40" spans="1:9" x14ac:dyDescent="0.3">
      <c r="A40" s="11" t="s">
        <v>46</v>
      </c>
      <c r="B40">
        <v>74</v>
      </c>
      <c r="C40">
        <v>1</v>
      </c>
      <c r="D40">
        <v>325</v>
      </c>
      <c r="E40">
        <v>336</v>
      </c>
      <c r="F40">
        <v>9</v>
      </c>
      <c r="G40">
        <v>248</v>
      </c>
      <c r="H40" s="3">
        <v>2</v>
      </c>
      <c r="I40" s="3">
        <v>10</v>
      </c>
    </row>
    <row r="41" spans="1:9" x14ac:dyDescent="0.3">
      <c r="A41" s="11" t="s">
        <v>11</v>
      </c>
      <c r="B41" s="8">
        <v>2131</v>
      </c>
      <c r="C41" s="8">
        <v>2191</v>
      </c>
      <c r="D41" s="8">
        <v>2048</v>
      </c>
      <c r="E41" s="8">
        <v>2279</v>
      </c>
      <c r="F41" s="8">
        <v>2612</v>
      </c>
      <c r="G41" s="8">
        <v>2248</v>
      </c>
      <c r="H41" s="3">
        <v>2836</v>
      </c>
      <c r="I41" s="3">
        <v>3358</v>
      </c>
    </row>
    <row r="42" spans="1:9" x14ac:dyDescent="0.3">
      <c r="A42" s="11" t="s">
        <v>47</v>
      </c>
      <c r="B42" s="64"/>
      <c r="C42" s="64"/>
      <c r="D42" s="64"/>
      <c r="E42" s="64"/>
      <c r="F42">
        <v>0</v>
      </c>
      <c r="G42">
        <v>445</v>
      </c>
      <c r="H42" s="3">
        <v>467</v>
      </c>
      <c r="I42" s="3">
        <v>420</v>
      </c>
    </row>
    <row r="43" spans="1:9" x14ac:dyDescent="0.3">
      <c r="A43" s="11" t="s">
        <v>12</v>
      </c>
      <c r="B43" s="8">
        <v>3949</v>
      </c>
      <c r="C43" s="8">
        <v>3037</v>
      </c>
      <c r="D43" s="8">
        <v>3011</v>
      </c>
      <c r="E43" s="8">
        <v>3269</v>
      </c>
      <c r="F43" s="8">
        <v>5010</v>
      </c>
      <c r="G43" s="8">
        <v>5184</v>
      </c>
      <c r="H43" s="3">
        <v>6063</v>
      </c>
      <c r="I43" s="3">
        <v>6220</v>
      </c>
    </row>
    <row r="44" spans="1:9" x14ac:dyDescent="0.3">
      <c r="A44" s="11" t="s">
        <v>48</v>
      </c>
      <c r="B44">
        <v>71</v>
      </c>
      <c r="C44">
        <v>85</v>
      </c>
      <c r="D44">
        <v>84</v>
      </c>
      <c r="E44">
        <v>150</v>
      </c>
      <c r="F44">
        <v>229</v>
      </c>
      <c r="G44">
        <v>156</v>
      </c>
      <c r="H44" s="3">
        <v>306</v>
      </c>
      <c r="I44" s="3">
        <v>222</v>
      </c>
    </row>
    <row r="45" spans="1:9" x14ac:dyDescent="0.3">
      <c r="A45" s="4" t="s">
        <v>13</v>
      </c>
      <c r="B45" s="5">
        <f t="shared" ref="B45:G45" si="13">+SUM(B39:B44)</f>
        <v>6332</v>
      </c>
      <c r="C45" s="5">
        <f t="shared" si="13"/>
        <v>5358</v>
      </c>
      <c r="D45" s="5">
        <f t="shared" si="13"/>
        <v>5474</v>
      </c>
      <c r="E45" s="5">
        <f t="shared" si="13"/>
        <v>6040</v>
      </c>
      <c r="F45" s="5">
        <f t="shared" si="13"/>
        <v>7866</v>
      </c>
      <c r="G45" s="5">
        <f t="shared" si="13"/>
        <v>8284</v>
      </c>
      <c r="H45" s="5">
        <f t="shared" ref="H45" si="14">+SUM(H39:H44)</f>
        <v>9674</v>
      </c>
      <c r="I45" s="5">
        <f>+SUM(I39:I44)</f>
        <v>10730</v>
      </c>
    </row>
    <row r="46" spans="1:9" x14ac:dyDescent="0.3">
      <c r="A46" s="2" t="s">
        <v>49</v>
      </c>
      <c r="B46" s="8">
        <v>1079</v>
      </c>
      <c r="C46" s="8">
        <v>2010</v>
      </c>
      <c r="D46">
        <v>0</v>
      </c>
      <c r="E46">
        <v>0</v>
      </c>
      <c r="F46" s="8">
        <v>3464</v>
      </c>
      <c r="G46" s="8">
        <v>9406</v>
      </c>
      <c r="H46" s="3">
        <v>9413</v>
      </c>
      <c r="I46" s="3">
        <v>8920</v>
      </c>
    </row>
    <row r="47" spans="1:9" x14ac:dyDescent="0.3">
      <c r="A47" s="2" t="s">
        <v>50</v>
      </c>
      <c r="B47" t="s">
        <v>208</v>
      </c>
      <c r="C47" t="s">
        <v>208</v>
      </c>
      <c r="D47" s="8">
        <v>3471</v>
      </c>
      <c r="E47" s="8">
        <v>3468</v>
      </c>
      <c r="F47" t="s">
        <v>208</v>
      </c>
      <c r="G47" s="8">
        <v>2913</v>
      </c>
      <c r="H47" s="3">
        <v>2931</v>
      </c>
      <c r="I47" s="3">
        <v>2777</v>
      </c>
    </row>
    <row r="48" spans="1:9" x14ac:dyDescent="0.3">
      <c r="A48" s="2" t="s">
        <v>51</v>
      </c>
      <c r="B48" s="8">
        <v>1479</v>
      </c>
      <c r="C48" s="8">
        <v>1770</v>
      </c>
      <c r="D48" s="8">
        <v>1907</v>
      </c>
      <c r="E48" s="8">
        <v>3216</v>
      </c>
      <c r="F48" s="8">
        <v>0</v>
      </c>
      <c r="G48" s="8">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v>3</v>
      </c>
      <c r="C54">
        <v>3</v>
      </c>
      <c r="D54">
        <v>3</v>
      </c>
      <c r="E54">
        <v>3</v>
      </c>
      <c r="F54">
        <v>3</v>
      </c>
      <c r="G54">
        <v>3</v>
      </c>
      <c r="H54" s="3">
        <v>3</v>
      </c>
      <c r="I54" s="3">
        <v>3</v>
      </c>
    </row>
    <row r="55" spans="1:9" x14ac:dyDescent="0.3">
      <c r="A55" s="17" t="s">
        <v>58</v>
      </c>
      <c r="B55" s="8">
        <v>6773</v>
      </c>
      <c r="C55" s="8">
        <v>7786</v>
      </c>
      <c r="D55" s="8">
        <v>5710</v>
      </c>
      <c r="E55" s="8">
        <v>6384</v>
      </c>
      <c r="F55" s="8">
        <v>7163</v>
      </c>
      <c r="G55" s="8">
        <v>8299</v>
      </c>
      <c r="H55" s="3">
        <v>9965</v>
      </c>
      <c r="I55" s="3">
        <v>11484</v>
      </c>
    </row>
    <row r="56" spans="1:9" x14ac:dyDescent="0.3">
      <c r="A56" s="17" t="s">
        <v>59</v>
      </c>
      <c r="B56" s="8">
        <v>1246</v>
      </c>
      <c r="C56">
        <v>318</v>
      </c>
      <c r="D56">
        <v>-213</v>
      </c>
      <c r="E56">
        <v>-92</v>
      </c>
      <c r="F56">
        <v>231</v>
      </c>
      <c r="G56">
        <v>-56</v>
      </c>
      <c r="H56" s="3">
        <v>-380</v>
      </c>
      <c r="I56" s="3">
        <v>318</v>
      </c>
    </row>
    <row r="57" spans="1:9" x14ac:dyDescent="0.3">
      <c r="A57" s="17" t="s">
        <v>60</v>
      </c>
      <c r="B57" s="8">
        <v>4685</v>
      </c>
      <c r="C57" s="8">
        <v>4151</v>
      </c>
      <c r="D57" s="8">
        <v>6907</v>
      </c>
      <c r="E57" s="8">
        <v>3517</v>
      </c>
      <c r="F57" s="8">
        <v>1643</v>
      </c>
      <c r="G57">
        <v>-191</v>
      </c>
      <c r="H57" s="3">
        <v>3179</v>
      </c>
      <c r="I57" s="3">
        <v>3476</v>
      </c>
    </row>
    <row r="58" spans="1:9" x14ac:dyDescent="0.3">
      <c r="A58" s="4" t="s">
        <v>61</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9" ht="15" thickBot="1" x14ac:dyDescent="0.35">
      <c r="A59" s="6" t="s">
        <v>62</v>
      </c>
      <c r="B59" s="7">
        <v>21582</v>
      </c>
      <c r="C59" s="7">
        <v>21327</v>
      </c>
      <c r="D59" s="7">
        <v>23245</v>
      </c>
      <c r="E59" s="7">
        <f t="shared" ref="E59:G59" si="17">+SUM(E45:E50)+E58</f>
        <v>22536</v>
      </c>
      <c r="F59" s="7">
        <v>23717</v>
      </c>
      <c r="G59" s="7">
        <f t="shared" si="17"/>
        <v>31342</v>
      </c>
      <c r="H59" s="7">
        <f t="shared" ref="H59" si="18">+SUM(H45:H50)+H58</f>
        <v>37740</v>
      </c>
      <c r="I59" s="7">
        <f>+SUM(I45:I50)+I58</f>
        <v>40321</v>
      </c>
    </row>
    <row r="60" spans="1:9" s="12" customFormat="1" ht="15" thickTop="1" x14ac:dyDescent="0.3">
      <c r="A60" s="12" t="s">
        <v>3</v>
      </c>
      <c r="B60" s="13">
        <f t="shared" ref="B60:G60" si="19">+B59-B36</f>
        <v>0</v>
      </c>
      <c r="C60" s="13">
        <f t="shared" si="19"/>
        <v>0</v>
      </c>
      <c r="D60" s="13">
        <f t="shared" si="19"/>
        <v>0</v>
      </c>
      <c r="E60" s="13">
        <f t="shared" si="19"/>
        <v>0</v>
      </c>
      <c r="F60" s="13">
        <f t="shared" si="19"/>
        <v>0</v>
      </c>
      <c r="G60" s="13">
        <f t="shared" si="19"/>
        <v>0</v>
      </c>
      <c r="H60" s="13">
        <f t="shared" ref="H60" si="20">+H59-H36</f>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65"/>
      <c r="C64" s="66">
        <v>3760</v>
      </c>
      <c r="D64" s="66">
        <v>4240</v>
      </c>
      <c r="E64" s="66">
        <v>1933</v>
      </c>
      <c r="F64" s="66">
        <v>4029</v>
      </c>
      <c r="G64" s="66">
        <v>2539</v>
      </c>
      <c r="H64" s="9">
        <f>+H12</f>
        <v>5727</v>
      </c>
      <c r="I64" s="9">
        <f>+I12</f>
        <v>6046</v>
      </c>
    </row>
    <row r="65" spans="1:9" s="1" customFormat="1" x14ac:dyDescent="0.3">
      <c r="A65" s="2" t="s">
        <v>65</v>
      </c>
      <c r="B65" s="64"/>
      <c r="C65" s="64"/>
      <c r="D65" s="64"/>
      <c r="E65" s="64"/>
      <c r="F65" s="64"/>
      <c r="G65" s="64"/>
      <c r="H65" s="3"/>
      <c r="I65" s="3"/>
    </row>
    <row r="66" spans="1:9" x14ac:dyDescent="0.3">
      <c r="A66" s="11" t="s">
        <v>66</v>
      </c>
      <c r="B66">
        <v>572</v>
      </c>
      <c r="C66">
        <v>632</v>
      </c>
      <c r="D66">
        <v>675</v>
      </c>
      <c r="E66">
        <v>747</v>
      </c>
      <c r="F66">
        <v>705</v>
      </c>
      <c r="G66">
        <v>721</v>
      </c>
      <c r="H66" s="3">
        <v>744</v>
      </c>
      <c r="I66" s="3">
        <v>717</v>
      </c>
    </row>
    <row r="67" spans="1:9" x14ac:dyDescent="0.3">
      <c r="A67" s="11" t="s">
        <v>67</v>
      </c>
      <c r="B67">
        <v>-113</v>
      </c>
      <c r="C67">
        <v>-80</v>
      </c>
      <c r="D67">
        <v>-273</v>
      </c>
      <c r="E67">
        <v>647</v>
      </c>
      <c r="F67">
        <v>34</v>
      </c>
      <c r="G67">
        <v>-380</v>
      </c>
      <c r="H67" s="3">
        <v>-385</v>
      </c>
      <c r="I67" s="3">
        <v>-650</v>
      </c>
    </row>
    <row r="68" spans="1:9" x14ac:dyDescent="0.3">
      <c r="A68" s="11" t="s">
        <v>68</v>
      </c>
      <c r="B68">
        <v>191</v>
      </c>
      <c r="C68">
        <v>236</v>
      </c>
      <c r="D68">
        <v>215</v>
      </c>
      <c r="E68">
        <v>218</v>
      </c>
      <c r="F68">
        <v>325</v>
      </c>
      <c r="G68">
        <v>429</v>
      </c>
      <c r="H68" s="3">
        <v>611</v>
      </c>
      <c r="I68" s="3">
        <v>638</v>
      </c>
    </row>
    <row r="69" spans="1:9" x14ac:dyDescent="0.3">
      <c r="A69" s="11" t="s">
        <v>69</v>
      </c>
      <c r="B69">
        <v>43</v>
      </c>
      <c r="C69">
        <v>13</v>
      </c>
      <c r="D69">
        <v>10</v>
      </c>
      <c r="E69">
        <v>27</v>
      </c>
      <c r="F69">
        <v>15</v>
      </c>
      <c r="G69">
        <v>398</v>
      </c>
      <c r="H69" s="3">
        <v>53</v>
      </c>
      <c r="I69" s="3">
        <v>123</v>
      </c>
    </row>
    <row r="70" spans="1:9" x14ac:dyDescent="0.3">
      <c r="A70" s="11" t="s">
        <v>70</v>
      </c>
      <c r="B70">
        <v>424</v>
      </c>
      <c r="C70">
        <v>98</v>
      </c>
      <c r="D70">
        <v>-117</v>
      </c>
      <c r="E70">
        <v>-99</v>
      </c>
      <c r="F70">
        <v>233</v>
      </c>
      <c r="G70">
        <v>23</v>
      </c>
      <c r="H70" s="3">
        <v>-138</v>
      </c>
      <c r="I70" s="3">
        <v>-26</v>
      </c>
    </row>
    <row r="71" spans="1:9" x14ac:dyDescent="0.3">
      <c r="A71" s="2" t="s">
        <v>71</v>
      </c>
      <c r="B71" s="64"/>
      <c r="C71" s="64"/>
      <c r="D71" s="64"/>
      <c r="E71" s="64"/>
      <c r="F71" s="64"/>
      <c r="G71" s="64"/>
      <c r="H71" s="3"/>
      <c r="I71" s="3"/>
    </row>
    <row r="72" spans="1:9" x14ac:dyDescent="0.3">
      <c r="A72" s="11" t="s">
        <v>72</v>
      </c>
      <c r="B72">
        <v>-216</v>
      </c>
      <c r="C72">
        <v>60</v>
      </c>
      <c r="D72">
        <v>-426</v>
      </c>
      <c r="E72">
        <v>187</v>
      </c>
      <c r="F72">
        <v>-270</v>
      </c>
      <c r="G72" s="8">
        <v>1239</v>
      </c>
      <c r="H72" s="3">
        <v>-1606</v>
      </c>
      <c r="I72" s="3">
        <v>-504</v>
      </c>
    </row>
    <row r="73" spans="1:9" x14ac:dyDescent="0.3">
      <c r="A73" s="11" t="s">
        <v>73</v>
      </c>
      <c r="B73">
        <v>-621</v>
      </c>
      <c r="C73">
        <v>-590</v>
      </c>
      <c r="D73">
        <v>-231</v>
      </c>
      <c r="E73">
        <v>-255</v>
      </c>
      <c r="F73">
        <v>-490</v>
      </c>
      <c r="G73" s="8">
        <v>-1854</v>
      </c>
      <c r="H73" s="3">
        <v>507</v>
      </c>
      <c r="I73" s="3">
        <v>-1676</v>
      </c>
    </row>
    <row r="74" spans="1:9" x14ac:dyDescent="0.3">
      <c r="A74" s="11" t="s">
        <v>98</v>
      </c>
      <c r="B74">
        <v>-144</v>
      </c>
      <c r="C74">
        <v>-161</v>
      </c>
      <c r="D74">
        <v>-120</v>
      </c>
      <c r="E74">
        <v>35</v>
      </c>
      <c r="F74">
        <v>-203</v>
      </c>
      <c r="G74">
        <v>-654</v>
      </c>
      <c r="H74" s="3">
        <v>-182</v>
      </c>
      <c r="I74" s="3">
        <v>-845</v>
      </c>
    </row>
    <row r="75" spans="1:9" x14ac:dyDescent="0.3">
      <c r="A75" s="11" t="s">
        <v>97</v>
      </c>
      <c r="B75" s="8">
        <v>1237</v>
      </c>
      <c r="C75">
        <v>-586</v>
      </c>
      <c r="D75">
        <v>-158</v>
      </c>
      <c r="E75" s="8">
        <v>1515</v>
      </c>
      <c r="F75" s="8">
        <v>1525</v>
      </c>
      <c r="G75">
        <v>24</v>
      </c>
      <c r="H75" s="3">
        <v>1326</v>
      </c>
      <c r="I75" s="3">
        <v>1365</v>
      </c>
    </row>
    <row r="76" spans="1:9" x14ac:dyDescent="0.3">
      <c r="A76" s="24" t="s">
        <v>74</v>
      </c>
      <c r="B76" s="25">
        <f t="shared" ref="B76:G76" si="21">+SUM(B64:B75)</f>
        <v>1373</v>
      </c>
      <c r="C76" s="25">
        <f t="shared" si="21"/>
        <v>3382</v>
      </c>
      <c r="D76" s="25">
        <f t="shared" si="21"/>
        <v>3815</v>
      </c>
      <c r="E76" s="25">
        <f t="shared" si="21"/>
        <v>4955</v>
      </c>
      <c r="F76" s="25">
        <f t="shared" si="21"/>
        <v>5903</v>
      </c>
      <c r="G76" s="25">
        <f t="shared" si="21"/>
        <v>2485</v>
      </c>
      <c r="H76" s="25">
        <f t="shared" ref="H76" si="22">+SUM(H64:H75)</f>
        <v>6657</v>
      </c>
      <c r="I76" s="25">
        <f>+SUM(I64:I75)</f>
        <v>5188</v>
      </c>
    </row>
    <row r="77" spans="1:9" x14ac:dyDescent="0.3">
      <c r="A77" s="1" t="s">
        <v>75</v>
      </c>
      <c r="B77" s="3"/>
      <c r="C77" s="3"/>
      <c r="D77" s="3"/>
      <c r="E77" s="3"/>
      <c r="F77" s="3"/>
      <c r="G77" s="3"/>
      <c r="H77" s="3"/>
      <c r="I77" s="3"/>
    </row>
    <row r="78" spans="1:9" x14ac:dyDescent="0.3">
      <c r="A78" s="2" t="s">
        <v>76</v>
      </c>
      <c r="B78" s="8">
        <v>-4936</v>
      </c>
      <c r="C78" s="8">
        <v>-5367</v>
      </c>
      <c r="D78" s="8">
        <v>-5928</v>
      </c>
      <c r="E78" s="8">
        <v>-4783</v>
      </c>
      <c r="F78" s="8">
        <v>-2937</v>
      </c>
      <c r="G78" s="8">
        <v>-2426</v>
      </c>
      <c r="H78" s="3">
        <v>-9961</v>
      </c>
      <c r="I78" s="3">
        <v>-12913</v>
      </c>
    </row>
    <row r="79" spans="1:9" x14ac:dyDescent="0.3">
      <c r="A79" s="2" t="s">
        <v>77</v>
      </c>
      <c r="B79" s="8">
        <v>3655</v>
      </c>
      <c r="C79" s="8">
        <v>2924</v>
      </c>
      <c r="D79" s="8">
        <v>3623</v>
      </c>
      <c r="E79" s="8">
        <v>3613</v>
      </c>
      <c r="F79" s="8">
        <v>1715</v>
      </c>
      <c r="G79">
        <v>74</v>
      </c>
      <c r="H79" s="3">
        <v>4236</v>
      </c>
      <c r="I79" s="3">
        <v>8199</v>
      </c>
    </row>
    <row r="80" spans="1:9" x14ac:dyDescent="0.3">
      <c r="A80" s="2" t="s">
        <v>78</v>
      </c>
      <c r="B80" s="8">
        <v>2216</v>
      </c>
      <c r="C80" s="8">
        <v>2386</v>
      </c>
      <c r="D80" s="8">
        <v>2423</v>
      </c>
      <c r="E80" s="8">
        <v>2496</v>
      </c>
      <c r="F80" s="8">
        <v>2072</v>
      </c>
      <c r="G80" s="8">
        <v>2379</v>
      </c>
      <c r="H80" s="3">
        <v>2449</v>
      </c>
      <c r="I80" s="3">
        <v>3967</v>
      </c>
    </row>
    <row r="81" spans="1:9" x14ac:dyDescent="0.3">
      <c r="A81" s="2" t="s">
        <v>14</v>
      </c>
      <c r="B81">
        <v>-963</v>
      </c>
      <c r="C81" s="8">
        <v>-1143</v>
      </c>
      <c r="D81" s="8">
        <v>-1105</v>
      </c>
      <c r="E81" s="8">
        <v>-1028</v>
      </c>
      <c r="F81" s="8">
        <v>-1119</v>
      </c>
      <c r="G81" s="8">
        <v>-1086</v>
      </c>
      <c r="H81" s="3">
        <v>-695</v>
      </c>
      <c r="I81" s="3">
        <v>-758</v>
      </c>
    </row>
    <row r="82" spans="1:9" x14ac:dyDescent="0.3">
      <c r="A82" s="2" t="s">
        <v>79</v>
      </c>
      <c r="B82">
        <v>0</v>
      </c>
      <c r="C82">
        <v>6</v>
      </c>
      <c r="D82">
        <v>-34</v>
      </c>
      <c r="E82">
        <v>-22</v>
      </c>
      <c r="F82">
        <v>5</v>
      </c>
      <c r="G82">
        <v>31</v>
      </c>
      <c r="H82" s="3">
        <v>171</v>
      </c>
      <c r="I82" s="3">
        <v>-19</v>
      </c>
    </row>
    <row r="83" spans="1:9" x14ac:dyDescent="0.3">
      <c r="A83" s="26" t="s">
        <v>80</v>
      </c>
      <c r="B83" s="25">
        <f t="shared" ref="B83:G83" si="23">+SUM(B78:B82)</f>
        <v>-28</v>
      </c>
      <c r="C83" s="25">
        <f t="shared" si="23"/>
        <v>-1194</v>
      </c>
      <c r="D83" s="25">
        <f t="shared" si="23"/>
        <v>-1021</v>
      </c>
      <c r="E83" s="25">
        <f t="shared" si="23"/>
        <v>276</v>
      </c>
      <c r="F83" s="25">
        <f t="shared" si="23"/>
        <v>-264</v>
      </c>
      <c r="G83" s="25">
        <f t="shared" si="23"/>
        <v>-1028</v>
      </c>
      <c r="H83" s="25">
        <f t="shared" ref="H83" si="24">+SUM(H78:H82)</f>
        <v>-3800</v>
      </c>
      <c r="I83" s="25">
        <f>+SUM(I78:I82)</f>
        <v>-1524</v>
      </c>
    </row>
    <row r="84" spans="1:9" x14ac:dyDescent="0.3">
      <c r="A84" s="1" t="s">
        <v>81</v>
      </c>
      <c r="B84" s="3"/>
      <c r="C84" s="3"/>
      <c r="D84" s="3"/>
      <c r="E84" s="3"/>
      <c r="F84" s="3"/>
      <c r="G84" s="3"/>
      <c r="H84" s="3"/>
      <c r="I84" s="3"/>
    </row>
    <row r="85" spans="1:9" x14ac:dyDescent="0.3">
      <c r="A85" s="2" t="s">
        <v>82</v>
      </c>
      <c r="B85">
        <v>0</v>
      </c>
      <c r="C85">
        <v>981</v>
      </c>
      <c r="D85" s="8">
        <v>1482</v>
      </c>
      <c r="E85">
        <v>0</v>
      </c>
      <c r="F85">
        <v>0</v>
      </c>
      <c r="G85">
        <v>0</v>
      </c>
      <c r="H85" s="3">
        <v>0</v>
      </c>
      <c r="I85" s="3">
        <v>0</v>
      </c>
    </row>
    <row r="86" spans="1:9" x14ac:dyDescent="0.3">
      <c r="A86" s="2" t="s">
        <v>83</v>
      </c>
      <c r="B86">
        <v>-63</v>
      </c>
      <c r="C86">
        <v>-67</v>
      </c>
      <c r="D86">
        <v>327</v>
      </c>
      <c r="E86">
        <v>13</v>
      </c>
      <c r="F86" t="s">
        <v>208</v>
      </c>
      <c r="G86" s="8">
        <v>6134</v>
      </c>
      <c r="H86" s="3">
        <v>-52</v>
      </c>
      <c r="I86" s="3">
        <v>15</v>
      </c>
    </row>
    <row r="87" spans="1:9" x14ac:dyDescent="0.3">
      <c r="A87" s="2" t="s">
        <v>84</v>
      </c>
      <c r="B87">
        <v>-19</v>
      </c>
      <c r="C87" t="s">
        <v>208</v>
      </c>
      <c r="D87" t="s">
        <v>208</v>
      </c>
      <c r="E87">
        <v>13</v>
      </c>
      <c r="F87">
        <v>-325</v>
      </c>
      <c r="G87">
        <v>49</v>
      </c>
      <c r="H87" s="3">
        <v>-197</v>
      </c>
      <c r="I87" s="3">
        <v>0</v>
      </c>
    </row>
    <row r="88" spans="1:9" x14ac:dyDescent="0.3">
      <c r="A88" s="2" t="s">
        <v>85</v>
      </c>
      <c r="B88">
        <v>514</v>
      </c>
      <c r="C88">
        <v>507</v>
      </c>
      <c r="D88">
        <v>0</v>
      </c>
      <c r="E88">
        <v>733</v>
      </c>
      <c r="F88">
        <v>700</v>
      </c>
      <c r="G88">
        <v>885</v>
      </c>
      <c r="H88" s="3">
        <v>1172</v>
      </c>
      <c r="I88" s="3">
        <v>1151</v>
      </c>
    </row>
    <row r="89" spans="1:9" x14ac:dyDescent="0.3">
      <c r="A89" s="2" t="s">
        <v>16</v>
      </c>
      <c r="B89" s="8">
        <v>-2534</v>
      </c>
      <c r="C89" s="8">
        <v>-3238</v>
      </c>
      <c r="D89" s="8">
        <v>-3223</v>
      </c>
      <c r="E89" s="8">
        <v>-4254</v>
      </c>
      <c r="F89" s="8">
        <v>-4286</v>
      </c>
      <c r="G89" s="8">
        <v>-3067</v>
      </c>
      <c r="H89" s="3">
        <v>-608</v>
      </c>
      <c r="I89" s="3">
        <v>-4014</v>
      </c>
    </row>
    <row r="90" spans="1:9" x14ac:dyDescent="0.3">
      <c r="A90" s="2" t="s">
        <v>86</v>
      </c>
      <c r="B90">
        <v>-899</v>
      </c>
      <c r="C90" s="8">
        <v>-1022</v>
      </c>
      <c r="D90" s="8">
        <v>-1133</v>
      </c>
      <c r="E90" s="8">
        <v>-1243</v>
      </c>
      <c r="F90" s="8">
        <v>-1332</v>
      </c>
      <c r="G90" s="8">
        <v>-1452</v>
      </c>
      <c r="H90" s="3">
        <v>-1638</v>
      </c>
      <c r="I90" s="3">
        <v>-1837</v>
      </c>
    </row>
    <row r="91" spans="1:9" x14ac:dyDescent="0.3">
      <c r="A91" s="2" t="s">
        <v>87</v>
      </c>
      <c r="B91" s="64"/>
      <c r="C91" s="64"/>
      <c r="D91" s="64"/>
      <c r="E91">
        <v>-84</v>
      </c>
      <c r="F91">
        <v>-50</v>
      </c>
      <c r="G91">
        <v>-58</v>
      </c>
      <c r="H91" s="3">
        <v>-136</v>
      </c>
      <c r="I91" s="3">
        <v>-151</v>
      </c>
    </row>
    <row r="92" spans="1:9" x14ac:dyDescent="0.3">
      <c r="A92" s="26" t="s">
        <v>88</v>
      </c>
      <c r="B92" s="25">
        <f t="shared" ref="B92:G92" si="25">+SUM(B85:B91)</f>
        <v>-3001</v>
      </c>
      <c r="C92" s="25">
        <f t="shared" si="25"/>
        <v>-2839</v>
      </c>
      <c r="D92" s="25">
        <f t="shared" si="25"/>
        <v>-2547</v>
      </c>
      <c r="E92" s="25">
        <f t="shared" si="25"/>
        <v>-4822</v>
      </c>
      <c r="F92" s="25">
        <f t="shared" si="25"/>
        <v>-5293</v>
      </c>
      <c r="G92" s="25">
        <f t="shared" si="25"/>
        <v>2491</v>
      </c>
      <c r="H92" s="25">
        <f t="shared" ref="H92" si="26">+SUM(H85:H91)</f>
        <v>-1459</v>
      </c>
      <c r="I92" s="25">
        <f>+SUM(I85:I91)</f>
        <v>-4836</v>
      </c>
    </row>
    <row r="93" spans="1:9" x14ac:dyDescent="0.3">
      <c r="A93" s="2" t="s">
        <v>89</v>
      </c>
      <c r="B93">
        <v>-83</v>
      </c>
      <c r="C93">
        <v>-105</v>
      </c>
      <c r="D93">
        <v>-20</v>
      </c>
      <c r="E93">
        <v>45</v>
      </c>
      <c r="F93">
        <v>-129</v>
      </c>
      <c r="G93">
        <v>-66</v>
      </c>
      <c r="H93" s="3">
        <v>143</v>
      </c>
      <c r="I93" s="3">
        <v>-143</v>
      </c>
    </row>
    <row r="94" spans="1:9" x14ac:dyDescent="0.3">
      <c r="A94" s="26" t="s">
        <v>90</v>
      </c>
      <c r="B94" s="25">
        <f t="shared" ref="B94:G94" si="27">+B76+B83+B92+B93</f>
        <v>-1739</v>
      </c>
      <c r="C94" s="25">
        <f t="shared" si="27"/>
        <v>-756</v>
      </c>
      <c r="D94" s="25">
        <f t="shared" si="27"/>
        <v>227</v>
      </c>
      <c r="E94" s="25">
        <f t="shared" si="27"/>
        <v>454</v>
      </c>
      <c r="F94" s="25">
        <f t="shared" si="27"/>
        <v>217</v>
      </c>
      <c r="G94" s="25">
        <f t="shared" si="27"/>
        <v>3882</v>
      </c>
      <c r="H94" s="25">
        <f t="shared" ref="H94" si="28">+H76+H83+H92+H93</f>
        <v>1541</v>
      </c>
      <c r="I94" s="25">
        <f>+I76+I83+I92+I93</f>
        <v>-1315</v>
      </c>
    </row>
    <row r="95" spans="1:9" x14ac:dyDescent="0.3">
      <c r="A95" t="s">
        <v>91</v>
      </c>
      <c r="B95" s="8">
        <v>2220</v>
      </c>
      <c r="C95" s="8">
        <v>3852</v>
      </c>
      <c r="D95" s="8">
        <v>3138</v>
      </c>
      <c r="E95" s="8">
        <v>3808</v>
      </c>
      <c r="F95" s="8">
        <v>4249</v>
      </c>
      <c r="G95" s="8">
        <v>4466</v>
      </c>
      <c r="H95" s="3">
        <v>8348</v>
      </c>
      <c r="I95" s="3">
        <f>+H96</f>
        <v>9889</v>
      </c>
    </row>
    <row r="96" spans="1:9" ht="15" thickBot="1" x14ac:dyDescent="0.35">
      <c r="A96" s="6" t="s">
        <v>92</v>
      </c>
      <c r="B96" s="67">
        <v>3852</v>
      </c>
      <c r="C96" s="67">
        <v>3138</v>
      </c>
      <c r="D96" s="67">
        <v>3808</v>
      </c>
      <c r="E96" s="67">
        <v>4249</v>
      </c>
      <c r="F96" s="67">
        <v>4466</v>
      </c>
      <c r="G96" s="67">
        <v>8348</v>
      </c>
      <c r="H96" s="7">
        <f>+H94+H95</f>
        <v>9889</v>
      </c>
      <c r="I96" s="7">
        <f>+I94+I95</f>
        <v>8574</v>
      </c>
    </row>
    <row r="97" spans="1:9" s="12" customFormat="1" ht="15" thickTop="1" x14ac:dyDescent="0.3">
      <c r="A97" s="12" t="s">
        <v>19</v>
      </c>
      <c r="B97" s="13">
        <f t="shared" ref="B97:G97" si="29">+B96-B25</f>
        <v>0</v>
      </c>
      <c r="C97" s="13">
        <f t="shared" si="29"/>
        <v>0</v>
      </c>
      <c r="D97" s="13">
        <f t="shared" si="29"/>
        <v>0</v>
      </c>
      <c r="E97" s="13">
        <f t="shared" si="29"/>
        <v>0</v>
      </c>
      <c r="F97" s="13">
        <f t="shared" si="29"/>
        <v>0</v>
      </c>
      <c r="G97" s="13">
        <f t="shared" si="29"/>
        <v>0</v>
      </c>
      <c r="H97" s="13">
        <f t="shared" ref="H97" si="30">+H96-H25</f>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v>53</v>
      </c>
      <c r="C100">
        <v>70</v>
      </c>
      <c r="D100">
        <v>98</v>
      </c>
      <c r="E100">
        <v>125</v>
      </c>
      <c r="F100">
        <v>153</v>
      </c>
      <c r="G100">
        <v>140</v>
      </c>
      <c r="H100" s="3">
        <v>293</v>
      </c>
      <c r="I100" s="3">
        <v>290</v>
      </c>
    </row>
    <row r="101" spans="1:9" x14ac:dyDescent="0.3">
      <c r="A101" s="11" t="s">
        <v>18</v>
      </c>
      <c r="B101" s="8">
        <v>1262</v>
      </c>
      <c r="C101">
        <v>748</v>
      </c>
      <c r="D101">
        <v>703</v>
      </c>
      <c r="E101">
        <v>529</v>
      </c>
      <c r="F101">
        <v>757</v>
      </c>
      <c r="G101" s="8">
        <v>1028</v>
      </c>
      <c r="H101" s="3">
        <v>1177</v>
      </c>
      <c r="I101" s="3">
        <v>1231</v>
      </c>
    </row>
    <row r="102" spans="1:9" x14ac:dyDescent="0.3">
      <c r="A102" s="11" t="s">
        <v>95</v>
      </c>
      <c r="B102">
        <v>206</v>
      </c>
      <c r="C102">
        <v>252</v>
      </c>
      <c r="D102">
        <v>266</v>
      </c>
      <c r="E102">
        <v>294</v>
      </c>
      <c r="F102">
        <v>160</v>
      </c>
      <c r="G102">
        <v>121</v>
      </c>
      <c r="H102" s="3">
        <v>179</v>
      </c>
      <c r="I102" s="3">
        <v>160</v>
      </c>
    </row>
    <row r="103" spans="1:9" x14ac:dyDescent="0.3">
      <c r="A103" s="11" t="s">
        <v>96</v>
      </c>
      <c r="B103">
        <v>240</v>
      </c>
      <c r="C103">
        <v>271</v>
      </c>
      <c r="D103">
        <v>300</v>
      </c>
      <c r="E103">
        <v>320</v>
      </c>
      <c r="F103">
        <v>347</v>
      </c>
      <c r="G103">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v>13740</v>
      </c>
      <c r="C107" s="3">
        <v>14764</v>
      </c>
      <c r="D107" s="3">
        <v>15216</v>
      </c>
      <c r="E107" s="3">
        <v>14855</v>
      </c>
      <c r="F107" s="3">
        <v>15902</v>
      </c>
      <c r="G107" s="3">
        <v>14484</v>
      </c>
      <c r="H107" s="3">
        <f t="shared" ref="H107" si="31">+SUM(H108:H110)</f>
        <v>17179</v>
      </c>
      <c r="I107" s="3">
        <f>+SUM(I108:I110)</f>
        <v>18353</v>
      </c>
    </row>
    <row r="108" spans="1:9" x14ac:dyDescent="0.3">
      <c r="A108" s="11" t="s">
        <v>113</v>
      </c>
      <c r="B108">
        <v>8506</v>
      </c>
      <c r="C108">
        <v>9299</v>
      </c>
      <c r="D108">
        <v>9684</v>
      </c>
      <c r="E108">
        <v>9322</v>
      </c>
      <c r="F108">
        <v>10045</v>
      </c>
      <c r="G108">
        <v>9329</v>
      </c>
      <c r="H108" s="8">
        <v>11644</v>
      </c>
      <c r="I108" s="8">
        <v>12228</v>
      </c>
    </row>
    <row r="109" spans="1:9" x14ac:dyDescent="0.3">
      <c r="A109" s="11" t="s">
        <v>114</v>
      </c>
      <c r="B109">
        <v>4410</v>
      </c>
      <c r="C109">
        <v>4746</v>
      </c>
      <c r="D109">
        <v>4886</v>
      </c>
      <c r="E109">
        <v>4938</v>
      </c>
      <c r="F109">
        <v>5260</v>
      </c>
      <c r="G109">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v>7126</v>
      </c>
      <c r="C111" s="3">
        <v>7568</v>
      </c>
      <c r="D111" s="3">
        <v>7970</v>
      </c>
      <c r="E111" s="3">
        <v>9242</v>
      </c>
      <c r="F111" s="3">
        <v>9812</v>
      </c>
      <c r="G111" s="3">
        <v>9347</v>
      </c>
      <c r="H111" s="3">
        <f t="shared" ref="H111" si="32">+SUM(H112:H114)</f>
        <v>11456</v>
      </c>
      <c r="I111" s="3">
        <f>+SUM(I112:I114)</f>
        <v>12479</v>
      </c>
    </row>
    <row r="112" spans="1:9" x14ac:dyDescent="0.3">
      <c r="A112" s="11" t="s">
        <v>113</v>
      </c>
      <c r="B112">
        <v>4703</v>
      </c>
      <c r="C112">
        <v>5043</v>
      </c>
      <c r="D112">
        <v>5192</v>
      </c>
      <c r="E112">
        <v>5875</v>
      </c>
      <c r="F112">
        <v>6293</v>
      </c>
      <c r="G112">
        <v>5892</v>
      </c>
      <c r="H112" s="8">
        <v>6970</v>
      </c>
      <c r="I112" s="8">
        <v>7388</v>
      </c>
    </row>
    <row r="113" spans="1:9" x14ac:dyDescent="0.3">
      <c r="A113" s="11" t="s">
        <v>114</v>
      </c>
      <c r="B113">
        <v>2051</v>
      </c>
      <c r="C113">
        <v>2149</v>
      </c>
      <c r="D113">
        <v>2395</v>
      </c>
      <c r="E113">
        <v>2940</v>
      </c>
      <c r="F113">
        <v>3087</v>
      </c>
      <c r="G113">
        <v>3053</v>
      </c>
      <c r="H113" s="8">
        <v>3996</v>
      </c>
      <c r="I113" s="8">
        <v>4527</v>
      </c>
    </row>
    <row r="114" spans="1:9" x14ac:dyDescent="0.3">
      <c r="A114" s="11" t="s">
        <v>115</v>
      </c>
      <c r="B114">
        <v>372</v>
      </c>
      <c r="C114">
        <v>376</v>
      </c>
      <c r="D114">
        <v>383</v>
      </c>
      <c r="E114">
        <v>427</v>
      </c>
      <c r="F114">
        <v>432</v>
      </c>
      <c r="G114">
        <v>402</v>
      </c>
      <c r="H114">
        <v>490</v>
      </c>
      <c r="I114">
        <v>564</v>
      </c>
    </row>
    <row r="115" spans="1:9" x14ac:dyDescent="0.3">
      <c r="A115" s="2" t="s">
        <v>102</v>
      </c>
      <c r="B115" s="3">
        <v>3067</v>
      </c>
      <c r="C115" s="3">
        <v>3785</v>
      </c>
      <c r="D115" s="3">
        <v>4237</v>
      </c>
      <c r="E115" s="3">
        <v>5134</v>
      </c>
      <c r="F115" s="3">
        <v>6208</v>
      </c>
      <c r="G115" s="3">
        <v>6679</v>
      </c>
      <c r="H115" s="3">
        <f t="shared" ref="H115" si="33">+SUM(H116:H118)</f>
        <v>8290</v>
      </c>
      <c r="I115" s="3">
        <f>+SUM(I116:I118)</f>
        <v>7547</v>
      </c>
    </row>
    <row r="116" spans="1:9" x14ac:dyDescent="0.3">
      <c r="A116" s="11" t="s">
        <v>113</v>
      </c>
      <c r="B116">
        <v>2016</v>
      </c>
      <c r="C116">
        <v>2599</v>
      </c>
      <c r="D116">
        <v>2920</v>
      </c>
      <c r="E116">
        <v>3496</v>
      </c>
      <c r="F116">
        <v>4262</v>
      </c>
      <c r="G116">
        <v>4635</v>
      </c>
      <c r="H116" s="8">
        <v>5748</v>
      </c>
      <c r="I116" s="8">
        <v>5416</v>
      </c>
    </row>
    <row r="117" spans="1:9" x14ac:dyDescent="0.3">
      <c r="A117" s="11" t="s">
        <v>114</v>
      </c>
      <c r="B117">
        <v>925</v>
      </c>
      <c r="C117">
        <v>1055</v>
      </c>
      <c r="D117">
        <v>1188</v>
      </c>
      <c r="E117">
        <v>1508</v>
      </c>
      <c r="F117">
        <v>1808</v>
      </c>
      <c r="G117">
        <v>1896</v>
      </c>
      <c r="H117" s="8">
        <v>2347</v>
      </c>
      <c r="I117" s="8">
        <v>1938</v>
      </c>
    </row>
    <row r="118" spans="1:9" x14ac:dyDescent="0.3">
      <c r="A118" s="11" t="s">
        <v>115</v>
      </c>
      <c r="B118">
        <v>126</v>
      </c>
      <c r="C118">
        <v>131</v>
      </c>
      <c r="D118">
        <v>129</v>
      </c>
      <c r="E118">
        <v>130</v>
      </c>
      <c r="F118">
        <v>138</v>
      </c>
      <c r="G118">
        <v>148</v>
      </c>
      <c r="H118">
        <v>195</v>
      </c>
      <c r="I118">
        <v>193</v>
      </c>
    </row>
    <row r="119" spans="1:9" x14ac:dyDescent="0.3">
      <c r="A119" s="2" t="s">
        <v>106</v>
      </c>
      <c r="B119" s="3">
        <v>4653</v>
      </c>
      <c r="C119" s="3">
        <v>4317</v>
      </c>
      <c r="D119" s="3">
        <v>4737</v>
      </c>
      <c r="E119" s="3">
        <v>5166</v>
      </c>
      <c r="F119" s="3">
        <v>5254</v>
      </c>
      <c r="G119" s="3">
        <v>5028</v>
      </c>
      <c r="H119" s="3">
        <f t="shared" ref="H119" si="34">+SUM(H120:H122)</f>
        <v>5343</v>
      </c>
      <c r="I119" s="3">
        <f>+SUM(I120:I122)</f>
        <v>5955</v>
      </c>
    </row>
    <row r="120" spans="1:9" x14ac:dyDescent="0.3">
      <c r="A120" s="11" t="s">
        <v>113</v>
      </c>
      <c r="B120">
        <v>3093</v>
      </c>
      <c r="C120">
        <v>2930</v>
      </c>
      <c r="D120">
        <v>3285</v>
      </c>
      <c r="E120">
        <v>3575</v>
      </c>
      <c r="F120">
        <v>3622</v>
      </c>
      <c r="G120">
        <v>3449</v>
      </c>
      <c r="H120" s="8">
        <v>3659</v>
      </c>
      <c r="I120" s="8">
        <v>4111</v>
      </c>
    </row>
    <row r="121" spans="1:9" x14ac:dyDescent="0.3">
      <c r="A121" s="11" t="s">
        <v>114</v>
      </c>
      <c r="B121">
        <v>1250</v>
      </c>
      <c r="C121">
        <v>1117</v>
      </c>
      <c r="D121">
        <v>1185</v>
      </c>
      <c r="E121">
        <v>1347</v>
      </c>
      <c r="F121">
        <v>1395</v>
      </c>
      <c r="G121">
        <v>1365</v>
      </c>
      <c r="H121" s="8">
        <v>1494</v>
      </c>
      <c r="I121" s="8">
        <v>1610</v>
      </c>
    </row>
    <row r="122" spans="1:9" x14ac:dyDescent="0.3">
      <c r="A122" s="11" t="s">
        <v>115</v>
      </c>
      <c r="B122">
        <v>310</v>
      </c>
      <c r="C122">
        <v>270</v>
      </c>
      <c r="D122">
        <v>267</v>
      </c>
      <c r="E122">
        <v>244</v>
      </c>
      <c r="F122">
        <v>237</v>
      </c>
      <c r="G122">
        <v>214</v>
      </c>
      <c r="H122">
        <v>190</v>
      </c>
      <c r="I122">
        <v>234</v>
      </c>
    </row>
    <row r="123" spans="1:9" x14ac:dyDescent="0.3">
      <c r="A123" s="2" t="s">
        <v>107</v>
      </c>
      <c r="B123" s="3">
        <v>115</v>
      </c>
      <c r="C123" s="3">
        <v>73</v>
      </c>
      <c r="D123" s="3">
        <v>73</v>
      </c>
      <c r="E123" s="3">
        <v>88</v>
      </c>
      <c r="F123" s="3">
        <v>42</v>
      </c>
      <c r="G123" s="3">
        <v>30</v>
      </c>
      <c r="H123" s="3">
        <v>25</v>
      </c>
      <c r="I123" s="3">
        <v>102</v>
      </c>
    </row>
    <row r="124" spans="1:9" x14ac:dyDescent="0.3">
      <c r="A124" s="4" t="s">
        <v>103</v>
      </c>
      <c r="B124" s="5">
        <f t="shared" ref="B124:G124" si="35">+B107+B111+B115+B119+B123</f>
        <v>28701</v>
      </c>
      <c r="C124" s="5">
        <f t="shared" si="35"/>
        <v>30507</v>
      </c>
      <c r="D124" s="5">
        <f t="shared" si="35"/>
        <v>32233</v>
      </c>
      <c r="E124" s="5">
        <f t="shared" si="35"/>
        <v>34485</v>
      </c>
      <c r="F124" s="5">
        <f t="shared" si="35"/>
        <v>37218</v>
      </c>
      <c r="G124" s="5">
        <f t="shared" si="35"/>
        <v>35568</v>
      </c>
      <c r="H124" s="5">
        <f t="shared" ref="H124:I124" si="36">+H107+H111+H115+H119+H123</f>
        <v>42293</v>
      </c>
      <c r="I124" s="5">
        <f t="shared" si="36"/>
        <v>44436</v>
      </c>
    </row>
    <row r="125" spans="1:9" x14ac:dyDescent="0.3">
      <c r="A125" s="2" t="s">
        <v>104</v>
      </c>
      <c r="B125" s="3">
        <v>1982</v>
      </c>
      <c r="C125" s="3">
        <v>1955</v>
      </c>
      <c r="D125" s="3">
        <v>2042</v>
      </c>
      <c r="E125" s="3">
        <v>1886</v>
      </c>
      <c r="F125" s="3">
        <v>1906</v>
      </c>
      <c r="G125" s="3">
        <v>1846</v>
      </c>
      <c r="H125" s="3">
        <f>+SUM(H126:H129)</f>
        <v>2205</v>
      </c>
      <c r="I125" s="3">
        <f>+SUM(I126:I129)</f>
        <v>2346</v>
      </c>
    </row>
    <row r="126" spans="1:9" x14ac:dyDescent="0.3">
      <c r="A126" s="11" t="s">
        <v>113</v>
      </c>
      <c r="B126" s="3">
        <v>18318</v>
      </c>
      <c r="C126" s="3">
        <v>19871</v>
      </c>
      <c r="D126" s="3">
        <v>21081</v>
      </c>
      <c r="E126" s="3">
        <v>22268</v>
      </c>
      <c r="F126" s="3">
        <v>24222</v>
      </c>
      <c r="G126" s="3">
        <v>23305</v>
      </c>
      <c r="H126" s="3">
        <v>1986</v>
      </c>
      <c r="I126" s="3">
        <v>2094</v>
      </c>
    </row>
    <row r="127" spans="1:9" x14ac:dyDescent="0.3">
      <c r="A127" s="11" t="s">
        <v>114</v>
      </c>
      <c r="B127" s="3">
        <v>8636</v>
      </c>
      <c r="C127" s="3">
        <v>9067</v>
      </c>
      <c r="D127" s="3">
        <v>9654</v>
      </c>
      <c r="E127" s="3">
        <v>10733</v>
      </c>
      <c r="F127" s="3">
        <v>11550</v>
      </c>
      <c r="G127" s="3">
        <v>10953</v>
      </c>
      <c r="H127" s="3">
        <v>104</v>
      </c>
      <c r="I127" s="3">
        <v>103</v>
      </c>
    </row>
    <row r="128" spans="1:9" x14ac:dyDescent="0.3">
      <c r="A128" s="11" t="s">
        <v>115</v>
      </c>
      <c r="B128" s="3">
        <v>1632</v>
      </c>
      <c r="C128" s="3">
        <v>1496</v>
      </c>
      <c r="D128" s="3">
        <v>1425</v>
      </c>
      <c r="E128" s="3">
        <v>1396</v>
      </c>
      <c r="F128" s="3">
        <v>1404</v>
      </c>
      <c r="G128" s="3">
        <v>1280</v>
      </c>
      <c r="H128" s="3">
        <v>29</v>
      </c>
      <c r="I128" s="3">
        <v>26</v>
      </c>
    </row>
    <row r="129" spans="1:9" x14ac:dyDescent="0.3">
      <c r="A129" s="11" t="s">
        <v>121</v>
      </c>
      <c r="B129" s="3">
        <v>115</v>
      </c>
      <c r="C129" s="3">
        <v>73</v>
      </c>
      <c r="D129" s="3">
        <v>73</v>
      </c>
      <c r="E129" s="3">
        <v>88</v>
      </c>
      <c r="F129" s="3">
        <v>42</v>
      </c>
      <c r="G129" s="3">
        <v>30</v>
      </c>
      <c r="H129" s="3">
        <v>86</v>
      </c>
      <c r="I129" s="3">
        <v>123</v>
      </c>
    </row>
    <row r="130" spans="1:9" x14ac:dyDescent="0.3">
      <c r="A130" s="2" t="s">
        <v>108</v>
      </c>
      <c r="B130" s="3">
        <v>-82</v>
      </c>
      <c r="C130" s="3">
        <v>-86</v>
      </c>
      <c r="D130" s="3">
        <v>75</v>
      </c>
      <c r="E130" s="3">
        <v>26</v>
      </c>
      <c r="F130" s="3">
        <v>-7</v>
      </c>
      <c r="G130" s="3">
        <v>-11</v>
      </c>
      <c r="H130" s="3">
        <v>40</v>
      </c>
      <c r="I130" s="3">
        <v>-72</v>
      </c>
    </row>
    <row r="131" spans="1:9" ht="15" thickBot="1" x14ac:dyDescent="0.35">
      <c r="A131" s="6" t="s">
        <v>105</v>
      </c>
      <c r="B131" s="7">
        <f t="shared" ref="B131:G131" si="37">+B124+B125+B130</f>
        <v>30601</v>
      </c>
      <c r="C131" s="7">
        <f t="shared" si="37"/>
        <v>32376</v>
      </c>
      <c r="D131" s="7">
        <f t="shared" si="37"/>
        <v>34350</v>
      </c>
      <c r="E131" s="7">
        <f t="shared" si="37"/>
        <v>36397</v>
      </c>
      <c r="F131" s="7">
        <f t="shared" si="37"/>
        <v>39117</v>
      </c>
      <c r="G131" s="7">
        <f t="shared" si="37"/>
        <v>37403</v>
      </c>
      <c r="H131" s="7">
        <f t="shared" ref="H131" si="38">+H124+H125+H130</f>
        <v>44538</v>
      </c>
      <c r="I131" s="7">
        <f>+I124+I125+I130</f>
        <v>46710</v>
      </c>
    </row>
    <row r="132" spans="1:9" s="12" customFormat="1" ht="15" thickTop="1" x14ac:dyDescent="0.3">
      <c r="A132" s="12" t="s">
        <v>111</v>
      </c>
      <c r="B132" s="13">
        <f>+I131-I2</f>
        <v>0</v>
      </c>
      <c r="C132" s="13">
        <f t="shared" ref="C132:G132" si="39">+C131-C2</f>
        <v>0</v>
      </c>
      <c r="D132" s="13">
        <f t="shared" si="39"/>
        <v>0</v>
      </c>
      <c r="E132" s="13">
        <f t="shared" si="39"/>
        <v>0</v>
      </c>
      <c r="F132" s="13">
        <f t="shared" si="39"/>
        <v>0</v>
      </c>
      <c r="G132" s="13">
        <f t="shared" si="39"/>
        <v>0</v>
      </c>
      <c r="H132" s="13">
        <f>+H131-H2</f>
        <v>0</v>
      </c>
    </row>
    <row r="133" spans="1:9" x14ac:dyDescent="0.3">
      <c r="A133" s="1" t="s">
        <v>110</v>
      </c>
    </row>
    <row r="134" spans="1:9" x14ac:dyDescent="0.3">
      <c r="A134" s="2" t="s">
        <v>100</v>
      </c>
      <c r="B134" s="8">
        <v>3645</v>
      </c>
      <c r="C134" s="8">
        <v>3763</v>
      </c>
      <c r="D134" s="8">
        <v>3875</v>
      </c>
      <c r="E134" s="8">
        <v>3600</v>
      </c>
      <c r="F134" s="8">
        <v>3925</v>
      </c>
      <c r="G134" s="8">
        <v>2899</v>
      </c>
      <c r="H134" s="3">
        <v>5089</v>
      </c>
      <c r="I134" s="3">
        <v>5114</v>
      </c>
    </row>
    <row r="135" spans="1:9" x14ac:dyDescent="0.3">
      <c r="A135" s="2" t="s">
        <v>101</v>
      </c>
      <c r="B135" s="8">
        <v>1524</v>
      </c>
      <c r="C135" s="8">
        <v>1787</v>
      </c>
      <c r="D135" s="8">
        <v>1507</v>
      </c>
      <c r="E135" s="8">
        <v>1587</v>
      </c>
      <c r="F135" s="8">
        <v>1995</v>
      </c>
      <c r="G135" s="8">
        <v>1541</v>
      </c>
      <c r="H135" s="3">
        <v>2435</v>
      </c>
      <c r="I135" s="3">
        <v>3293</v>
      </c>
    </row>
    <row r="136" spans="1:9" x14ac:dyDescent="0.3">
      <c r="A136" s="2" t="s">
        <v>102</v>
      </c>
      <c r="B136">
        <v>993</v>
      </c>
      <c r="C136" s="8">
        <v>1372</v>
      </c>
      <c r="D136" s="8">
        <v>1507</v>
      </c>
      <c r="E136" s="8">
        <v>1807</v>
      </c>
      <c r="F136" s="8">
        <v>2376</v>
      </c>
      <c r="G136" s="8">
        <v>2490</v>
      </c>
      <c r="H136" s="3">
        <v>3243</v>
      </c>
      <c r="I136" s="3">
        <v>2365</v>
      </c>
    </row>
    <row r="137" spans="1:9" x14ac:dyDescent="0.3">
      <c r="A137" s="2" t="s">
        <v>106</v>
      </c>
      <c r="B137" s="64">
        <v>918</v>
      </c>
      <c r="C137" s="8">
        <v>1002</v>
      </c>
      <c r="D137">
        <v>980</v>
      </c>
      <c r="E137" s="8">
        <v>1189</v>
      </c>
      <c r="F137" s="8">
        <v>1323</v>
      </c>
      <c r="G137" s="8">
        <v>1184</v>
      </c>
      <c r="H137" s="3">
        <v>1530</v>
      </c>
      <c r="I137" s="3">
        <v>1896</v>
      </c>
    </row>
    <row r="138" spans="1:9" x14ac:dyDescent="0.3">
      <c r="A138" s="2" t="s">
        <v>107</v>
      </c>
      <c r="B138" s="64">
        <v>-2263</v>
      </c>
      <c r="C138">
        <v>-2596</v>
      </c>
      <c r="D138">
        <v>-2677</v>
      </c>
      <c r="E138">
        <v>-2658</v>
      </c>
      <c r="F138">
        <v>-3262</v>
      </c>
      <c r="G138">
        <v>-3468</v>
      </c>
      <c r="H138" s="3">
        <v>-3656</v>
      </c>
      <c r="I138" s="3">
        <v>-4262</v>
      </c>
    </row>
    <row r="139" spans="1:9" x14ac:dyDescent="0.3">
      <c r="A139" s="4" t="s">
        <v>103</v>
      </c>
      <c r="B139" s="5">
        <f t="shared" ref="B139:G139" si="40">+SUM(B134:B138)</f>
        <v>4817</v>
      </c>
      <c r="C139" s="5">
        <f t="shared" si="40"/>
        <v>5328</v>
      </c>
      <c r="D139" s="5">
        <f t="shared" si="40"/>
        <v>5192</v>
      </c>
      <c r="E139" s="5">
        <f t="shared" si="40"/>
        <v>5525</v>
      </c>
      <c r="F139" s="5">
        <f t="shared" si="40"/>
        <v>6357</v>
      </c>
      <c r="G139" s="5">
        <f t="shared" si="40"/>
        <v>4646</v>
      </c>
      <c r="H139" s="5">
        <f t="shared" ref="H139:I139" si="41">+SUM(H134:H138)</f>
        <v>8641</v>
      </c>
      <c r="I139" s="5">
        <f t="shared" si="41"/>
        <v>8406</v>
      </c>
    </row>
    <row r="140" spans="1:9" x14ac:dyDescent="0.3">
      <c r="A140" s="2" t="s">
        <v>104</v>
      </c>
      <c r="B140" s="8">
        <v>1982</v>
      </c>
      <c r="C140" s="8">
        <v>1955</v>
      </c>
      <c r="D140" s="8">
        <v>2042</v>
      </c>
      <c r="E140" s="8">
        <v>1886</v>
      </c>
      <c r="F140" s="8">
        <v>1906</v>
      </c>
      <c r="G140" s="8">
        <v>1846</v>
      </c>
      <c r="H140" s="3">
        <v>543</v>
      </c>
      <c r="I140" s="3">
        <v>669</v>
      </c>
    </row>
    <row r="141" spans="1:9" x14ac:dyDescent="0.3">
      <c r="A141" s="2" t="s">
        <v>108</v>
      </c>
      <c r="B141">
        <v>-82</v>
      </c>
      <c r="C141">
        <v>-86</v>
      </c>
      <c r="D141">
        <v>75</v>
      </c>
      <c r="E141">
        <v>26</v>
      </c>
      <c r="F141">
        <v>-7</v>
      </c>
      <c r="G141">
        <v>-11</v>
      </c>
      <c r="H141" s="3">
        <v>-2261</v>
      </c>
      <c r="I141" s="3">
        <v>-2219</v>
      </c>
    </row>
    <row r="142" spans="1:9" ht="15" thickBot="1" x14ac:dyDescent="0.35">
      <c r="A142" s="6" t="s">
        <v>112</v>
      </c>
      <c r="B142" s="7">
        <f t="shared" ref="B142:G142" si="42">+SUM(B139:B141)</f>
        <v>6717</v>
      </c>
      <c r="C142" s="7">
        <f t="shared" si="42"/>
        <v>7197</v>
      </c>
      <c r="D142" s="7">
        <f t="shared" si="42"/>
        <v>7309</v>
      </c>
      <c r="E142" s="7">
        <f t="shared" si="42"/>
        <v>7437</v>
      </c>
      <c r="F142" s="7">
        <f t="shared" si="42"/>
        <v>8256</v>
      </c>
      <c r="G142" s="7">
        <f t="shared" si="42"/>
        <v>6481</v>
      </c>
      <c r="H142" s="7">
        <f t="shared" ref="H142" si="43">+SUM(H139:H141)</f>
        <v>6923</v>
      </c>
      <c r="I142" s="7">
        <f>+SUM(I139:I141)</f>
        <v>6856</v>
      </c>
    </row>
    <row r="143" spans="1:9" s="12" customFormat="1" ht="15" thickTop="1" x14ac:dyDescent="0.3">
      <c r="A143" s="12" t="s">
        <v>111</v>
      </c>
      <c r="B143" s="13">
        <f t="shared" ref="B143:G143" si="44">+B142-B10-B8</f>
        <v>0</v>
      </c>
      <c r="C143" s="13">
        <f t="shared" si="44"/>
        <v>0</v>
      </c>
      <c r="D143" s="13">
        <f t="shared" si="44"/>
        <v>0</v>
      </c>
      <c r="E143" s="13">
        <f t="shared" si="44"/>
        <v>0</v>
      </c>
      <c r="F143" s="13">
        <f t="shared" si="44"/>
        <v>0</v>
      </c>
      <c r="G143" s="13">
        <f t="shared" si="44"/>
        <v>0</v>
      </c>
      <c r="H143" s="13">
        <f t="shared" ref="H143" si="45">+H142-H10-H8</f>
        <v>0</v>
      </c>
      <c r="I143" s="13">
        <f>+I142-I10-I8</f>
        <v>0</v>
      </c>
    </row>
    <row r="144" spans="1:9" x14ac:dyDescent="0.3">
      <c r="A144" s="1" t="s">
        <v>117</v>
      </c>
    </row>
    <row r="145" spans="1:9" x14ac:dyDescent="0.3">
      <c r="A145" s="2" t="s">
        <v>100</v>
      </c>
      <c r="B145">
        <v>632</v>
      </c>
      <c r="C145">
        <v>742</v>
      </c>
      <c r="D145">
        <v>819</v>
      </c>
      <c r="E145">
        <v>848</v>
      </c>
      <c r="F145">
        <v>814</v>
      </c>
      <c r="G145">
        <v>645</v>
      </c>
      <c r="H145" s="3">
        <v>617</v>
      </c>
      <c r="I145" s="3">
        <v>639</v>
      </c>
    </row>
    <row r="146" spans="1:9" x14ac:dyDescent="0.3">
      <c r="A146" s="2" t="s">
        <v>101</v>
      </c>
      <c r="B146">
        <v>451</v>
      </c>
      <c r="C146">
        <v>589</v>
      </c>
      <c r="D146">
        <v>709</v>
      </c>
      <c r="E146">
        <v>849</v>
      </c>
      <c r="F146">
        <v>929</v>
      </c>
      <c r="G146">
        <v>885</v>
      </c>
      <c r="H146" s="3">
        <v>982</v>
      </c>
      <c r="I146" s="3">
        <v>920</v>
      </c>
    </row>
    <row r="147" spans="1:9" x14ac:dyDescent="0.3">
      <c r="A147" s="2" t="s">
        <v>102</v>
      </c>
      <c r="B147">
        <v>254</v>
      </c>
      <c r="C147">
        <v>234</v>
      </c>
      <c r="D147">
        <v>225</v>
      </c>
      <c r="E147">
        <v>256</v>
      </c>
      <c r="F147">
        <v>237</v>
      </c>
      <c r="G147">
        <v>214</v>
      </c>
      <c r="H147" s="3">
        <v>288</v>
      </c>
      <c r="I147" s="3">
        <v>303</v>
      </c>
    </row>
    <row r="148" spans="1:9" x14ac:dyDescent="0.3">
      <c r="A148" s="2" t="s">
        <v>118</v>
      </c>
      <c r="B148">
        <v>340</v>
      </c>
      <c r="C148">
        <v>340</v>
      </c>
      <c r="D148">
        <v>326</v>
      </c>
      <c r="E148">
        <v>339</v>
      </c>
      <c r="F148">
        <v>326</v>
      </c>
      <c r="G148">
        <v>296</v>
      </c>
      <c r="H148" s="3">
        <v>304</v>
      </c>
      <c r="I148" s="3">
        <v>274</v>
      </c>
    </row>
    <row r="149" spans="1:9" x14ac:dyDescent="0.3">
      <c r="A149" s="2" t="s">
        <v>107</v>
      </c>
      <c r="B149">
        <v>484</v>
      </c>
      <c r="C149">
        <v>484</v>
      </c>
      <c r="D149">
        <v>533</v>
      </c>
      <c r="E149">
        <v>597</v>
      </c>
      <c r="F149">
        <v>665</v>
      </c>
      <c r="G149">
        <v>830</v>
      </c>
      <c r="H149" s="3">
        <v>780</v>
      </c>
      <c r="I149" s="3">
        <v>789</v>
      </c>
    </row>
    <row r="150" spans="1:9" x14ac:dyDescent="0.3">
      <c r="A150" s="4" t="s">
        <v>119</v>
      </c>
      <c r="B150" s="5">
        <f t="shared" ref="B150:G150" si="46">+SUM(B145:B149)</f>
        <v>2161</v>
      </c>
      <c r="C150" s="5">
        <f t="shared" si="46"/>
        <v>2389</v>
      </c>
      <c r="D150" s="5">
        <f t="shared" si="46"/>
        <v>2612</v>
      </c>
      <c r="E150" s="5">
        <f t="shared" si="46"/>
        <v>2889</v>
      </c>
      <c r="F150" s="5">
        <f t="shared" si="46"/>
        <v>2971</v>
      </c>
      <c r="G150" s="5">
        <f t="shared" si="46"/>
        <v>2870</v>
      </c>
      <c r="H150" s="5">
        <f t="shared" ref="H150:I150" si="47">+SUM(H145:H149)</f>
        <v>2971</v>
      </c>
      <c r="I150" s="5">
        <f t="shared" si="47"/>
        <v>2925</v>
      </c>
    </row>
    <row r="151" spans="1:9" x14ac:dyDescent="0.3">
      <c r="A151" s="2" t="s">
        <v>104</v>
      </c>
      <c r="B151">
        <v>122</v>
      </c>
      <c r="C151">
        <v>125</v>
      </c>
      <c r="D151">
        <v>125</v>
      </c>
      <c r="E151">
        <v>115</v>
      </c>
      <c r="F151">
        <v>100</v>
      </c>
      <c r="G151">
        <v>80</v>
      </c>
      <c r="H151" s="3">
        <v>63</v>
      </c>
      <c r="I151" s="3">
        <v>49</v>
      </c>
    </row>
    <row r="152" spans="1:9" x14ac:dyDescent="0.3">
      <c r="A152" s="2" t="s">
        <v>108</v>
      </c>
      <c r="B152">
        <v>713</v>
      </c>
      <c r="C152">
        <v>937</v>
      </c>
      <c r="D152">
        <v>1238</v>
      </c>
      <c r="E152">
        <v>1450</v>
      </c>
      <c r="F152">
        <v>1673</v>
      </c>
      <c r="G152">
        <v>1916</v>
      </c>
      <c r="H152" s="3">
        <v>1870</v>
      </c>
      <c r="I152" s="3">
        <v>1817</v>
      </c>
    </row>
    <row r="153" spans="1:9" ht="15" thickBot="1" x14ac:dyDescent="0.35">
      <c r="A153" s="6" t="s">
        <v>120</v>
      </c>
      <c r="B153" s="7">
        <f t="shared" ref="B153:G153" si="48">+SUM(B150:B152)</f>
        <v>2996</v>
      </c>
      <c r="C153" s="7">
        <f t="shared" si="48"/>
        <v>3451</v>
      </c>
      <c r="D153" s="7">
        <f t="shared" si="48"/>
        <v>3975</v>
      </c>
      <c r="E153" s="7">
        <f t="shared" si="48"/>
        <v>4454</v>
      </c>
      <c r="F153" s="7">
        <f t="shared" si="48"/>
        <v>4744</v>
      </c>
      <c r="G153" s="7">
        <f t="shared" si="48"/>
        <v>4866</v>
      </c>
      <c r="H153" s="7">
        <f t="shared" ref="H153" si="49">+SUM(H150:H152)</f>
        <v>4904</v>
      </c>
      <c r="I153" s="7">
        <f>+SUM(I150:I152)</f>
        <v>4791</v>
      </c>
    </row>
    <row r="154" spans="1:9" ht="15" thickTop="1" x14ac:dyDescent="0.3">
      <c r="A154" s="12" t="s">
        <v>111</v>
      </c>
      <c r="B154" s="13">
        <f t="shared" ref="B154:G154" si="50">+B153-B31</f>
        <v>0</v>
      </c>
      <c r="C154" s="13">
        <f t="shared" si="50"/>
        <v>0</v>
      </c>
      <c r="D154" s="13">
        <f t="shared" si="50"/>
        <v>0</v>
      </c>
      <c r="E154" s="13">
        <f t="shared" si="50"/>
        <v>0</v>
      </c>
      <c r="F154" s="13">
        <f t="shared" si="50"/>
        <v>0</v>
      </c>
      <c r="G154" s="13">
        <f t="shared" si="50"/>
        <v>0</v>
      </c>
      <c r="H154" s="13">
        <f t="shared" ref="H154" si="51">+H153-H31</f>
        <v>0</v>
      </c>
      <c r="I154" s="13">
        <f>+I153-I31</f>
        <v>0</v>
      </c>
    </row>
    <row r="155" spans="1:9" x14ac:dyDescent="0.3">
      <c r="A155" s="1" t="s">
        <v>122</v>
      </c>
    </row>
    <row r="156" spans="1:9" x14ac:dyDescent="0.3">
      <c r="A156" s="2" t="s">
        <v>100</v>
      </c>
      <c r="B156">
        <v>208</v>
      </c>
      <c r="C156">
        <v>242</v>
      </c>
      <c r="D156">
        <v>223</v>
      </c>
      <c r="E156">
        <v>196</v>
      </c>
      <c r="F156">
        <v>117</v>
      </c>
      <c r="G156">
        <v>110</v>
      </c>
      <c r="H156" s="3">
        <v>98</v>
      </c>
      <c r="I156" s="3">
        <v>146</v>
      </c>
    </row>
    <row r="157" spans="1:9" x14ac:dyDescent="0.3">
      <c r="A157" s="2" t="s">
        <v>101</v>
      </c>
      <c r="B157">
        <v>216</v>
      </c>
      <c r="C157">
        <v>215</v>
      </c>
      <c r="D157">
        <v>162</v>
      </c>
      <c r="E157">
        <v>240</v>
      </c>
      <c r="F157">
        <v>233</v>
      </c>
      <c r="G157">
        <v>139</v>
      </c>
      <c r="H157" s="3">
        <v>153</v>
      </c>
      <c r="I157" s="3">
        <v>197</v>
      </c>
    </row>
    <row r="158" spans="1:9" x14ac:dyDescent="0.3">
      <c r="A158" s="2" t="s">
        <v>102</v>
      </c>
      <c r="B158">
        <v>69</v>
      </c>
      <c r="C158">
        <v>44</v>
      </c>
      <c r="D158">
        <v>51</v>
      </c>
      <c r="E158">
        <v>76</v>
      </c>
      <c r="F158">
        <v>49</v>
      </c>
      <c r="G158">
        <v>28</v>
      </c>
      <c r="H158" s="3">
        <v>94</v>
      </c>
      <c r="I158" s="3">
        <v>78</v>
      </c>
    </row>
    <row r="159" spans="1:9" x14ac:dyDescent="0.3">
      <c r="A159" s="2" t="s">
        <v>118</v>
      </c>
      <c r="B159">
        <v>37</v>
      </c>
      <c r="C159">
        <v>51</v>
      </c>
      <c r="D159">
        <v>39</v>
      </c>
      <c r="E159">
        <v>49</v>
      </c>
      <c r="F159">
        <v>47</v>
      </c>
      <c r="G159">
        <v>41</v>
      </c>
      <c r="H159" s="3">
        <v>54</v>
      </c>
      <c r="I159" s="3">
        <v>56</v>
      </c>
    </row>
    <row r="160" spans="1:9" x14ac:dyDescent="0.3">
      <c r="A160" s="2" t="s">
        <v>107</v>
      </c>
      <c r="B160">
        <v>225</v>
      </c>
      <c r="C160">
        <v>258</v>
      </c>
      <c r="D160">
        <v>278</v>
      </c>
      <c r="E160">
        <v>286</v>
      </c>
      <c r="F160">
        <v>278</v>
      </c>
      <c r="G160">
        <v>438</v>
      </c>
      <c r="H160" s="3">
        <v>278</v>
      </c>
      <c r="I160" s="3">
        <v>222</v>
      </c>
    </row>
    <row r="161" spans="1:9" x14ac:dyDescent="0.3">
      <c r="A161" s="4" t="s">
        <v>119</v>
      </c>
      <c r="B161" s="5">
        <f t="shared" ref="B161:G161" si="52">+SUM(B156:B160)</f>
        <v>755</v>
      </c>
      <c r="C161" s="5">
        <f t="shared" si="52"/>
        <v>810</v>
      </c>
      <c r="D161" s="5">
        <f t="shared" si="52"/>
        <v>753</v>
      </c>
      <c r="E161" s="5">
        <f t="shared" si="52"/>
        <v>847</v>
      </c>
      <c r="F161" s="5">
        <f t="shared" si="52"/>
        <v>724</v>
      </c>
      <c r="G161" s="5">
        <f t="shared" si="52"/>
        <v>756</v>
      </c>
      <c r="H161" s="5">
        <f t="shared" ref="H161:I161" si="53">+SUM(H156:H160)</f>
        <v>677</v>
      </c>
      <c r="I161" s="5">
        <f t="shared" si="53"/>
        <v>699</v>
      </c>
    </row>
    <row r="162" spans="1:9" x14ac:dyDescent="0.3">
      <c r="A162" s="2" t="s">
        <v>104</v>
      </c>
      <c r="B162" s="3">
        <v>69</v>
      </c>
      <c r="C162" s="3">
        <v>39</v>
      </c>
      <c r="D162" s="3">
        <v>30</v>
      </c>
      <c r="E162" s="3">
        <v>22</v>
      </c>
      <c r="F162" s="3">
        <v>18</v>
      </c>
      <c r="G162">
        <v>12</v>
      </c>
      <c r="H162" s="3">
        <v>7</v>
      </c>
      <c r="I162" s="3">
        <v>9</v>
      </c>
    </row>
    <row r="163" spans="1:9" x14ac:dyDescent="0.3">
      <c r="A163" s="2" t="s">
        <v>108</v>
      </c>
      <c r="B163" s="3">
        <f t="shared" ref="B163:G163" si="54">-(SUM(B161:B162)+B81)</f>
        <v>139</v>
      </c>
      <c r="C163" s="3">
        <f t="shared" si="54"/>
        <v>294</v>
      </c>
      <c r="D163" s="3">
        <f t="shared" si="54"/>
        <v>322</v>
      </c>
      <c r="E163" s="3">
        <f t="shared" si="54"/>
        <v>159</v>
      </c>
      <c r="F163" s="3">
        <f t="shared" si="54"/>
        <v>377</v>
      </c>
      <c r="G163" s="3">
        <f t="shared" si="54"/>
        <v>318</v>
      </c>
      <c r="H163" s="3">
        <f t="shared" ref="H163" si="55">-(SUM(H161:H162)+H81)</f>
        <v>11</v>
      </c>
      <c r="I163" s="3">
        <f>-(SUM(I161:I162)+I81)</f>
        <v>50</v>
      </c>
    </row>
    <row r="164" spans="1:9" ht="15" thickBot="1" x14ac:dyDescent="0.35">
      <c r="A164" s="6" t="s">
        <v>123</v>
      </c>
      <c r="B164" s="7">
        <f t="shared" ref="B164:G164" si="56">+SUM(B161:B163)</f>
        <v>963</v>
      </c>
      <c r="C164" s="7">
        <f t="shared" si="56"/>
        <v>1143</v>
      </c>
      <c r="D164" s="7">
        <f t="shared" si="56"/>
        <v>1105</v>
      </c>
      <c r="E164" s="7">
        <f t="shared" si="56"/>
        <v>1028</v>
      </c>
      <c r="F164" s="7">
        <f t="shared" si="56"/>
        <v>1119</v>
      </c>
      <c r="G164" s="7">
        <f t="shared" si="56"/>
        <v>1086</v>
      </c>
      <c r="H164" s="7">
        <f t="shared" ref="H164" si="57">+SUM(H161:H163)</f>
        <v>695</v>
      </c>
      <c r="I164" s="7">
        <f>+SUM(I161:I163)</f>
        <v>758</v>
      </c>
    </row>
    <row r="165" spans="1:9" ht="15" thickTop="1" x14ac:dyDescent="0.3">
      <c r="A165" s="12" t="s">
        <v>111</v>
      </c>
      <c r="B165" s="13">
        <f t="shared" ref="B165:G165" si="58">+B164+B81</f>
        <v>0</v>
      </c>
      <c r="C165" s="13">
        <f t="shared" si="58"/>
        <v>0</v>
      </c>
      <c r="D165" s="13">
        <f t="shared" si="58"/>
        <v>0</v>
      </c>
      <c r="E165" s="13">
        <f t="shared" si="58"/>
        <v>0</v>
      </c>
      <c r="F165" s="13">
        <f t="shared" si="58"/>
        <v>0</v>
      </c>
      <c r="G165" s="13">
        <f t="shared" si="58"/>
        <v>0</v>
      </c>
      <c r="H165" s="13">
        <f t="shared" ref="H165" si="59">+H164+H81</f>
        <v>0</v>
      </c>
      <c r="I165" s="13">
        <f>+I164+I81</f>
        <v>0</v>
      </c>
    </row>
    <row r="166" spans="1:9" x14ac:dyDescent="0.3">
      <c r="A166" s="1" t="s">
        <v>124</v>
      </c>
    </row>
    <row r="167" spans="1:9" x14ac:dyDescent="0.3">
      <c r="A167" s="2" t="s">
        <v>100</v>
      </c>
      <c r="B167">
        <v>121</v>
      </c>
      <c r="C167">
        <v>133</v>
      </c>
      <c r="D167">
        <v>140</v>
      </c>
      <c r="E167">
        <v>160</v>
      </c>
      <c r="F167">
        <v>149</v>
      </c>
      <c r="G167">
        <v>148</v>
      </c>
      <c r="H167" s="3">
        <v>130</v>
      </c>
      <c r="I167" s="3">
        <v>124</v>
      </c>
    </row>
    <row r="168" spans="1:9" x14ac:dyDescent="0.3">
      <c r="A168" s="2" t="s">
        <v>101</v>
      </c>
      <c r="B168">
        <v>75</v>
      </c>
      <c r="C168">
        <v>72</v>
      </c>
      <c r="D168">
        <v>91</v>
      </c>
      <c r="E168">
        <v>116</v>
      </c>
      <c r="F168">
        <v>111</v>
      </c>
      <c r="G168">
        <v>132</v>
      </c>
      <c r="H168" s="3">
        <v>136</v>
      </c>
      <c r="I168" s="3">
        <v>134</v>
      </c>
    </row>
    <row r="169" spans="1:9" x14ac:dyDescent="0.3">
      <c r="A169" s="2" t="s">
        <v>102</v>
      </c>
      <c r="B169">
        <v>46</v>
      </c>
      <c r="C169">
        <v>48</v>
      </c>
      <c r="D169">
        <v>54</v>
      </c>
      <c r="E169">
        <v>56</v>
      </c>
      <c r="F169">
        <v>50</v>
      </c>
      <c r="G169">
        <v>44</v>
      </c>
      <c r="H169" s="3">
        <v>46</v>
      </c>
      <c r="I169" s="3">
        <v>41</v>
      </c>
    </row>
    <row r="170" spans="1:9" x14ac:dyDescent="0.3">
      <c r="A170" s="2" t="s">
        <v>106</v>
      </c>
      <c r="B170">
        <v>27</v>
      </c>
      <c r="C170">
        <v>38</v>
      </c>
      <c r="D170">
        <v>38</v>
      </c>
      <c r="E170">
        <v>55</v>
      </c>
      <c r="F170">
        <v>53</v>
      </c>
      <c r="G170">
        <v>46</v>
      </c>
      <c r="H170" s="3">
        <v>43</v>
      </c>
      <c r="I170" s="3">
        <v>42</v>
      </c>
    </row>
    <row r="171" spans="1:9" x14ac:dyDescent="0.3">
      <c r="A171" s="2" t="s">
        <v>107</v>
      </c>
      <c r="B171">
        <v>210</v>
      </c>
      <c r="C171">
        <v>230</v>
      </c>
      <c r="D171">
        <v>233</v>
      </c>
      <c r="E171">
        <v>217</v>
      </c>
      <c r="F171">
        <v>195</v>
      </c>
      <c r="G171">
        <v>214</v>
      </c>
      <c r="H171" s="3">
        <v>222</v>
      </c>
      <c r="I171" s="3">
        <v>220</v>
      </c>
    </row>
    <row r="172" spans="1:9" x14ac:dyDescent="0.3">
      <c r="A172" s="4" t="s">
        <v>119</v>
      </c>
      <c r="B172" s="5">
        <f t="shared" ref="B172:G172" si="60">+SUM(B167:B171)</f>
        <v>479</v>
      </c>
      <c r="C172" s="5">
        <f t="shared" si="60"/>
        <v>521</v>
      </c>
      <c r="D172" s="5">
        <f t="shared" si="60"/>
        <v>556</v>
      </c>
      <c r="E172" s="5">
        <f t="shared" si="60"/>
        <v>604</v>
      </c>
      <c r="F172" s="5">
        <f t="shared" si="60"/>
        <v>558</v>
      </c>
      <c r="G172" s="5">
        <f t="shared" si="60"/>
        <v>584</v>
      </c>
      <c r="H172" s="5">
        <f t="shared" ref="H172:I172" si="61">+SUM(H167:H171)</f>
        <v>577</v>
      </c>
      <c r="I172" s="5">
        <f t="shared" si="61"/>
        <v>561</v>
      </c>
    </row>
    <row r="173" spans="1:9" x14ac:dyDescent="0.3">
      <c r="A173" s="2" t="s">
        <v>104</v>
      </c>
      <c r="B173">
        <v>18</v>
      </c>
      <c r="C173">
        <v>27</v>
      </c>
      <c r="D173">
        <v>28</v>
      </c>
      <c r="E173">
        <v>33</v>
      </c>
      <c r="F173">
        <v>31</v>
      </c>
      <c r="G173">
        <v>25</v>
      </c>
      <c r="H173" s="3">
        <v>26</v>
      </c>
      <c r="I173" s="3">
        <v>22</v>
      </c>
    </row>
    <row r="174" spans="1:9" x14ac:dyDescent="0.3">
      <c r="A174" s="2" t="s">
        <v>108</v>
      </c>
      <c r="B174">
        <v>75</v>
      </c>
      <c r="C174">
        <v>84</v>
      </c>
      <c r="D174">
        <v>91</v>
      </c>
      <c r="E174">
        <v>110</v>
      </c>
      <c r="F174">
        <v>116</v>
      </c>
      <c r="G174">
        <v>112</v>
      </c>
      <c r="H174" s="3">
        <v>141</v>
      </c>
      <c r="I174" s="3">
        <v>134</v>
      </c>
    </row>
    <row r="175" spans="1:9" ht="15" thickBot="1" x14ac:dyDescent="0.35">
      <c r="A175" s="6" t="s">
        <v>125</v>
      </c>
      <c r="B175" s="7">
        <f t="shared" ref="B175:G175" si="62">+SUM(B172:B174)</f>
        <v>572</v>
      </c>
      <c r="C175" s="7">
        <f t="shared" si="62"/>
        <v>632</v>
      </c>
      <c r="D175" s="7">
        <f t="shared" si="62"/>
        <v>675</v>
      </c>
      <c r="E175" s="7">
        <f t="shared" si="62"/>
        <v>747</v>
      </c>
      <c r="F175" s="7">
        <f t="shared" si="62"/>
        <v>705</v>
      </c>
      <c r="G175" s="7">
        <f t="shared" si="62"/>
        <v>721</v>
      </c>
      <c r="H175" s="7">
        <f t="shared" ref="H175" si="63">+SUM(H172:H174)</f>
        <v>744</v>
      </c>
      <c r="I175" s="7">
        <f>+SUM(I172:I174)</f>
        <v>717</v>
      </c>
    </row>
    <row r="176" spans="1:9" ht="15" thickTop="1" x14ac:dyDescent="0.3">
      <c r="A176" s="12" t="s">
        <v>111</v>
      </c>
      <c r="B176" s="13">
        <f t="shared" ref="B176:G176" si="64">+B175-B66</f>
        <v>0</v>
      </c>
      <c r="C176" s="13">
        <f t="shared" si="64"/>
        <v>0</v>
      </c>
      <c r="D176" s="13">
        <f t="shared" si="64"/>
        <v>0</v>
      </c>
      <c r="E176" s="13">
        <f t="shared" si="64"/>
        <v>0</v>
      </c>
      <c r="F176" s="13">
        <f t="shared" si="64"/>
        <v>0</v>
      </c>
      <c r="G176" s="13">
        <f t="shared" si="64"/>
        <v>0</v>
      </c>
      <c r="H176" s="13">
        <f t="shared" ref="H176" si="65">+H175-H66</f>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7.0000000000000007E-2</v>
      </c>
      <c r="C179" s="33">
        <v>7.0000000000000007E-2</v>
      </c>
      <c r="D179" s="33">
        <v>7.0000000000000007E-2</v>
      </c>
      <c r="E179" s="33">
        <v>7.0000000000000007E-2</v>
      </c>
      <c r="F179" s="33">
        <v>7.0000000000000007E-2</v>
      </c>
      <c r="G179" s="33">
        <v>7.0000000000000007E-2</v>
      </c>
      <c r="H179" s="33">
        <v>7.0000000000000007E-2</v>
      </c>
      <c r="I179" s="33">
        <v>7.0000000000000007E-2</v>
      </c>
    </row>
    <row r="180" spans="1:9" x14ac:dyDescent="0.3">
      <c r="A180" s="30" t="s">
        <v>113</v>
      </c>
      <c r="B180" s="29">
        <v>0.08</v>
      </c>
      <c r="C180" s="29">
        <v>0.1</v>
      </c>
      <c r="D180" s="29">
        <v>0.04</v>
      </c>
      <c r="E180" s="29">
        <v>-0.04</v>
      </c>
      <c r="F180" s="29">
        <v>0.08</v>
      </c>
      <c r="G180" s="29">
        <v>-7.0000000000000007E-2</v>
      </c>
      <c r="H180" s="29">
        <v>0.19</v>
      </c>
      <c r="I180" s="29">
        <v>0.05</v>
      </c>
    </row>
    <row r="181" spans="1:9" x14ac:dyDescent="0.3">
      <c r="A181" s="30" t="s">
        <v>114</v>
      </c>
      <c r="B181" s="29">
        <v>0.03</v>
      </c>
      <c r="C181" s="29">
        <v>0.08</v>
      </c>
      <c r="D181" s="29">
        <v>0.03</v>
      </c>
      <c r="E181" s="29">
        <v>0.01</v>
      </c>
      <c r="F181" s="29">
        <v>7.0000000000000007E-2</v>
      </c>
      <c r="G181" s="29">
        <v>-0.12</v>
      </c>
      <c r="H181" s="29">
        <v>0.19</v>
      </c>
      <c r="I181" s="29">
        <v>0.09</v>
      </c>
    </row>
    <row r="182" spans="1:9" x14ac:dyDescent="0.3">
      <c r="A182" s="30" t="s">
        <v>115</v>
      </c>
      <c r="B182" s="29">
        <v>-0.13</v>
      </c>
      <c r="C182" s="29">
        <v>-0.13</v>
      </c>
      <c r="D182" s="29">
        <v>-0.1</v>
      </c>
      <c r="E182" s="29">
        <v>-0.08</v>
      </c>
      <c r="F182" s="29">
        <v>0</v>
      </c>
      <c r="G182" s="29">
        <v>-0.08</v>
      </c>
      <c r="H182" s="29">
        <v>0.19</v>
      </c>
      <c r="I182" s="29">
        <v>0.25</v>
      </c>
    </row>
    <row r="183" spans="1:9" x14ac:dyDescent="0.3">
      <c r="A183" s="32" t="s">
        <v>101</v>
      </c>
      <c r="B183" s="33">
        <v>0.12</v>
      </c>
      <c r="C183" s="33">
        <v>0.12</v>
      </c>
      <c r="D183" s="33">
        <v>0.12</v>
      </c>
      <c r="E183" s="33">
        <v>0.12</v>
      </c>
      <c r="F183" s="33">
        <v>0.12</v>
      </c>
      <c r="G183" s="33">
        <v>0.12</v>
      </c>
      <c r="H183" s="33">
        <v>0.12</v>
      </c>
      <c r="I183" s="33">
        <v>0.12</v>
      </c>
    </row>
    <row r="184" spans="1:9" x14ac:dyDescent="0.3">
      <c r="A184" s="30" t="s">
        <v>113</v>
      </c>
      <c r="B184" s="29">
        <v>0.12</v>
      </c>
      <c r="C184" s="29">
        <v>0.16</v>
      </c>
      <c r="D184" s="29">
        <v>0.06</v>
      </c>
      <c r="E184" s="29">
        <v>0.09</v>
      </c>
      <c r="F184" s="29">
        <v>7.0000000000000007E-2</v>
      </c>
      <c r="G184" s="29">
        <v>-0.06</v>
      </c>
      <c r="H184" s="29">
        <v>0.17</v>
      </c>
      <c r="I184" s="29">
        <v>0.09</v>
      </c>
    </row>
    <row r="185" spans="1:9" x14ac:dyDescent="0.3">
      <c r="A185" s="30" t="s">
        <v>114</v>
      </c>
      <c r="B185" s="29">
        <v>0.09</v>
      </c>
      <c r="C185" s="29">
        <v>0.17</v>
      </c>
      <c r="D185" s="29">
        <v>0.23</v>
      </c>
      <c r="E185" s="29">
        <v>0.16</v>
      </c>
      <c r="F185" s="29">
        <v>0.05</v>
      </c>
      <c r="G185" s="29">
        <v>-0.01</v>
      </c>
      <c r="H185" s="29">
        <v>0.17</v>
      </c>
      <c r="I185" s="29">
        <v>0.16</v>
      </c>
    </row>
    <row r="186" spans="1:9" x14ac:dyDescent="0.3">
      <c r="A186" s="30" t="s">
        <v>115</v>
      </c>
      <c r="B186" s="29">
        <v>7.0000000000000007E-2</v>
      </c>
      <c r="C186" s="29">
        <v>0.06</v>
      </c>
      <c r="D186" s="29">
        <v>0.11</v>
      </c>
      <c r="E186" s="29">
        <v>0.05</v>
      </c>
      <c r="F186" s="29">
        <v>-0.03</v>
      </c>
      <c r="G186" s="29">
        <v>-7.0000000000000007E-2</v>
      </c>
      <c r="H186" s="29">
        <v>0.17</v>
      </c>
      <c r="I186" s="29">
        <v>0.17</v>
      </c>
    </row>
    <row r="187" spans="1:9" x14ac:dyDescent="0.3">
      <c r="A187" s="32" t="s">
        <v>102</v>
      </c>
      <c r="B187" s="33">
        <v>-0.13</v>
      </c>
      <c r="C187" s="33">
        <v>-0.13</v>
      </c>
      <c r="D187" s="33">
        <v>-0.13</v>
      </c>
      <c r="E187" s="33">
        <v>-0.13</v>
      </c>
      <c r="F187" s="33">
        <v>-0.13</v>
      </c>
      <c r="G187" s="33">
        <v>-0.13</v>
      </c>
      <c r="H187" s="33">
        <v>-0.13</v>
      </c>
      <c r="I187" s="33">
        <v>-0.13</v>
      </c>
    </row>
    <row r="188" spans="1:9" x14ac:dyDescent="0.3">
      <c r="A188" s="30" t="s">
        <v>113</v>
      </c>
      <c r="B188" s="29">
        <v>0.14000000000000001</v>
      </c>
      <c r="C188" s="29">
        <v>0.12</v>
      </c>
      <c r="D188" s="29">
        <v>0.1</v>
      </c>
      <c r="E188" s="29">
        <v>-0.05</v>
      </c>
      <c r="F188" s="29">
        <v>-0.13</v>
      </c>
      <c r="G188" s="29">
        <v>-0.1</v>
      </c>
      <c r="H188" s="29">
        <v>0.24</v>
      </c>
      <c r="I188" s="29">
        <v>-0.1</v>
      </c>
    </row>
    <row r="189" spans="1:9" x14ac:dyDescent="0.3">
      <c r="A189" s="30" t="s">
        <v>114</v>
      </c>
      <c r="B189" s="29">
        <v>0.17</v>
      </c>
      <c r="C189" s="29">
        <v>0.2</v>
      </c>
      <c r="D189" s="29">
        <v>0.25</v>
      </c>
      <c r="E189" s="29">
        <v>0.21</v>
      </c>
      <c r="F189" s="29">
        <v>0.19</v>
      </c>
      <c r="G189" s="29">
        <v>-0.06</v>
      </c>
      <c r="H189" s="29">
        <v>0.24</v>
      </c>
      <c r="I189" s="29">
        <v>-0.21</v>
      </c>
    </row>
    <row r="190" spans="1:9" x14ac:dyDescent="0.3">
      <c r="A190" s="30" t="s">
        <v>115</v>
      </c>
      <c r="B190" s="29">
        <v>0.06</v>
      </c>
      <c r="C190" s="29">
        <v>0.12</v>
      </c>
      <c r="D190" s="29">
        <v>0.11</v>
      </c>
      <c r="E190" s="29">
        <v>0.06</v>
      </c>
      <c r="F190" s="29">
        <v>0.01</v>
      </c>
      <c r="G190" s="29">
        <v>-7.0000000000000007E-2</v>
      </c>
      <c r="H190" s="29">
        <v>0.24</v>
      </c>
      <c r="I190" s="29">
        <v>-0.06</v>
      </c>
    </row>
    <row r="191" spans="1:9" x14ac:dyDescent="0.3">
      <c r="A191" s="32" t="s">
        <v>106</v>
      </c>
      <c r="B191" s="33">
        <v>0.16</v>
      </c>
      <c r="C191" s="33">
        <v>0.16</v>
      </c>
      <c r="D191" s="33">
        <v>0.16</v>
      </c>
      <c r="E191" s="33">
        <v>0.16</v>
      </c>
      <c r="F191" s="33">
        <v>0.16</v>
      </c>
      <c r="G191" s="33">
        <v>0.16</v>
      </c>
      <c r="H191" s="33">
        <v>0.16</v>
      </c>
      <c r="I191" s="33">
        <v>0.16</v>
      </c>
    </row>
    <row r="192" spans="1:9" x14ac:dyDescent="0.3">
      <c r="A192" s="30" t="s">
        <v>113</v>
      </c>
      <c r="B192" s="29">
        <v>0.12</v>
      </c>
      <c r="C192" s="29">
        <v>0.18</v>
      </c>
      <c r="D192" s="29">
        <v>0.06</v>
      </c>
      <c r="E192" s="29">
        <v>0.1</v>
      </c>
      <c r="F192" s="29">
        <v>0.13</v>
      </c>
      <c r="G192" s="29">
        <v>0.01</v>
      </c>
      <c r="H192" s="29">
        <v>0.08</v>
      </c>
      <c r="I192" s="29">
        <v>0.17</v>
      </c>
    </row>
    <row r="193" spans="1:9" x14ac:dyDescent="0.3">
      <c r="A193" s="30" t="s">
        <v>114</v>
      </c>
      <c r="B193" s="29">
        <v>7.0000000000000007E-2</v>
      </c>
      <c r="C193" s="29">
        <v>0.15</v>
      </c>
      <c r="D193" s="29">
        <v>0.23</v>
      </c>
      <c r="E193" s="29">
        <v>0.14000000000000001</v>
      </c>
      <c r="F193" s="29">
        <v>0.12</v>
      </c>
      <c r="G193" s="29">
        <v>0.03</v>
      </c>
      <c r="H193" s="29">
        <v>0.08</v>
      </c>
      <c r="I193" s="29">
        <v>0.12</v>
      </c>
    </row>
    <row r="194" spans="1:9" x14ac:dyDescent="0.3">
      <c r="A194" s="30" t="s">
        <v>115</v>
      </c>
      <c r="B194" s="29">
        <v>0.08</v>
      </c>
      <c r="C194" s="29">
        <v>7.0000000000000007E-2</v>
      </c>
      <c r="D194" s="29">
        <v>0.11</v>
      </c>
      <c r="E194" s="29">
        <v>0.09</v>
      </c>
      <c r="F194" s="29">
        <v>0.08</v>
      </c>
      <c r="G194" s="29">
        <v>-0.04</v>
      </c>
      <c r="H194" s="29">
        <v>0.08</v>
      </c>
      <c r="I194" s="29">
        <v>0.28000000000000003</v>
      </c>
    </row>
    <row r="195" spans="1:9" x14ac:dyDescent="0.3">
      <c r="A195" s="32" t="s">
        <v>107</v>
      </c>
      <c r="B195" s="33">
        <v>3.02</v>
      </c>
      <c r="C195" s="33">
        <v>3.02</v>
      </c>
      <c r="D195" s="33">
        <v>3.02</v>
      </c>
      <c r="E195" s="33">
        <v>3.02</v>
      </c>
      <c r="F195" s="33">
        <v>3.02</v>
      </c>
      <c r="G195" s="33">
        <v>3.02</v>
      </c>
      <c r="H195" s="33">
        <v>3.02</v>
      </c>
      <c r="I195" s="33">
        <v>3.02</v>
      </c>
    </row>
    <row r="196" spans="1:9" x14ac:dyDescent="0.3">
      <c r="A196" s="34" t="s">
        <v>103</v>
      </c>
      <c r="B196" s="36">
        <v>0.1</v>
      </c>
      <c r="C196" s="36">
        <v>0.12</v>
      </c>
      <c r="D196" s="36">
        <v>0.08</v>
      </c>
      <c r="E196" s="36">
        <v>0.06</v>
      </c>
      <c r="F196" s="36">
        <v>7.0000000000000007E-2</v>
      </c>
      <c r="G196" s="36">
        <v>0.06</v>
      </c>
      <c r="H196" s="36">
        <v>0.19</v>
      </c>
      <c r="I196" s="36">
        <v>0.06</v>
      </c>
    </row>
    <row r="197" spans="1:9" x14ac:dyDescent="0.3">
      <c r="A197" s="32" t="s">
        <v>104</v>
      </c>
      <c r="B197" s="33">
        <v>0.18</v>
      </c>
      <c r="C197" s="33">
        <v>0.02</v>
      </c>
      <c r="D197" s="33">
        <v>-0.08</v>
      </c>
      <c r="E197" s="33">
        <v>-0.01</v>
      </c>
      <c r="F197" s="33">
        <v>-0.01</v>
      </c>
      <c r="G197" s="33">
        <v>-0.1</v>
      </c>
      <c r="H197" s="33">
        <v>0.19</v>
      </c>
      <c r="I197" s="33">
        <v>7.0000000000000007E-2</v>
      </c>
    </row>
    <row r="198" spans="1:9" x14ac:dyDescent="0.3">
      <c r="A198" s="30" t="s">
        <v>113</v>
      </c>
      <c r="B198" s="29">
        <v>0.13</v>
      </c>
      <c r="C198" s="29">
        <v>0.15</v>
      </c>
      <c r="D198" s="29">
        <v>0.06</v>
      </c>
      <c r="E198" s="29">
        <v>0.04</v>
      </c>
      <c r="F198" s="29">
        <v>0.08</v>
      </c>
      <c r="G198" s="29">
        <v>-0.04</v>
      </c>
      <c r="H198" s="29">
        <v>0.16</v>
      </c>
      <c r="I198" s="29">
        <v>0.06</v>
      </c>
    </row>
    <row r="199" spans="1:9" x14ac:dyDescent="0.3">
      <c r="A199" s="30" t="s">
        <v>114</v>
      </c>
      <c r="B199" s="29">
        <v>0.1</v>
      </c>
      <c r="C199" s="29">
        <v>0.11</v>
      </c>
      <c r="D199" s="29">
        <v>0.09</v>
      </c>
      <c r="E199" s="29">
        <v>0.11</v>
      </c>
      <c r="F199" s="29">
        <v>0.08</v>
      </c>
      <c r="G199" s="29">
        <v>-0.06</v>
      </c>
      <c r="H199" s="29">
        <v>0.16</v>
      </c>
      <c r="I199" s="29">
        <v>-0.03</v>
      </c>
    </row>
    <row r="200" spans="1:9" x14ac:dyDescent="0.3">
      <c r="A200" s="30" t="s">
        <v>115</v>
      </c>
      <c r="B200" s="29">
        <v>0.01</v>
      </c>
      <c r="C200" s="29">
        <v>0.04</v>
      </c>
      <c r="D200" s="29">
        <v>-0.02</v>
      </c>
      <c r="E200" s="29">
        <v>-0.02</v>
      </c>
      <c r="F200" s="29">
        <v>-0.05</v>
      </c>
      <c r="G200" s="29">
        <v>-0.08</v>
      </c>
      <c r="H200" s="29">
        <v>0.16</v>
      </c>
      <c r="I200" s="29">
        <v>-0.16</v>
      </c>
    </row>
    <row r="201" spans="1:9" x14ac:dyDescent="0.3">
      <c r="A201" s="30" t="s">
        <v>121</v>
      </c>
      <c r="B201" s="29">
        <v>0.01</v>
      </c>
      <c r="C201" s="29">
        <v>0.04</v>
      </c>
      <c r="D201" s="29">
        <v>-0.02</v>
      </c>
      <c r="E201" s="29">
        <v>-0.02</v>
      </c>
      <c r="F201" s="29">
        <v>-0.05</v>
      </c>
      <c r="G201" s="29">
        <v>-0.08</v>
      </c>
      <c r="H201" s="29">
        <v>0.16</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0.06</v>
      </c>
      <c r="C203" s="35">
        <v>7.0000000000000007E-2</v>
      </c>
      <c r="D203" s="35">
        <v>0.08</v>
      </c>
      <c r="E203" s="35">
        <v>7.0000000000000007E-2</v>
      </c>
      <c r="F203" s="35">
        <v>0.06</v>
      </c>
      <c r="G203" s="35">
        <v>0.05</v>
      </c>
      <c r="H203" s="35">
        <v>0.19</v>
      </c>
      <c r="I203" s="35">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workbookViewId="0">
      <selection activeCell="A21" sqref="A21"/>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68">
        <v>30601</v>
      </c>
      <c r="C3" s="68">
        <v>32376</v>
      </c>
      <c r="D3" s="68">
        <v>34350</v>
      </c>
      <c r="E3" s="68">
        <v>36397</v>
      </c>
      <c r="F3" s="68">
        <v>39117</v>
      </c>
      <c r="G3" s="68">
        <v>37403</v>
      </c>
      <c r="H3" s="68">
        <v>44538</v>
      </c>
      <c r="I3" s="68">
        <v>46710</v>
      </c>
      <c r="J3" s="68">
        <v>49045.5</v>
      </c>
      <c r="K3" s="68">
        <v>51497.78</v>
      </c>
      <c r="L3" s="68">
        <v>54072.66</v>
      </c>
      <c r="M3" s="68">
        <v>56776.3</v>
      </c>
      <c r="N3" s="68">
        <v>59615.11</v>
      </c>
      <c r="O3" t="s">
        <v>142</v>
      </c>
    </row>
    <row r="4" spans="1:15" x14ac:dyDescent="0.3">
      <c r="A4" s="40" t="s">
        <v>129</v>
      </c>
      <c r="B4" s="69">
        <v>0.06</v>
      </c>
      <c r="C4" s="69">
        <v>0.06</v>
      </c>
      <c r="D4" s="69">
        <v>0.06</v>
      </c>
      <c r="E4" s="69">
        <v>7.0000000000000007E-2</v>
      </c>
      <c r="F4" s="69">
        <v>-0.04</v>
      </c>
      <c r="G4" s="69">
        <v>0.19</v>
      </c>
      <c r="H4" s="69">
        <v>0.05</v>
      </c>
      <c r="I4" s="69">
        <v>0.05</v>
      </c>
      <c r="J4" s="69">
        <v>0.05</v>
      </c>
      <c r="K4" s="69">
        <v>0.05</v>
      </c>
      <c r="L4" s="69">
        <v>0.05</v>
      </c>
      <c r="M4" s="69">
        <v>0.05</v>
      </c>
      <c r="N4" s="69">
        <v>0.05</v>
      </c>
    </row>
    <row r="5" spans="1:15" x14ac:dyDescent="0.3">
      <c r="A5" s="39" t="s">
        <v>130</v>
      </c>
      <c r="B5" s="68">
        <v>7200</v>
      </c>
      <c r="C5" s="68">
        <v>7600</v>
      </c>
      <c r="D5" s="68">
        <v>8000</v>
      </c>
      <c r="E5" s="68">
        <v>8300</v>
      </c>
      <c r="F5" s="68">
        <v>8500</v>
      </c>
      <c r="G5" s="68">
        <v>7000</v>
      </c>
      <c r="H5" s="68">
        <v>9500</v>
      </c>
      <c r="I5" s="68">
        <v>9800</v>
      </c>
      <c r="J5" s="68">
        <v>10113.6</v>
      </c>
      <c r="K5" s="68">
        <v>10437.24</v>
      </c>
      <c r="L5" s="68">
        <v>10771.23</v>
      </c>
      <c r="M5" s="68">
        <v>11115.91</v>
      </c>
      <c r="N5" s="68">
        <v>11471.61</v>
      </c>
      <c r="O5" t="s">
        <v>143</v>
      </c>
    </row>
    <row r="6" spans="1:15" x14ac:dyDescent="0.3">
      <c r="A6" s="40" t="s">
        <v>129</v>
      </c>
      <c r="B6" s="70">
        <v>5.6000000000000001E-2</v>
      </c>
      <c r="C6" s="70">
        <v>5.2999999999999999E-2</v>
      </c>
      <c r="D6" s="70">
        <v>3.7999999999999999E-2</v>
      </c>
      <c r="E6" s="70">
        <v>2.4E-2</v>
      </c>
      <c r="F6" s="70">
        <v>-0.17599999999999999</v>
      </c>
      <c r="G6" s="70">
        <v>0.35699999999999998</v>
      </c>
      <c r="H6" s="70">
        <v>3.2000000000000001E-2</v>
      </c>
      <c r="I6" s="70">
        <v>3.2000000000000001E-2</v>
      </c>
      <c r="J6" s="70">
        <v>3.2000000000000001E-2</v>
      </c>
      <c r="K6" s="70">
        <v>3.2000000000000001E-2</v>
      </c>
      <c r="L6" s="70">
        <v>3.2000000000000001E-2</v>
      </c>
      <c r="M6" s="70">
        <v>3.2000000000000001E-2</v>
      </c>
      <c r="N6" s="70">
        <v>3.2000000000000001E-2</v>
      </c>
    </row>
    <row r="7" spans="1:15" x14ac:dyDescent="0.3">
      <c r="A7" s="40" t="s">
        <v>131</v>
      </c>
      <c r="B7" s="70">
        <v>0.23499999999999999</v>
      </c>
      <c r="C7" s="70">
        <v>0.23499999999999999</v>
      </c>
      <c r="D7" s="70">
        <v>0.23300000000000001</v>
      </c>
      <c r="E7" s="70">
        <v>0.22800000000000001</v>
      </c>
      <c r="F7" s="70">
        <v>0.217</v>
      </c>
      <c r="G7" s="70">
        <v>0.187</v>
      </c>
      <c r="H7" s="70">
        <v>0.21299999999999999</v>
      </c>
      <c r="I7" s="70">
        <v>0.21</v>
      </c>
      <c r="J7" s="70">
        <v>0.21</v>
      </c>
      <c r="K7" s="70">
        <v>0.21</v>
      </c>
      <c r="L7" s="70">
        <v>0.21</v>
      </c>
      <c r="M7" s="70">
        <v>0.21</v>
      </c>
      <c r="N7" s="70">
        <v>0.21</v>
      </c>
    </row>
    <row r="8" spans="1:15" x14ac:dyDescent="0.3">
      <c r="A8" s="39" t="s">
        <v>132</v>
      </c>
      <c r="B8" s="68">
        <v>1500</v>
      </c>
      <c r="C8" s="68">
        <v>1600</v>
      </c>
      <c r="D8" s="68">
        <v>1700</v>
      </c>
      <c r="E8" s="68">
        <v>1800</v>
      </c>
      <c r="F8" s="68">
        <v>1850</v>
      </c>
      <c r="G8" s="68">
        <v>1750</v>
      </c>
      <c r="H8" s="68">
        <v>1900</v>
      </c>
      <c r="I8" s="68">
        <v>2000</v>
      </c>
      <c r="J8" s="68">
        <v>2106</v>
      </c>
      <c r="K8" s="68">
        <v>2217.62</v>
      </c>
      <c r="L8" s="68">
        <v>2335.15</v>
      </c>
      <c r="M8" s="68">
        <v>2458.91</v>
      </c>
      <c r="N8" s="68">
        <v>2589.2399999999998</v>
      </c>
      <c r="O8" t="s">
        <v>144</v>
      </c>
    </row>
    <row r="9" spans="1:15" x14ac:dyDescent="0.3">
      <c r="A9" s="40" t="s">
        <v>129</v>
      </c>
      <c r="B9" s="70">
        <v>6.7000000000000004E-2</v>
      </c>
      <c r="C9" s="70">
        <v>6.3E-2</v>
      </c>
      <c r="D9" s="70">
        <v>5.8999999999999997E-2</v>
      </c>
      <c r="E9" s="70">
        <v>2.8000000000000001E-2</v>
      </c>
      <c r="F9" s="70">
        <v>-5.3999999999999999E-2</v>
      </c>
      <c r="G9" s="70">
        <v>8.5999999999999993E-2</v>
      </c>
      <c r="H9" s="70">
        <v>5.2999999999999999E-2</v>
      </c>
      <c r="I9" s="70">
        <v>5.2999999999999999E-2</v>
      </c>
      <c r="J9" s="70">
        <v>5.2999999999999999E-2</v>
      </c>
      <c r="K9" s="70">
        <v>5.2999999999999999E-2</v>
      </c>
      <c r="L9" s="70">
        <v>5.2999999999999999E-2</v>
      </c>
      <c r="M9" s="70">
        <v>5.2999999999999999E-2</v>
      </c>
      <c r="N9" s="70">
        <v>5.2999999999999999E-2</v>
      </c>
    </row>
    <row r="10" spans="1:15" x14ac:dyDescent="0.3">
      <c r="A10" s="40" t="s">
        <v>133</v>
      </c>
      <c r="B10" s="70">
        <v>4.9000000000000002E-2</v>
      </c>
      <c r="C10" s="70">
        <v>4.9000000000000002E-2</v>
      </c>
      <c r="D10" s="70">
        <v>0.05</v>
      </c>
      <c r="E10" s="70">
        <v>4.9000000000000002E-2</v>
      </c>
      <c r="F10" s="70">
        <v>4.7E-2</v>
      </c>
      <c r="G10" s="70">
        <v>4.7E-2</v>
      </c>
      <c r="H10" s="70">
        <v>4.2999999999999997E-2</v>
      </c>
      <c r="I10" s="70">
        <v>4.2999999999999997E-2</v>
      </c>
      <c r="J10" s="70">
        <v>4.2999999999999997E-2</v>
      </c>
      <c r="K10" s="70">
        <v>4.2999999999999997E-2</v>
      </c>
      <c r="L10" s="70">
        <v>4.2999999999999997E-2</v>
      </c>
      <c r="M10" s="70">
        <v>4.2999999999999997E-2</v>
      </c>
      <c r="N10" s="70">
        <v>4.2999999999999997E-2</v>
      </c>
    </row>
    <row r="11" spans="1:15" x14ac:dyDescent="0.3">
      <c r="A11" s="39" t="s">
        <v>134</v>
      </c>
      <c r="B11" s="68">
        <v>4500</v>
      </c>
      <c r="C11" s="68">
        <v>4800</v>
      </c>
      <c r="D11" s="68">
        <v>5100</v>
      </c>
      <c r="E11" s="68">
        <v>5200</v>
      </c>
      <c r="F11" s="68">
        <v>5400</v>
      </c>
      <c r="G11" s="68">
        <v>3000</v>
      </c>
      <c r="H11" s="68">
        <v>6923</v>
      </c>
      <c r="I11" s="68">
        <v>6856</v>
      </c>
      <c r="J11" s="68">
        <v>6787.44</v>
      </c>
      <c r="K11" s="68">
        <v>6719.57</v>
      </c>
      <c r="L11" s="68">
        <v>6652.37</v>
      </c>
      <c r="M11" s="68">
        <v>6585.85</v>
      </c>
      <c r="N11" s="68">
        <v>6519.99</v>
      </c>
      <c r="O11" t="s">
        <v>145</v>
      </c>
    </row>
    <row r="12" spans="1:15" x14ac:dyDescent="0.3">
      <c r="A12" s="40" t="s">
        <v>129</v>
      </c>
      <c r="B12" s="70">
        <v>6.7000000000000004E-2</v>
      </c>
      <c r="C12" s="70">
        <v>6.3E-2</v>
      </c>
      <c r="D12" s="70">
        <v>0.02</v>
      </c>
      <c r="E12" s="70">
        <v>3.7999999999999999E-2</v>
      </c>
      <c r="F12" s="70">
        <v>-0.44400000000000001</v>
      </c>
      <c r="G12" s="70">
        <v>1.3069999999999999</v>
      </c>
      <c r="H12" s="70">
        <v>-0.01</v>
      </c>
      <c r="I12" s="70">
        <v>-0.01</v>
      </c>
      <c r="J12" s="70">
        <v>-0.01</v>
      </c>
      <c r="K12" s="70">
        <v>-0.01</v>
      </c>
      <c r="L12" s="70">
        <v>-0.01</v>
      </c>
      <c r="M12" s="70">
        <v>-0.01</v>
      </c>
      <c r="N12" s="70">
        <v>-0.01</v>
      </c>
    </row>
    <row r="13" spans="1:15" x14ac:dyDescent="0.3">
      <c r="A13" s="40" t="s">
        <v>131</v>
      </c>
      <c r="B13" s="70">
        <v>0.14699999999999999</v>
      </c>
      <c r="C13" s="70">
        <v>0.15</v>
      </c>
      <c r="D13" s="70">
        <v>0.152</v>
      </c>
      <c r="E13" s="70">
        <v>0.14299999999999999</v>
      </c>
      <c r="F13" s="70">
        <v>0.14499999999999999</v>
      </c>
      <c r="G13" s="70">
        <v>0.08</v>
      </c>
      <c r="H13" s="70">
        <v>0.155</v>
      </c>
      <c r="I13" s="70">
        <v>0.14699999999999999</v>
      </c>
      <c r="J13" s="70">
        <v>0.14699999999999999</v>
      </c>
      <c r="K13" s="70">
        <v>0.14699999999999999</v>
      </c>
      <c r="L13" s="70">
        <v>0.14699999999999999</v>
      </c>
      <c r="M13" s="70">
        <v>0.14699999999999999</v>
      </c>
      <c r="N13" s="70">
        <v>0.14699999999999999</v>
      </c>
    </row>
    <row r="14" spans="1:15" x14ac:dyDescent="0.3">
      <c r="A14" s="39" t="s">
        <v>135</v>
      </c>
      <c r="B14" s="68">
        <v>1200</v>
      </c>
      <c r="C14" s="68">
        <v>1300</v>
      </c>
      <c r="D14" s="68">
        <v>1350</v>
      </c>
      <c r="E14" s="68">
        <v>1400</v>
      </c>
      <c r="F14" s="68">
        <v>1500</v>
      </c>
      <c r="G14" s="68">
        <v>1000</v>
      </c>
      <c r="H14" s="68">
        <v>1600</v>
      </c>
      <c r="I14" s="68">
        <v>1700</v>
      </c>
      <c r="J14" s="68">
        <v>1807.1</v>
      </c>
      <c r="K14" s="68">
        <v>1920.95</v>
      </c>
      <c r="L14" s="68">
        <v>2041.97</v>
      </c>
      <c r="M14" s="68">
        <v>2170.61</v>
      </c>
      <c r="N14" s="68">
        <v>2307.36</v>
      </c>
      <c r="O14" t="s">
        <v>146</v>
      </c>
    </row>
    <row r="15" spans="1:15" x14ac:dyDescent="0.3">
      <c r="A15" s="40" t="s">
        <v>129</v>
      </c>
      <c r="B15" s="70">
        <v>8.3000000000000004E-2</v>
      </c>
      <c r="C15" s="70">
        <v>3.7999999999999999E-2</v>
      </c>
      <c r="D15" s="70">
        <v>3.6999999999999998E-2</v>
      </c>
      <c r="E15" s="70">
        <v>7.0999999999999994E-2</v>
      </c>
      <c r="F15" s="70">
        <v>-0.33300000000000002</v>
      </c>
      <c r="G15" s="70">
        <v>0.6</v>
      </c>
      <c r="H15" s="70">
        <v>6.3E-2</v>
      </c>
      <c r="I15" s="70">
        <v>6.3E-2</v>
      </c>
      <c r="J15" s="70">
        <v>6.3E-2</v>
      </c>
      <c r="K15" s="70">
        <v>6.3E-2</v>
      </c>
      <c r="L15" s="70">
        <v>6.3E-2</v>
      </c>
      <c r="M15" s="70">
        <v>6.3E-2</v>
      </c>
      <c r="N15" s="70">
        <v>6.3E-2</v>
      </c>
    </row>
    <row r="16" spans="1:15" x14ac:dyDescent="0.3">
      <c r="A16" s="40" t="s">
        <v>133</v>
      </c>
      <c r="B16" s="45">
        <f>+IFERROR(B14/B$3,"nm")</f>
        <v>3.9214404758014444E-2</v>
      </c>
      <c r="C16" s="45">
        <f t="shared" ref="C16:I16" si="2">+IFERROR(C14/C$3,"nm")</f>
        <v>4.0153199901161354E-2</v>
      </c>
      <c r="D16" s="45">
        <f t="shared" si="2"/>
        <v>3.9301310043668124E-2</v>
      </c>
      <c r="E16" s="45">
        <f t="shared" si="2"/>
        <v>3.8464708629832131E-2</v>
      </c>
      <c r="F16" s="45">
        <f t="shared" si="2"/>
        <v>3.8346498964644531E-2</v>
      </c>
      <c r="G16" s="45">
        <f t="shared" si="2"/>
        <v>2.6735823329679439E-2</v>
      </c>
      <c r="H16" s="45">
        <f t="shared" si="2"/>
        <v>3.5924379181822265E-2</v>
      </c>
      <c r="I16" s="45">
        <f t="shared" si="2"/>
        <v>3.6394776279169344E-2</v>
      </c>
      <c r="J16" s="70">
        <v>3.5999999999999997E-2</v>
      </c>
      <c r="K16" s="70">
        <v>3.5999999999999997E-2</v>
      </c>
      <c r="L16" s="70">
        <v>3.5999999999999997E-2</v>
      </c>
      <c r="M16" s="70">
        <v>3.5999999999999997E-2</v>
      </c>
      <c r="N16" s="70">
        <v>3.5999999999999997E-2</v>
      </c>
    </row>
    <row r="17" spans="1:15" x14ac:dyDescent="0.3">
      <c r="A17" s="9" t="s">
        <v>141</v>
      </c>
      <c r="B17" s="68">
        <v>3011</v>
      </c>
      <c r="C17" s="68">
        <v>3520</v>
      </c>
      <c r="D17" s="68">
        <v>3989</v>
      </c>
      <c r="E17" s="68">
        <v>4544</v>
      </c>
      <c r="F17" s="68">
        <v>4744</v>
      </c>
      <c r="G17" s="68">
        <v>4866</v>
      </c>
      <c r="H17" s="68">
        <v>4904</v>
      </c>
      <c r="I17" s="68">
        <v>4791</v>
      </c>
      <c r="J17" s="68">
        <v>4680.8100000000004</v>
      </c>
      <c r="K17" s="68">
        <v>4573.1499999999996</v>
      </c>
      <c r="L17" s="68">
        <v>4467.97</v>
      </c>
      <c r="M17" s="68">
        <v>4365.2</v>
      </c>
      <c r="N17" s="68">
        <v>4264.8</v>
      </c>
      <c r="O17" t="s">
        <v>147</v>
      </c>
    </row>
    <row r="18" spans="1:15" x14ac:dyDescent="0.3">
      <c r="A18" s="40" t="s">
        <v>129</v>
      </c>
      <c r="B18" s="70">
        <v>0.16900000000000001</v>
      </c>
      <c r="C18" s="70">
        <v>0.13300000000000001</v>
      </c>
      <c r="D18" s="70">
        <v>0.14000000000000001</v>
      </c>
      <c r="E18" s="70">
        <v>0.14000000000000001</v>
      </c>
      <c r="F18" s="70">
        <v>4.3999999999999997E-2</v>
      </c>
      <c r="G18" s="70">
        <v>2.5999999999999999E-2</v>
      </c>
      <c r="H18" s="70">
        <v>8.0000000000000002E-3</v>
      </c>
      <c r="I18" s="70">
        <v>-2.3E-2</v>
      </c>
      <c r="J18" s="70">
        <v>-2.3E-2</v>
      </c>
      <c r="K18" s="70">
        <v>-2.3E-2</v>
      </c>
      <c r="L18" s="70">
        <v>-2.3E-2</v>
      </c>
      <c r="M18" s="70">
        <v>-2.3E-2</v>
      </c>
      <c r="N18" s="70">
        <v>-2.3E-2</v>
      </c>
    </row>
    <row r="19" spans="1:15" x14ac:dyDescent="0.3">
      <c r="A19" s="40" t="s">
        <v>133</v>
      </c>
      <c r="B19" s="70">
        <v>9.8000000000000004E-2</v>
      </c>
      <c r="C19" s="70">
        <v>0.109</v>
      </c>
      <c r="D19" s="70">
        <v>0.11600000000000001</v>
      </c>
      <c r="E19" s="70">
        <v>0.125</v>
      </c>
      <c r="F19" s="70">
        <v>0.121</v>
      </c>
      <c r="G19" s="70">
        <v>0.13</v>
      </c>
      <c r="H19" s="70">
        <v>0.11</v>
      </c>
      <c r="I19" s="70">
        <v>0.10299999999999999</v>
      </c>
      <c r="J19" s="70">
        <v>0.10299999999999999</v>
      </c>
      <c r="K19" s="70">
        <v>0.10299999999999999</v>
      </c>
      <c r="L19" s="70">
        <v>0.10299999999999999</v>
      </c>
      <c r="M19" s="70">
        <v>0.10299999999999999</v>
      </c>
      <c r="N19" s="70">
        <v>0.10299999999999999</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18353</v>
      </c>
      <c r="K21" s="9">
        <f t="shared" ref="K21:N21" si="3">+SUM(K23+K27+K31)</f>
        <v>18353</v>
      </c>
      <c r="L21" s="9">
        <f t="shared" si="3"/>
        <v>18353</v>
      </c>
      <c r="M21" s="9">
        <f t="shared" si="3"/>
        <v>18353</v>
      </c>
      <c r="N21" s="9">
        <f t="shared" si="3"/>
        <v>18353</v>
      </c>
    </row>
    <row r="22" spans="1:15" x14ac:dyDescent="0.3">
      <c r="A22" s="42" t="s">
        <v>129</v>
      </c>
      <c r="B22" s="45" t="str">
        <f t="shared" ref="B22:H22" si="4">+IFERROR(B21/A21-1,"nm")</f>
        <v>nm</v>
      </c>
      <c r="C22" s="45">
        <f t="shared" si="4"/>
        <v>7.4526928675400228E-2</v>
      </c>
      <c r="D22" s="45">
        <f t="shared" si="4"/>
        <v>3.0615009482525046E-2</v>
      </c>
      <c r="E22" s="45">
        <f t="shared" si="4"/>
        <v>-2.372502628811779E-2</v>
      </c>
      <c r="F22" s="45">
        <f t="shared" si="4"/>
        <v>7.0481319421070276E-2</v>
      </c>
      <c r="G22" s="45">
        <f t="shared" si="4"/>
        <v>-8.9171173437303519E-2</v>
      </c>
      <c r="H22" s="45">
        <f t="shared" si="4"/>
        <v>0.18606738470035911</v>
      </c>
      <c r="I22" s="45">
        <f>+IFERROR(I21/H21-1,"nm")</f>
        <v>6.8339251411607238E-2</v>
      </c>
      <c r="J22" s="45">
        <f t="shared" ref="J22:N22" si="5">+IFERROR(J21/I21-1,"nm")</f>
        <v>0</v>
      </c>
      <c r="K22" s="45">
        <f t="shared" si="5"/>
        <v>0</v>
      </c>
      <c r="L22" s="45">
        <f t="shared" si="5"/>
        <v>0</v>
      </c>
      <c r="M22" s="45">
        <f t="shared" si="5"/>
        <v>0</v>
      </c>
      <c r="N22" s="45">
        <f t="shared" si="5"/>
        <v>0</v>
      </c>
    </row>
    <row r="23" spans="1:15" x14ac:dyDescent="0.3">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6">+J23*(1+K24)</f>
        <v>12228</v>
      </c>
      <c r="L23" s="3">
        <f t="shared" si="6"/>
        <v>12228</v>
      </c>
      <c r="M23" s="3">
        <f t="shared" si="6"/>
        <v>12228</v>
      </c>
      <c r="N23" s="3">
        <f t="shared" si="6"/>
        <v>12228</v>
      </c>
    </row>
    <row r="24" spans="1:15" x14ac:dyDescent="0.3">
      <c r="A24" s="42" t="s">
        <v>129</v>
      </c>
      <c r="B24" s="45" t="str">
        <f t="shared" ref="B24" si="7">+IFERROR(B23/A23-1,"nm")</f>
        <v>nm</v>
      </c>
      <c r="C24" s="45">
        <f t="shared" ref="C24" si="8">+IFERROR(C23/B23-1,"nm")</f>
        <v>9.3228309428638578E-2</v>
      </c>
      <c r="D24" s="45">
        <f t="shared" ref="D24" si="9">+IFERROR(D23/C23-1,"nm")</f>
        <v>4.1402301322722934E-2</v>
      </c>
      <c r="E24" s="45">
        <f t="shared" ref="E24" si="10">+IFERROR(E23/D23-1,"nm")</f>
        <v>-3.7381247418422192E-2</v>
      </c>
      <c r="F24" s="45">
        <f t="shared" ref="F24" si="11">+IFERROR(F23/E23-1,"nm")</f>
        <v>7.755846384895948E-2</v>
      </c>
      <c r="G24" s="45">
        <f t="shared" ref="G24" si="12">+IFERROR(G23/F23-1,"nm")</f>
        <v>-7.1279243404678949E-2</v>
      </c>
      <c r="H24" s="45">
        <f t="shared" ref="H24" si="13">+IFERROR(H23/G23-1,"nm")</f>
        <v>0.24815092721620746</v>
      </c>
      <c r="I24" s="45">
        <f>+IFERROR(I23/H23-1,"nm")</f>
        <v>5.0154586052902683E-2</v>
      </c>
      <c r="J24" s="45">
        <f>+J25+J26</f>
        <v>0</v>
      </c>
      <c r="K24" s="45">
        <f t="shared" ref="K24:N24" si="14">+K25+K26</f>
        <v>0</v>
      </c>
      <c r="L24" s="45">
        <f t="shared" si="14"/>
        <v>0</v>
      </c>
      <c r="M24" s="45">
        <f t="shared" si="14"/>
        <v>0</v>
      </c>
      <c r="N24" s="45">
        <f t="shared" si="14"/>
        <v>0</v>
      </c>
    </row>
    <row r="25" spans="1:15" x14ac:dyDescent="0.3">
      <c r="A25" s="42" t="s">
        <v>137</v>
      </c>
      <c r="B25" s="45">
        <f>+Historicals!B180</f>
        <v>0.08</v>
      </c>
      <c r="C25" s="45">
        <f>+Historicals!C180</f>
        <v>0.1</v>
      </c>
      <c r="D25" s="45">
        <f>+Historicals!D180</f>
        <v>0.04</v>
      </c>
      <c r="E25" s="45">
        <f>+Historicals!E180</f>
        <v>-0.04</v>
      </c>
      <c r="F25" s="45">
        <f>+Historicals!F180</f>
        <v>0.08</v>
      </c>
      <c r="G25" s="45">
        <f>+Historicals!G180</f>
        <v>-7.0000000000000007E-2</v>
      </c>
      <c r="H25" s="45">
        <f>+Historicals!H180</f>
        <v>0.19</v>
      </c>
      <c r="I25" s="45">
        <f>+Historicals!I180</f>
        <v>0.05</v>
      </c>
      <c r="J25" s="47">
        <v>0</v>
      </c>
      <c r="K25" s="47">
        <f t="shared" ref="K25:N26" si="15">+J25</f>
        <v>0</v>
      </c>
      <c r="L25" s="47">
        <f t="shared" si="15"/>
        <v>0</v>
      </c>
      <c r="M25" s="47">
        <f t="shared" si="15"/>
        <v>0</v>
      </c>
      <c r="N25" s="47">
        <f t="shared" si="15"/>
        <v>0</v>
      </c>
    </row>
    <row r="26" spans="1:15" x14ac:dyDescent="0.3">
      <c r="A26" s="42" t="s">
        <v>138</v>
      </c>
      <c r="B26" s="45" t="str">
        <f t="shared" ref="B26:H26" si="16">+IFERROR(B24-B25,"nm")</f>
        <v>nm</v>
      </c>
      <c r="C26" s="45">
        <f t="shared" si="16"/>
        <v>-6.7716905713614273E-3</v>
      </c>
      <c r="D26" s="45">
        <f t="shared" si="16"/>
        <v>1.4023013227229333E-3</v>
      </c>
      <c r="E26" s="45">
        <f t="shared" si="16"/>
        <v>2.6187525815778087E-3</v>
      </c>
      <c r="F26" s="45">
        <f t="shared" si="16"/>
        <v>-2.4415361510405215E-3</v>
      </c>
      <c r="G26" s="45">
        <f t="shared" si="16"/>
        <v>-1.2792434046789425E-3</v>
      </c>
      <c r="H26" s="45">
        <f t="shared" si="16"/>
        <v>5.815092721620746E-2</v>
      </c>
      <c r="I26" s="45">
        <f>+IFERROR(I24-I25,"nm")</f>
        <v>1.5458605290268046E-4</v>
      </c>
      <c r="J26" s="47">
        <v>0</v>
      </c>
      <c r="K26" s="47">
        <f t="shared" si="15"/>
        <v>0</v>
      </c>
      <c r="L26" s="47">
        <f t="shared" si="15"/>
        <v>0</v>
      </c>
      <c r="M26" s="47">
        <f t="shared" si="15"/>
        <v>0</v>
      </c>
      <c r="N26" s="47">
        <f t="shared" si="15"/>
        <v>0</v>
      </c>
    </row>
    <row r="27" spans="1:15" x14ac:dyDescent="0.3">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17">+J27*(1+K28)</f>
        <v>5492</v>
      </c>
      <c r="L27" s="3">
        <f t="shared" ref="L27" si="18">+K27*(1+L28)</f>
        <v>5492</v>
      </c>
      <c r="M27" s="3">
        <f t="shared" ref="M27" si="19">+L27*(1+M28)</f>
        <v>5492</v>
      </c>
      <c r="N27" s="3">
        <f t="shared" ref="N27" si="20">+M27*(1+N28)</f>
        <v>5492</v>
      </c>
    </row>
    <row r="28" spans="1:15" x14ac:dyDescent="0.3">
      <c r="A28" s="42" t="s">
        <v>129</v>
      </c>
      <c r="B28" s="45" t="str">
        <f t="shared" ref="B28" si="21">+IFERROR(B27/A27-1,"nm")</f>
        <v>nm</v>
      </c>
      <c r="C28" s="45">
        <f t="shared" ref="C28" si="22">+IFERROR(C27/B27-1,"nm")</f>
        <v>7.6190476190476142E-2</v>
      </c>
      <c r="D28" s="45">
        <f t="shared" ref="D28" si="23">+IFERROR(D27/C27-1,"nm")</f>
        <v>2.9498525073746285E-2</v>
      </c>
      <c r="E28" s="45">
        <f t="shared" ref="E28" si="24">+IFERROR(E27/D27-1,"nm")</f>
        <v>1.0642652476463343E-2</v>
      </c>
      <c r="F28" s="45">
        <f t="shared" ref="F28" si="25">+IFERROR(F27/E27-1,"nm")</f>
        <v>6.5208586472256025E-2</v>
      </c>
      <c r="G28" s="45">
        <f t="shared" ref="G28" si="26">+IFERROR(G27/F27-1,"nm")</f>
        <v>-0.11806083650190113</v>
      </c>
      <c r="H28" s="45">
        <f t="shared" ref="H28" si="27">+IFERROR(H27/G27-1,"nm")</f>
        <v>8.3854278939426541E-2</v>
      </c>
      <c r="I28" s="45">
        <f>+IFERROR(I27/H27-1,"nm")</f>
        <v>9.2283214001591007E-2</v>
      </c>
      <c r="J28" s="45">
        <f>+J29+J30</f>
        <v>0</v>
      </c>
      <c r="K28" s="45">
        <f t="shared" ref="K28" si="28">+K29+K30</f>
        <v>0</v>
      </c>
      <c r="L28" s="45">
        <f t="shared" ref="L28" si="29">+L29+L30</f>
        <v>0</v>
      </c>
      <c r="M28" s="45">
        <f t="shared" ref="M28" si="30">+M29+M30</f>
        <v>0</v>
      </c>
      <c r="N28" s="45">
        <f t="shared" ref="N28" si="31">+N29+N30</f>
        <v>0</v>
      </c>
    </row>
    <row r="29" spans="1:15" x14ac:dyDescent="0.3">
      <c r="A29" s="42" t="s">
        <v>137</v>
      </c>
      <c r="B29" s="45">
        <f>+Historicals!B184</f>
        <v>0.12</v>
      </c>
      <c r="C29" s="45">
        <f>+Historicals!C184</f>
        <v>0.16</v>
      </c>
      <c r="D29" s="45">
        <f>+Historicals!D184</f>
        <v>0.06</v>
      </c>
      <c r="E29" s="45">
        <f>+Historicals!E184</f>
        <v>0.09</v>
      </c>
      <c r="F29" s="45">
        <f>+Historicals!F184</f>
        <v>7.0000000000000007E-2</v>
      </c>
      <c r="G29" s="45">
        <f>+Historicals!G184</f>
        <v>-0.06</v>
      </c>
      <c r="H29" s="45">
        <f>+Historicals!H184</f>
        <v>0.17</v>
      </c>
      <c r="I29" s="45">
        <f>+Historicals!I184</f>
        <v>0.09</v>
      </c>
      <c r="J29" s="47">
        <v>0</v>
      </c>
      <c r="K29" s="47">
        <f t="shared" ref="K29:N29" si="32">+J29</f>
        <v>0</v>
      </c>
      <c r="L29" s="47">
        <f t="shared" si="32"/>
        <v>0</v>
      </c>
      <c r="M29" s="47">
        <f t="shared" si="32"/>
        <v>0</v>
      </c>
      <c r="N29" s="47">
        <f t="shared" si="32"/>
        <v>0</v>
      </c>
    </row>
    <row r="30" spans="1:15" x14ac:dyDescent="0.3">
      <c r="A30" s="42" t="s">
        <v>138</v>
      </c>
      <c r="B30" s="45" t="str">
        <f t="shared" ref="B30" si="33">+IFERROR(B28-B29,"nm")</f>
        <v>nm</v>
      </c>
      <c r="C30" s="45">
        <f t="shared" ref="C30" si="34">+IFERROR(C28-C29,"nm")</f>
        <v>-8.3809523809523861E-2</v>
      </c>
      <c r="D30" s="45">
        <f t="shared" ref="D30" si="35">+IFERROR(D28-D29,"nm")</f>
        <v>-3.0501474926253713E-2</v>
      </c>
      <c r="E30" s="45">
        <f t="shared" ref="E30" si="36">+IFERROR(E28-E29,"nm")</f>
        <v>-7.9357347523536653E-2</v>
      </c>
      <c r="F30" s="45">
        <f t="shared" ref="F30" si="37">+IFERROR(F28-F29,"nm")</f>
        <v>-4.7914135277439818E-3</v>
      </c>
      <c r="G30" s="45">
        <f t="shared" ref="G30" si="38">+IFERROR(G28-G29,"nm")</f>
        <v>-5.8060836501901136E-2</v>
      </c>
      <c r="H30" s="45">
        <f t="shared" ref="H30" si="39">+IFERROR(H28-H29,"nm")</f>
        <v>-8.6145721060573471E-2</v>
      </c>
      <c r="I30" s="45">
        <f>+IFERROR(I28-I29,"nm")</f>
        <v>2.2832140015910107E-3</v>
      </c>
      <c r="J30" s="47">
        <v>0</v>
      </c>
      <c r="K30" s="47">
        <f t="shared" ref="K30:N30" si="40">+J30</f>
        <v>0</v>
      </c>
      <c r="L30" s="47">
        <f t="shared" si="40"/>
        <v>0</v>
      </c>
      <c r="M30" s="47">
        <f t="shared" si="40"/>
        <v>0</v>
      </c>
      <c r="N30" s="47">
        <f t="shared" si="40"/>
        <v>0</v>
      </c>
    </row>
    <row r="31" spans="1:15" x14ac:dyDescent="0.3">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41">+J31*(1+K32)</f>
        <v>633</v>
      </c>
      <c r="L31" s="3">
        <f t="shared" ref="L31" si="42">+K31*(1+L32)</f>
        <v>633</v>
      </c>
      <c r="M31" s="3">
        <f t="shared" ref="M31" si="43">+L31*(1+M32)</f>
        <v>633</v>
      </c>
      <c r="N31" s="3">
        <f t="shared" ref="N31" si="44">+M31*(1+N32)</f>
        <v>633</v>
      </c>
    </row>
    <row r="32" spans="1:15" x14ac:dyDescent="0.3">
      <c r="A32" s="42" t="s">
        <v>129</v>
      </c>
      <c r="B32" s="45" t="str">
        <f t="shared" ref="B32" si="45">+IFERROR(B31/A31-1,"nm")</f>
        <v>nm</v>
      </c>
      <c r="C32" s="45">
        <f t="shared" ref="C32" si="46">+IFERROR(C31/B31-1,"nm")</f>
        <v>-0.12742718446601942</v>
      </c>
      <c r="D32" s="45">
        <f t="shared" ref="D32" si="47">+IFERROR(D31/C31-1,"nm")</f>
        <v>-0.10152990264255912</v>
      </c>
      <c r="E32" s="45">
        <f t="shared" ref="E32" si="48">+IFERROR(E31/D31-1,"nm")</f>
        <v>-7.8947368421052655E-2</v>
      </c>
      <c r="F32" s="45">
        <f t="shared" ref="F32" si="49">+IFERROR(F31/E31-1,"nm")</f>
        <v>3.3613445378151141E-3</v>
      </c>
      <c r="G32" s="45">
        <f t="shared" ref="G32" si="50">+IFERROR(G31/F31-1,"nm")</f>
        <v>-0.13567839195979903</v>
      </c>
      <c r="H32" s="45">
        <f t="shared" ref="H32" si="51">+IFERROR(H31/G31-1,"nm")</f>
        <v>-1.744186046511631E-2</v>
      </c>
      <c r="I32" s="45">
        <f>+IFERROR(I31/H31-1,"nm")</f>
        <v>0.24852071005917153</v>
      </c>
      <c r="J32" s="45">
        <f>+J33+J34</f>
        <v>0</v>
      </c>
      <c r="K32" s="45">
        <f t="shared" ref="K32" si="52">+K33+K34</f>
        <v>0</v>
      </c>
      <c r="L32" s="45">
        <f t="shared" ref="L32" si="53">+L33+L34</f>
        <v>0</v>
      </c>
      <c r="M32" s="45">
        <f t="shared" ref="M32" si="54">+M33+M34</f>
        <v>0</v>
      </c>
      <c r="N32" s="45">
        <f t="shared" ref="N32" si="55">+N33+N34</f>
        <v>0</v>
      </c>
    </row>
    <row r="33" spans="1:14" x14ac:dyDescent="0.3">
      <c r="A33" s="42" t="s">
        <v>137</v>
      </c>
      <c r="B33" s="45">
        <f>+Historicals!B182</f>
        <v>-0.13</v>
      </c>
      <c r="C33" s="45">
        <f>+Historicals!C182</f>
        <v>-0.13</v>
      </c>
      <c r="D33" s="45">
        <f>+Historicals!D182</f>
        <v>-0.1</v>
      </c>
      <c r="E33" s="45">
        <f>+Historicals!E182</f>
        <v>-0.08</v>
      </c>
      <c r="F33" s="45">
        <f>+Historicals!F182</f>
        <v>0</v>
      </c>
      <c r="G33" s="45">
        <f>+Historicals!G182</f>
        <v>-0.08</v>
      </c>
      <c r="H33" s="45">
        <f>+Historicals!H182</f>
        <v>0.19</v>
      </c>
      <c r="I33" s="45">
        <f>+Historicals!I182</f>
        <v>0.25</v>
      </c>
      <c r="J33" s="47">
        <v>0</v>
      </c>
      <c r="K33" s="47">
        <f t="shared" ref="K33:N33" si="56">+J33</f>
        <v>0</v>
      </c>
      <c r="L33" s="47">
        <f t="shared" si="56"/>
        <v>0</v>
      </c>
      <c r="M33" s="47">
        <f t="shared" si="56"/>
        <v>0</v>
      </c>
      <c r="N33" s="47">
        <f t="shared" si="56"/>
        <v>0</v>
      </c>
    </row>
    <row r="34" spans="1:14" x14ac:dyDescent="0.3">
      <c r="A34" s="42" t="s">
        <v>138</v>
      </c>
      <c r="B34" s="45" t="str">
        <f t="shared" ref="B34" si="57">+IFERROR(B32-B33,"nm")</f>
        <v>nm</v>
      </c>
      <c r="C34" s="45">
        <f t="shared" ref="C34" si="58">+IFERROR(C32-C33,"nm")</f>
        <v>2.572815533980588E-3</v>
      </c>
      <c r="D34" s="45">
        <f t="shared" ref="D34" si="59">+IFERROR(D32-D33,"nm")</f>
        <v>-1.5299026425591167E-3</v>
      </c>
      <c r="E34" s="45">
        <f t="shared" ref="E34" si="60">+IFERROR(E32-E33,"nm")</f>
        <v>1.0526315789473467E-3</v>
      </c>
      <c r="F34" s="45">
        <f t="shared" ref="F34" si="61">+IFERROR(F32-F33,"nm")</f>
        <v>3.3613445378151141E-3</v>
      </c>
      <c r="G34" s="45">
        <f t="shared" ref="G34" si="62">+IFERROR(G32-G33,"nm")</f>
        <v>-5.5678391959799026E-2</v>
      </c>
      <c r="H34" s="45">
        <f t="shared" ref="H34" si="63">+IFERROR(H32-H33,"nm")</f>
        <v>-0.20744186046511631</v>
      </c>
      <c r="I34" s="45">
        <f>+IFERROR(I32-I33,"nm")</f>
        <v>-1.4792899408284654E-3</v>
      </c>
      <c r="J34" s="47">
        <v>0</v>
      </c>
      <c r="K34" s="47">
        <f t="shared" ref="K34:N34" si="64">+J34</f>
        <v>0</v>
      </c>
      <c r="L34" s="47">
        <f t="shared" si="64"/>
        <v>0</v>
      </c>
      <c r="M34" s="47">
        <f t="shared" si="64"/>
        <v>0</v>
      </c>
      <c r="N34" s="47">
        <f t="shared" si="64"/>
        <v>0</v>
      </c>
    </row>
    <row r="35" spans="1:14" x14ac:dyDescent="0.3">
      <c r="A35" s="9" t="s">
        <v>130</v>
      </c>
      <c r="B35" s="46">
        <f t="shared" ref="B35:H35" si="65">+B42+B38</f>
        <v>3766</v>
      </c>
      <c r="C35" s="46">
        <f t="shared" si="65"/>
        <v>3896</v>
      </c>
      <c r="D35" s="46">
        <f t="shared" si="65"/>
        <v>4015</v>
      </c>
      <c r="E35" s="46">
        <f t="shared" si="65"/>
        <v>3760</v>
      </c>
      <c r="F35" s="46">
        <f t="shared" si="65"/>
        <v>4074</v>
      </c>
      <c r="G35" s="46">
        <f t="shared" si="65"/>
        <v>3047</v>
      </c>
      <c r="H35" s="46">
        <f t="shared" si="65"/>
        <v>5219</v>
      </c>
      <c r="I35" s="46">
        <f>+I42+I38</f>
        <v>5238</v>
      </c>
      <c r="J35" s="46">
        <f>+J21*J37</f>
        <v>5238</v>
      </c>
      <c r="K35" s="46">
        <f t="shared" ref="K35:N35" si="66">+K21*K37</f>
        <v>5238</v>
      </c>
      <c r="L35" s="46">
        <f t="shared" si="66"/>
        <v>5238</v>
      </c>
      <c r="M35" s="46">
        <f t="shared" si="66"/>
        <v>5238</v>
      </c>
      <c r="N35" s="46">
        <f t="shared" si="66"/>
        <v>5238</v>
      </c>
    </row>
    <row r="36" spans="1:14" x14ac:dyDescent="0.3">
      <c r="A36" s="44" t="s">
        <v>129</v>
      </c>
      <c r="B36" s="45" t="str">
        <f t="shared" ref="B36" si="67">+IFERROR(B35/A35-1,"nm")</f>
        <v>nm</v>
      </c>
      <c r="C36" s="45">
        <f t="shared" ref="C36" si="68">+IFERROR(C35/B35-1,"nm")</f>
        <v>3.4519383961763239E-2</v>
      </c>
      <c r="D36" s="45">
        <f t="shared" ref="D36" si="69">+IFERROR(D35/C35-1,"nm")</f>
        <v>3.0544147843942548E-2</v>
      </c>
      <c r="E36" s="45">
        <f t="shared" ref="E36" si="70">+IFERROR(E35/D35-1,"nm")</f>
        <v>-6.3511830635118338E-2</v>
      </c>
      <c r="F36" s="45">
        <f t="shared" ref="F36" si="71">+IFERROR(F35/E35-1,"nm")</f>
        <v>8.3510638297872308E-2</v>
      </c>
      <c r="G36" s="45">
        <f t="shared" ref="G36" si="72">+IFERROR(G35/F35-1,"nm")</f>
        <v>-0.25208640157093765</v>
      </c>
      <c r="H36" s="45">
        <f t="shared" ref="H36" si="73">+IFERROR(H35/G35-1,"nm")</f>
        <v>0.71283229405973092</v>
      </c>
      <c r="I36" s="45">
        <f>+IFERROR(I35/H35-1,"nm")</f>
        <v>3.6405441655489312E-3</v>
      </c>
      <c r="J36" s="45">
        <f t="shared" ref="J36:N36" si="74">+IFERROR(J35/I35-1,"nm")</f>
        <v>0</v>
      </c>
      <c r="K36" s="45">
        <f t="shared" si="74"/>
        <v>0</v>
      </c>
      <c r="L36" s="45">
        <f t="shared" si="74"/>
        <v>0</v>
      </c>
      <c r="M36" s="45">
        <f t="shared" si="74"/>
        <v>0</v>
      </c>
      <c r="N36" s="45">
        <f t="shared" si="74"/>
        <v>0</v>
      </c>
    </row>
    <row r="37" spans="1:14" x14ac:dyDescent="0.3">
      <c r="A37" s="44" t="s">
        <v>131</v>
      </c>
      <c r="B37" s="45">
        <f t="shared" ref="B37:H37" si="75">+IFERROR(B35/B$21,"nm")</f>
        <v>0.27409024745269289</v>
      </c>
      <c r="C37" s="45">
        <f t="shared" si="75"/>
        <v>0.26388512598211866</v>
      </c>
      <c r="D37" s="45">
        <f t="shared" si="75"/>
        <v>0.26386698212407994</v>
      </c>
      <c r="E37" s="45">
        <f t="shared" si="75"/>
        <v>0.25311342982160889</v>
      </c>
      <c r="F37" s="45">
        <f t="shared" si="75"/>
        <v>0.25619418941013711</v>
      </c>
      <c r="G37" s="45">
        <f t="shared" si="75"/>
        <v>0.2103700635183651</v>
      </c>
      <c r="H37" s="45">
        <f t="shared" si="75"/>
        <v>0.30380115256999823</v>
      </c>
      <c r="I37" s="45">
        <f>+IFERROR(I35/I$21,"nm")</f>
        <v>0.28540293140086087</v>
      </c>
      <c r="J37" s="47">
        <f>+I37</f>
        <v>0.28540293140086087</v>
      </c>
      <c r="K37" s="47">
        <f t="shared" ref="K37:N37" si="76">+J37</f>
        <v>0.28540293140086087</v>
      </c>
      <c r="L37" s="47">
        <f t="shared" si="76"/>
        <v>0.28540293140086087</v>
      </c>
      <c r="M37" s="47">
        <f t="shared" si="76"/>
        <v>0.28540293140086087</v>
      </c>
      <c r="N37" s="47">
        <f t="shared" si="76"/>
        <v>0.28540293140086087</v>
      </c>
    </row>
    <row r="38" spans="1:14" x14ac:dyDescent="0.3">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124.00000000000001</v>
      </c>
      <c r="K38" s="46">
        <f t="shared" ref="K38:N38" si="77">+K41*K48</f>
        <v>124.00000000000001</v>
      </c>
      <c r="L38" s="46">
        <f t="shared" si="77"/>
        <v>124.00000000000001</v>
      </c>
      <c r="M38" s="46">
        <f t="shared" si="77"/>
        <v>124.00000000000001</v>
      </c>
      <c r="N38" s="46">
        <f t="shared" si="77"/>
        <v>124.00000000000001</v>
      </c>
    </row>
    <row r="39" spans="1:14" x14ac:dyDescent="0.3">
      <c r="A39" s="44" t="s">
        <v>129</v>
      </c>
      <c r="B39" s="45" t="str">
        <f t="shared" ref="B39" si="78">+IFERROR(B38/A38-1,"nm")</f>
        <v>nm</v>
      </c>
      <c r="C39" s="45">
        <f t="shared" ref="C39" si="79">+IFERROR(C38/B38-1,"nm")</f>
        <v>9.9173553719008156E-2</v>
      </c>
      <c r="D39" s="45">
        <f t="shared" ref="D39" si="80">+IFERROR(D38/C38-1,"nm")</f>
        <v>5.2631578947368363E-2</v>
      </c>
      <c r="E39" s="45">
        <f t="shared" ref="E39" si="81">+IFERROR(E38/D38-1,"nm")</f>
        <v>0.14285714285714279</v>
      </c>
      <c r="F39" s="45">
        <f t="shared" ref="F39" si="82">+IFERROR(F38/E38-1,"nm")</f>
        <v>-6.8749999999999978E-2</v>
      </c>
      <c r="G39" s="45">
        <f t="shared" ref="G39" si="83">+IFERROR(G38/F38-1,"nm")</f>
        <v>-6.7114093959731447E-3</v>
      </c>
      <c r="H39" s="45">
        <f t="shared" ref="H39" si="84">+IFERROR(H38/G38-1,"nm")</f>
        <v>-0.1216216216216216</v>
      </c>
      <c r="I39" s="45">
        <f>+IFERROR(I38/H38-1,"nm")</f>
        <v>-4.6153846153846101E-2</v>
      </c>
      <c r="J39" s="45">
        <f t="shared" ref="J39" si="85">+IFERROR(J38/I38-1,"nm")</f>
        <v>2.2204460492503131E-16</v>
      </c>
      <c r="K39" s="45">
        <f t="shared" ref="K39" si="86">+IFERROR(K38/J38-1,"nm")</f>
        <v>0</v>
      </c>
      <c r="L39" s="45">
        <f t="shared" ref="L39" si="87">+IFERROR(L38/K38-1,"nm")</f>
        <v>0</v>
      </c>
      <c r="M39" s="45">
        <f t="shared" ref="M39" si="88">+IFERROR(M38/L38-1,"nm")</f>
        <v>0</v>
      </c>
      <c r="N39" s="45">
        <f t="shared" ref="N39" si="89">+IFERROR(N38/M38-1,"nm")</f>
        <v>0</v>
      </c>
    </row>
    <row r="40" spans="1:14" x14ac:dyDescent="0.3">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6.7563886013185864E-3</v>
      </c>
      <c r="K40" s="45">
        <f t="shared" si="91"/>
        <v>6.7563886013185864E-3</v>
      </c>
      <c r="L40" s="45">
        <f t="shared" si="91"/>
        <v>6.7563886013185864E-3</v>
      </c>
      <c r="M40" s="45">
        <f t="shared" si="91"/>
        <v>6.7563886013185864E-3</v>
      </c>
      <c r="N40" s="45">
        <f t="shared" si="91"/>
        <v>6.7563886013185864E-3</v>
      </c>
    </row>
    <row r="41" spans="1:14" x14ac:dyDescent="0.3">
      <c r="A41" s="44" t="s">
        <v>140</v>
      </c>
      <c r="B41" s="45">
        <f t="shared" ref="B41:H41" si="92">+IFERROR(B38/B48,"nm")</f>
        <v>0.19145569620253164</v>
      </c>
      <c r="C41" s="45">
        <f t="shared" si="92"/>
        <v>0.17924528301886791</v>
      </c>
      <c r="D41" s="45">
        <f t="shared" si="92"/>
        <v>0.17094017094017094</v>
      </c>
      <c r="E41" s="45">
        <f t="shared" si="92"/>
        <v>0.18867924528301888</v>
      </c>
      <c r="F41" s="45">
        <f t="shared" si="92"/>
        <v>0.18304668304668303</v>
      </c>
      <c r="G41" s="45">
        <f t="shared" si="92"/>
        <v>0.22945736434108527</v>
      </c>
      <c r="H41" s="45">
        <f t="shared" si="92"/>
        <v>0.21069692058346839</v>
      </c>
      <c r="I41" s="45">
        <f>+IFERROR(I38/I48,"nm")</f>
        <v>0.19405320813771518</v>
      </c>
      <c r="J41" s="47">
        <f>+I41</f>
        <v>0.19405320813771518</v>
      </c>
      <c r="K41" s="47">
        <f t="shared" ref="K41:N41" si="93">+J41</f>
        <v>0.19405320813771518</v>
      </c>
      <c r="L41" s="47">
        <f t="shared" si="93"/>
        <v>0.19405320813771518</v>
      </c>
      <c r="M41" s="47">
        <f t="shared" si="93"/>
        <v>0.19405320813771518</v>
      </c>
      <c r="N41" s="47">
        <f t="shared" si="93"/>
        <v>0.19405320813771518</v>
      </c>
    </row>
    <row r="42" spans="1:14" x14ac:dyDescent="0.3">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5114</v>
      </c>
      <c r="K42" s="9">
        <f t="shared" ref="K42:N42" si="94">+K35-K38</f>
        <v>5114</v>
      </c>
      <c r="L42" s="9">
        <f t="shared" si="94"/>
        <v>5114</v>
      </c>
      <c r="M42" s="9">
        <f t="shared" si="94"/>
        <v>5114</v>
      </c>
      <c r="N42" s="9">
        <f t="shared" si="94"/>
        <v>5114</v>
      </c>
    </row>
    <row r="43" spans="1:14" x14ac:dyDescent="0.3">
      <c r="A43" s="44" t="s">
        <v>129</v>
      </c>
      <c r="B43" s="45" t="str">
        <f t="shared" ref="B43" si="95">+IFERROR(B42/A42-1,"nm")</f>
        <v>nm</v>
      </c>
      <c r="C43" s="45">
        <f t="shared" ref="C43" si="96">+IFERROR(C42/B42-1,"nm")</f>
        <v>3.2373113854595292E-2</v>
      </c>
      <c r="D43" s="45">
        <f t="shared" ref="D43" si="97">+IFERROR(D42/C42-1,"nm")</f>
        <v>2.9763486579856391E-2</v>
      </c>
      <c r="E43" s="45">
        <f t="shared" ref="E43" si="98">+IFERROR(E42/D42-1,"nm")</f>
        <v>-7.096774193548383E-2</v>
      </c>
      <c r="F43" s="45">
        <f t="shared" ref="F43" si="99">+IFERROR(F42/E42-1,"nm")</f>
        <v>9.0277777777777679E-2</v>
      </c>
      <c r="G43" s="45">
        <f t="shared" ref="G43" si="100">+IFERROR(G42/F42-1,"nm")</f>
        <v>-0.26140127388535028</v>
      </c>
      <c r="H43" s="45">
        <f t="shared" ref="H43" si="101">+IFERROR(H42/G42-1,"nm")</f>
        <v>0.75543290789927564</v>
      </c>
      <c r="I43" s="45">
        <f>+IFERROR(I42/H42-1,"nm")</f>
        <v>4.9125564943997002E-3</v>
      </c>
      <c r="J43" s="45">
        <f t="shared" ref="J43:N43" si="102">+IFERROR(J42/I42-1,"nm")</f>
        <v>0</v>
      </c>
      <c r="K43" s="45">
        <f t="shared" si="102"/>
        <v>0</v>
      </c>
      <c r="L43" s="45">
        <f t="shared" si="102"/>
        <v>0</v>
      </c>
      <c r="M43" s="45">
        <f t="shared" si="102"/>
        <v>0</v>
      </c>
      <c r="N43" s="45">
        <f t="shared" si="102"/>
        <v>0</v>
      </c>
    </row>
    <row r="44" spans="1:14" x14ac:dyDescent="0.3">
      <c r="A44" s="44" t="s">
        <v>131</v>
      </c>
      <c r="B44" s="45">
        <f t="shared" ref="B44:H44" si="103">+IFERROR(B42/B$21,"nm")</f>
        <v>0.26528384279475981</v>
      </c>
      <c r="C44" s="45">
        <f t="shared" si="103"/>
        <v>0.25487672717420751</v>
      </c>
      <c r="D44" s="45">
        <f t="shared" si="103"/>
        <v>0.25466614090431128</v>
      </c>
      <c r="E44" s="45">
        <f t="shared" si="103"/>
        <v>0.24234264557388085</v>
      </c>
      <c r="F44" s="45">
        <f t="shared" si="103"/>
        <v>0.2468242988303358</v>
      </c>
      <c r="G44" s="45">
        <f t="shared" si="103"/>
        <v>0.20015189174261253</v>
      </c>
      <c r="H44" s="45">
        <f t="shared" si="103"/>
        <v>0.29623377379358518</v>
      </c>
      <c r="I44" s="45">
        <f>+IFERROR(I42/I$21,"nm")</f>
        <v>0.27864654279954232</v>
      </c>
      <c r="J44" s="45">
        <f t="shared" ref="J44:N44" si="104">+IFERROR(J42/J$21,"nm")</f>
        <v>0.27864654279954232</v>
      </c>
      <c r="K44" s="45">
        <f t="shared" si="104"/>
        <v>0.27864654279954232</v>
      </c>
      <c r="L44" s="45">
        <f t="shared" si="104"/>
        <v>0.27864654279954232</v>
      </c>
      <c r="M44" s="45">
        <f t="shared" si="104"/>
        <v>0.27864654279954232</v>
      </c>
      <c r="N44" s="45">
        <f t="shared" si="104"/>
        <v>0.27864654279954232</v>
      </c>
    </row>
    <row r="45" spans="1:14" x14ac:dyDescent="0.3">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146</v>
      </c>
      <c r="K45" s="46">
        <f t="shared" ref="K45:N45" si="105">+K21*K47</f>
        <v>146</v>
      </c>
      <c r="L45" s="46">
        <f t="shared" si="105"/>
        <v>146</v>
      </c>
      <c r="M45" s="46">
        <f t="shared" si="105"/>
        <v>146</v>
      </c>
      <c r="N45" s="46">
        <f t="shared" si="105"/>
        <v>146</v>
      </c>
    </row>
    <row r="46" spans="1:14" x14ac:dyDescent="0.3">
      <c r="A46" s="44" t="s">
        <v>129</v>
      </c>
      <c r="B46" s="45" t="str">
        <f t="shared" ref="B46" si="106">+IFERROR(B45/A45-1,"nm")</f>
        <v>nm</v>
      </c>
      <c r="C46" s="45">
        <f t="shared" ref="C46" si="107">+IFERROR(C45/B45-1,"nm")</f>
        <v>0.16346153846153855</v>
      </c>
      <c r="D46" s="45">
        <f t="shared" ref="D46" si="108">+IFERROR(D45/C45-1,"nm")</f>
        <v>-7.8512396694214837E-2</v>
      </c>
      <c r="E46" s="45">
        <f t="shared" ref="E46" si="109">+IFERROR(E45/D45-1,"nm")</f>
        <v>-0.12107623318385652</v>
      </c>
      <c r="F46" s="45">
        <f t="shared" ref="F46" si="110">+IFERROR(F45/E45-1,"nm")</f>
        <v>-0.40306122448979587</v>
      </c>
      <c r="G46" s="45">
        <f t="shared" ref="G46" si="111">+IFERROR(G45/F45-1,"nm")</f>
        <v>-5.9829059829059839E-2</v>
      </c>
      <c r="H46" s="45">
        <f t="shared" ref="H46" si="112">+IFERROR(H45/G45-1,"nm")</f>
        <v>-0.10909090909090913</v>
      </c>
      <c r="I46" s="45">
        <f>+IFERROR(I45/H45-1,"nm")</f>
        <v>0.48979591836734704</v>
      </c>
      <c r="J46" s="45">
        <f t="shared" ref="J46" si="113">+IFERROR(J45/I45-1,"nm")</f>
        <v>0</v>
      </c>
      <c r="K46" s="45">
        <f t="shared" ref="K46" si="114">+IFERROR(K45/J45-1,"nm")</f>
        <v>0</v>
      </c>
      <c r="L46" s="45">
        <f t="shared" ref="L46" si="115">+IFERROR(L45/K45-1,"nm")</f>
        <v>0</v>
      </c>
      <c r="M46" s="45">
        <f t="shared" ref="M46" si="116">+IFERROR(M45/L45-1,"nm")</f>
        <v>0</v>
      </c>
      <c r="N46" s="45">
        <f t="shared" ref="N46" si="117">+IFERROR(N45/M45-1,"nm")</f>
        <v>0</v>
      </c>
    </row>
    <row r="47" spans="1:14" x14ac:dyDescent="0.3">
      <c r="A47" s="44" t="s">
        <v>133</v>
      </c>
      <c r="B47" s="45">
        <f t="shared" ref="B47:H47" si="118">+IFERROR(B45/B$21,"nm")</f>
        <v>1.5138282387190683E-2</v>
      </c>
      <c r="C47" s="45">
        <f t="shared" si="118"/>
        <v>1.6391221891086428E-2</v>
      </c>
      <c r="D47" s="45">
        <f t="shared" si="118"/>
        <v>1.4655625657202945E-2</v>
      </c>
      <c r="E47" s="45">
        <f t="shared" si="118"/>
        <v>1.3194210703466847E-2</v>
      </c>
      <c r="F47" s="45">
        <f t="shared" si="118"/>
        <v>7.3575650861526856E-3</v>
      </c>
      <c r="G47" s="45">
        <f t="shared" si="118"/>
        <v>7.5945871306268989E-3</v>
      </c>
      <c r="H47" s="45">
        <f t="shared" si="118"/>
        <v>5.7046393852960009E-3</v>
      </c>
      <c r="I47" s="45">
        <f>+IFERROR(I45/I$21,"nm")</f>
        <v>7.9551027080041418E-3</v>
      </c>
      <c r="J47" s="47">
        <f>+I47</f>
        <v>7.9551027080041418E-3</v>
      </c>
      <c r="K47" s="47">
        <f t="shared" ref="K47:N47" si="119">+J47</f>
        <v>7.9551027080041418E-3</v>
      </c>
      <c r="L47" s="47">
        <f t="shared" si="119"/>
        <v>7.9551027080041418E-3</v>
      </c>
      <c r="M47" s="47">
        <f t="shared" si="119"/>
        <v>7.9551027080041418E-3</v>
      </c>
      <c r="N47" s="47">
        <f t="shared" si="119"/>
        <v>7.9551027080041418E-3</v>
      </c>
    </row>
    <row r="48" spans="1:14" x14ac:dyDescent="0.3">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639.00000000000011</v>
      </c>
      <c r="K48" s="46">
        <f t="shared" ref="K48:N48" si="120">+K21*K50</f>
        <v>639.00000000000011</v>
      </c>
      <c r="L48" s="46">
        <f t="shared" si="120"/>
        <v>639.00000000000011</v>
      </c>
      <c r="M48" s="46">
        <f t="shared" si="120"/>
        <v>639.00000000000011</v>
      </c>
      <c r="N48" s="46">
        <f t="shared" si="120"/>
        <v>639.00000000000011</v>
      </c>
    </row>
    <row r="49" spans="1:14" x14ac:dyDescent="0.3">
      <c r="A49" s="44" t="s">
        <v>129</v>
      </c>
      <c r="B49" s="45" t="str">
        <f t="shared" ref="B49" si="121">+IFERROR(B48/A48-1,"nm")</f>
        <v>nm</v>
      </c>
      <c r="C49" s="45">
        <f t="shared" ref="C49" si="122">+IFERROR(C48/B48-1,"nm")</f>
        <v>0.17405063291139244</v>
      </c>
      <c r="D49" s="45">
        <f t="shared" ref="D49" si="123">+IFERROR(D48/C48-1,"nm")</f>
        <v>0.10377358490566047</v>
      </c>
      <c r="E49" s="45">
        <f t="shared" ref="E49" si="124">+IFERROR(E48/D48-1,"nm")</f>
        <v>3.5409035409035505E-2</v>
      </c>
      <c r="F49" s="45">
        <f t="shared" ref="F49" si="125">+IFERROR(F48/E48-1,"nm")</f>
        <v>-4.0094339622641528E-2</v>
      </c>
      <c r="G49" s="45">
        <f t="shared" ref="G49" si="126">+IFERROR(G48/F48-1,"nm")</f>
        <v>-0.20761670761670759</v>
      </c>
      <c r="H49" s="45">
        <f t="shared" ref="H49" si="127">+IFERROR(H48/G48-1,"nm")</f>
        <v>-4.3410852713178349E-2</v>
      </c>
      <c r="I49" s="45">
        <f>+IFERROR(I48/H48-1,"nm")</f>
        <v>3.5656401944894611E-2</v>
      </c>
      <c r="J49" s="45">
        <f>+J50+J51</f>
        <v>3.4817196098730456E-2</v>
      </c>
      <c r="K49" s="45">
        <f t="shared" ref="K49" si="128">+K50+K51</f>
        <v>3.4817196098730456E-2</v>
      </c>
      <c r="L49" s="45">
        <f t="shared" ref="L49" si="129">+L50+L51</f>
        <v>3.4817196098730456E-2</v>
      </c>
      <c r="M49" s="45">
        <f t="shared" ref="M49" si="130">+M50+M51</f>
        <v>3.4817196098730456E-2</v>
      </c>
      <c r="N49" s="45">
        <f t="shared" ref="N49" si="131">+N50+N51</f>
        <v>3.4817196098730456E-2</v>
      </c>
    </row>
    <row r="50" spans="1:14" x14ac:dyDescent="0.3">
      <c r="A50" s="44" t="s">
        <v>133</v>
      </c>
      <c r="B50" s="45">
        <f t="shared" ref="B50:H50" si="132">+IFERROR(B48/B$21,"nm")</f>
        <v>4.599708879184862E-2</v>
      </c>
      <c r="C50" s="45">
        <f t="shared" si="132"/>
        <v>5.0257382823083174E-2</v>
      </c>
      <c r="D50" s="45">
        <f t="shared" si="132"/>
        <v>5.3824921135646686E-2</v>
      </c>
      <c r="E50" s="45">
        <f t="shared" si="132"/>
        <v>5.7085156512958597E-2</v>
      </c>
      <c r="F50" s="45">
        <f t="shared" si="132"/>
        <v>5.1188529744686205E-2</v>
      </c>
      <c r="G50" s="45">
        <f t="shared" si="132"/>
        <v>4.4531897265948632E-2</v>
      </c>
      <c r="H50" s="45">
        <f t="shared" si="132"/>
        <v>3.5915943884975841E-2</v>
      </c>
      <c r="I50" s="45">
        <f>+IFERROR(I48/I$21,"nm")</f>
        <v>3.4817196098730456E-2</v>
      </c>
      <c r="J50" s="47">
        <f>+I50</f>
        <v>3.4817196098730456E-2</v>
      </c>
      <c r="K50" s="47">
        <f t="shared" ref="K50:N50" si="133">+J50</f>
        <v>3.4817196098730456E-2</v>
      </c>
      <c r="L50" s="47">
        <f t="shared" si="133"/>
        <v>3.4817196098730456E-2</v>
      </c>
      <c r="M50" s="47">
        <f t="shared" si="133"/>
        <v>3.4817196098730456E-2</v>
      </c>
      <c r="N50" s="47">
        <f t="shared" si="133"/>
        <v>3.4817196098730456E-2</v>
      </c>
    </row>
    <row r="51" spans="1:14" x14ac:dyDescent="0.3">
      <c r="A51" s="41" t="str">
        <f>+Historicals!A111</f>
        <v>Europe, Middle East &amp; Africa</v>
      </c>
      <c r="B51" s="41"/>
      <c r="C51" s="41"/>
      <c r="D51" s="41"/>
      <c r="E51" s="41"/>
      <c r="F51" s="41"/>
      <c r="G51" s="41"/>
      <c r="H51" s="41"/>
      <c r="I51" s="41"/>
      <c r="J51" s="37"/>
      <c r="K51" s="37"/>
      <c r="L51" s="37"/>
      <c r="M51" s="37"/>
      <c r="N51"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4"/>
  <sheetViews>
    <sheetView topLeftCell="A60" zoomScale="98" zoomScaleNormal="98" workbookViewId="0">
      <selection activeCell="A42" sqref="A42"/>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2" t="s">
        <v>196</v>
      </c>
    </row>
    <row r="2" spans="1:15" x14ac:dyDescent="0.3">
      <c r="A2" s="38" t="s">
        <v>148</v>
      </c>
      <c r="B2" s="38"/>
      <c r="C2" s="38"/>
      <c r="D2" s="38"/>
      <c r="E2" s="38"/>
      <c r="F2" s="38"/>
      <c r="G2" s="38"/>
      <c r="H2" s="38"/>
      <c r="I2" s="38"/>
      <c r="J2" s="38"/>
      <c r="K2" s="38"/>
      <c r="L2" s="38"/>
      <c r="M2" s="38"/>
      <c r="N2" s="38"/>
    </row>
    <row r="3" spans="1:15" x14ac:dyDescent="0.3">
      <c r="A3" s="1" t="s">
        <v>136</v>
      </c>
      <c r="B3" s="9">
        <f>'[1]Segmental forecast'!B3</f>
        <v>30601</v>
      </c>
      <c r="C3" s="9">
        <f>'[1]Segmental forecast'!C3</f>
        <v>32376</v>
      </c>
      <c r="D3" s="9">
        <f>'[1]Segmental forecast'!D3</f>
        <v>34350</v>
      </c>
      <c r="E3" s="9">
        <f>'[1]Segmental forecast'!E3</f>
        <v>36397</v>
      </c>
      <c r="F3" s="9">
        <f>'[1]Segmental forecast'!F3</f>
        <v>39117</v>
      </c>
      <c r="G3" s="9">
        <f>'[1]Segmental forecast'!G3</f>
        <v>37403</v>
      </c>
      <c r="H3" s="9">
        <f>'[1]Segmental forecast'!H3</f>
        <v>44538</v>
      </c>
      <c r="I3" s="9">
        <f>'[1]Segmental forecast'!I3</f>
        <v>46710</v>
      </c>
      <c r="J3" s="9">
        <f>'[1]Segmental forecast'!J3</f>
        <v>49045.5</v>
      </c>
      <c r="K3" s="9">
        <f>'[1]Segmental forecast'!K3</f>
        <v>51497.78</v>
      </c>
      <c r="L3" s="9">
        <f>'[1]Segmental forecast'!L3</f>
        <v>54072.66</v>
      </c>
      <c r="M3" s="9">
        <f>'[1]Segmental forecast'!M3</f>
        <v>56776.3</v>
      </c>
      <c r="N3" s="9">
        <f>'[1]Segmental forecast'!N3</f>
        <v>59615.11</v>
      </c>
    </row>
    <row r="4" spans="1:15" x14ac:dyDescent="0.3">
      <c r="A4" s="40" t="s">
        <v>129</v>
      </c>
      <c r="B4" s="48">
        <f>'[1]Segmental forecast'!B4</f>
        <v>0.06</v>
      </c>
      <c r="C4" s="48">
        <f>'[1]Segmental forecast'!C4</f>
        <v>0.06</v>
      </c>
      <c r="D4" s="48">
        <f>'[1]Segmental forecast'!D4</f>
        <v>0.06</v>
      </c>
      <c r="E4" s="48">
        <f>'[1]Segmental forecast'!E4</f>
        <v>7.0000000000000007E-2</v>
      </c>
      <c r="F4" s="48">
        <f>'[1]Segmental forecast'!F4</f>
        <v>-0.04</v>
      </c>
      <c r="G4" s="48">
        <f>'[1]Segmental forecast'!G4</f>
        <v>0.19</v>
      </c>
      <c r="H4" s="48">
        <f>'[1]Segmental forecast'!H4</f>
        <v>0.05</v>
      </c>
      <c r="I4" s="48">
        <f>'[1]Segmental forecast'!I4</f>
        <v>0.05</v>
      </c>
      <c r="J4" s="48">
        <f>'[1]Segmental forecast'!J4</f>
        <v>0.05</v>
      </c>
      <c r="K4" s="48">
        <f>'[1]Segmental forecast'!K4</f>
        <v>0.05</v>
      </c>
      <c r="L4" s="48">
        <f>'[1]Segmental forecast'!L4</f>
        <v>0.05</v>
      </c>
      <c r="M4" s="48">
        <f>'[1]Segmental forecast'!M4</f>
        <v>0.05</v>
      </c>
      <c r="N4" s="48">
        <f>'[1]Segmental forecast'!N4</f>
        <v>0.05</v>
      </c>
    </row>
    <row r="5" spans="1:15" x14ac:dyDescent="0.3">
      <c r="A5" s="1" t="s">
        <v>149</v>
      </c>
      <c r="B5" s="9">
        <f>'[1]Segmental forecast'!B5</f>
        <v>7200</v>
      </c>
      <c r="C5" s="9">
        <f>'[1]Segmental forecast'!C5</f>
        <v>7600</v>
      </c>
      <c r="D5" s="9">
        <f>'[1]Segmental forecast'!D5</f>
        <v>8000</v>
      </c>
      <c r="E5" s="9">
        <f>'[1]Segmental forecast'!E5</f>
        <v>8300</v>
      </c>
      <c r="F5" s="9">
        <f>'[1]Segmental forecast'!F5</f>
        <v>8500</v>
      </c>
      <c r="G5" s="9">
        <f>'[1]Segmental forecast'!G5</f>
        <v>7000</v>
      </c>
      <c r="H5" s="9">
        <f>'[1]Segmental forecast'!H5</f>
        <v>9500</v>
      </c>
      <c r="I5" s="9">
        <f>'[1]Segmental forecast'!I5</f>
        <v>9800</v>
      </c>
      <c r="J5" s="9">
        <f>'[1]Segmental forecast'!J5</f>
        <v>10113.6</v>
      </c>
      <c r="K5" s="9">
        <f>'[1]Segmental forecast'!K5</f>
        <v>10437.24</v>
      </c>
      <c r="L5" s="9">
        <f>'[1]Segmental forecast'!L5</f>
        <v>10771.23</v>
      </c>
      <c r="M5" s="9">
        <f>'[1]Segmental forecast'!M5</f>
        <v>11115.91</v>
      </c>
      <c r="N5" s="9">
        <f>'[1]Segmental forecast'!N5</f>
        <v>11471.61</v>
      </c>
    </row>
    <row r="6" spans="1:15" x14ac:dyDescent="0.3">
      <c r="A6" s="49" t="s">
        <v>132</v>
      </c>
      <c r="B6" s="50">
        <f>'[1]Segmental forecast'!B8</f>
        <v>1500</v>
      </c>
      <c r="C6" s="50">
        <f>'[1]Segmental forecast'!C8</f>
        <v>1600</v>
      </c>
      <c r="D6" s="50">
        <f>'[1]Segmental forecast'!D8</f>
        <v>1700</v>
      </c>
      <c r="E6" s="50">
        <f>'[1]Segmental forecast'!E8</f>
        <v>1800</v>
      </c>
      <c r="F6" s="50">
        <f>'[1]Segmental forecast'!F8</f>
        <v>1850</v>
      </c>
      <c r="G6" s="50">
        <f>'[1]Segmental forecast'!G8</f>
        <v>1750</v>
      </c>
      <c r="H6" s="50">
        <f>'[1]Segmental forecast'!H8</f>
        <v>1900</v>
      </c>
      <c r="I6" s="50">
        <f>'[1]Segmental forecast'!I8</f>
        <v>2000</v>
      </c>
      <c r="J6" s="50">
        <f>'[1]Segmental forecast'!J8</f>
        <v>2106</v>
      </c>
      <c r="K6" s="50">
        <f>'[1]Segmental forecast'!K8</f>
        <v>2217.62</v>
      </c>
      <c r="L6" s="50">
        <f>'[1]Segmental forecast'!L8</f>
        <v>2335.15</v>
      </c>
      <c r="M6" s="50">
        <f>'[1]Segmental forecast'!M8</f>
        <v>2458.91</v>
      </c>
      <c r="N6" s="50">
        <f>'[1]Segmental forecast'!N8</f>
        <v>2589.2399999999998</v>
      </c>
    </row>
    <row r="7" spans="1:15" x14ac:dyDescent="0.3">
      <c r="A7" s="4" t="s">
        <v>134</v>
      </c>
      <c r="B7" s="5">
        <f>'[1]Segmental forecast'!B11</f>
        <v>4500</v>
      </c>
      <c r="C7" s="5">
        <f>'[1]Segmental forecast'!C11</f>
        <v>4800</v>
      </c>
      <c r="D7" s="5">
        <f>'[1]Segmental forecast'!D11</f>
        <v>5100</v>
      </c>
      <c r="E7" s="5">
        <f>'[1]Segmental forecast'!E11</f>
        <v>5200</v>
      </c>
      <c r="F7" s="5">
        <f>'[1]Segmental forecast'!F11</f>
        <v>5400</v>
      </c>
      <c r="G7" s="5">
        <f>'[1]Segmental forecast'!G11</f>
        <v>3000</v>
      </c>
      <c r="H7" s="5">
        <f>'[1]Segmental forecast'!H11</f>
        <v>6923</v>
      </c>
      <c r="I7" s="5">
        <f>'[1]Segmental forecast'!I11</f>
        <v>6856</v>
      </c>
      <c r="J7" s="5">
        <f>'[1]Segmental forecast'!J11</f>
        <v>6787.44</v>
      </c>
      <c r="K7" s="5">
        <f>'[1]Segmental forecast'!K11</f>
        <v>6719.57</v>
      </c>
      <c r="L7" s="5">
        <f>'[1]Segmental forecast'!L11</f>
        <v>6652.37</v>
      </c>
      <c r="M7" s="5">
        <f>'[1]Segmental forecast'!M11</f>
        <v>6585.85</v>
      </c>
      <c r="N7" s="5">
        <f>'[1]Segmental forecast'!N11</f>
        <v>6519.99</v>
      </c>
    </row>
    <row r="8" spans="1:15" x14ac:dyDescent="0.3">
      <c r="A8" s="40" t="s">
        <v>129</v>
      </c>
      <c r="B8" s="48">
        <f>'[1]Segmental forecast'!B12</f>
        <v>6.7000000000000004E-2</v>
      </c>
      <c r="C8" s="48">
        <f>'[1]Segmental forecast'!C12</f>
        <v>6.3E-2</v>
      </c>
      <c r="D8" s="48">
        <f>'[1]Segmental forecast'!D12</f>
        <v>0.02</v>
      </c>
      <c r="E8" s="48">
        <f>'[1]Segmental forecast'!E12</f>
        <v>3.7999999999999999E-2</v>
      </c>
      <c r="F8" s="48">
        <f>'[1]Segmental forecast'!F12</f>
        <v>-0.44400000000000001</v>
      </c>
      <c r="G8" s="48">
        <f>'[1]Segmental forecast'!G12</f>
        <v>1.3069999999999999</v>
      </c>
      <c r="H8" s="48">
        <f>'[1]Segmental forecast'!H12</f>
        <v>-0.01</v>
      </c>
      <c r="I8" s="48">
        <f>'[1]Segmental forecast'!I12</f>
        <v>-0.01</v>
      </c>
      <c r="J8" s="48">
        <f>'[1]Segmental forecast'!J12</f>
        <v>-0.01</v>
      </c>
      <c r="K8" s="48">
        <f>'[1]Segmental forecast'!K12</f>
        <v>-0.01</v>
      </c>
      <c r="L8" s="48">
        <f>'[1]Segmental forecast'!L12</f>
        <v>-0.01</v>
      </c>
      <c r="M8" s="48">
        <f>'[1]Segmental forecast'!M12</f>
        <v>-0.01</v>
      </c>
      <c r="N8" s="48">
        <f>'[1]Segmental forecast'!N12</f>
        <v>-0.01</v>
      </c>
    </row>
    <row r="9" spans="1:15" x14ac:dyDescent="0.3">
      <c r="A9" s="40" t="s">
        <v>131</v>
      </c>
      <c r="B9" s="48">
        <f>'[1]Segmental forecast'!B13</f>
        <v>0.14699999999999999</v>
      </c>
      <c r="C9" s="48">
        <f>'[1]Segmental forecast'!C13</f>
        <v>0.15</v>
      </c>
      <c r="D9" s="48">
        <f>'[1]Segmental forecast'!D13</f>
        <v>0.152</v>
      </c>
      <c r="E9" s="48">
        <f>'[1]Segmental forecast'!E13</f>
        <v>0.14299999999999999</v>
      </c>
      <c r="F9" s="48">
        <f>'[1]Segmental forecast'!F13</f>
        <v>0.14499999999999999</v>
      </c>
      <c r="G9" s="48">
        <f>'[1]Segmental forecast'!G13</f>
        <v>0.08</v>
      </c>
      <c r="H9" s="48">
        <f>'[1]Segmental forecast'!H13</f>
        <v>0.155</v>
      </c>
      <c r="I9" s="48">
        <f>'[1]Segmental forecast'!I13</f>
        <v>0.14699999999999999</v>
      </c>
      <c r="J9" s="48">
        <f>'[1]Segmental forecast'!J13</f>
        <v>0.14699999999999999</v>
      </c>
      <c r="K9" s="48">
        <f>'[1]Segmental forecast'!K13</f>
        <v>0.14699999999999999</v>
      </c>
      <c r="L9" s="48">
        <f>'[1]Segmental forecast'!L13</f>
        <v>0.14699999999999999</v>
      </c>
      <c r="M9" s="48">
        <f>'[1]Segmental forecast'!M13</f>
        <v>0.14699999999999999</v>
      </c>
      <c r="N9" s="48">
        <f>'[1]Segmental forecast'!N13</f>
        <v>0.14699999999999999</v>
      </c>
    </row>
    <row r="10" spans="1:15" x14ac:dyDescent="0.3">
      <c r="A10" s="2" t="s">
        <v>24</v>
      </c>
      <c r="B10" s="3">
        <f>[2]Historicals!B8</f>
        <v>28</v>
      </c>
      <c r="C10" s="3">
        <f>[2]Historicals!C8</f>
        <v>19</v>
      </c>
      <c r="D10" s="3">
        <f>[2]Historicals!D8</f>
        <v>59</v>
      </c>
      <c r="E10" s="3">
        <f>[2]Historicals!E8</f>
        <v>54</v>
      </c>
      <c r="F10" s="3">
        <f>[2]Historicals!F8</f>
        <v>49</v>
      </c>
      <c r="G10" s="3">
        <f>[2]Historicals!G8</f>
        <v>89</v>
      </c>
      <c r="H10" s="3">
        <f>[2]Historicals!H8</f>
        <v>262</v>
      </c>
      <c r="I10" s="3">
        <f>[2]Historicals!I8</f>
        <v>205</v>
      </c>
      <c r="J10" s="3"/>
      <c r="K10" s="3"/>
      <c r="L10" s="3"/>
      <c r="M10" s="3"/>
      <c r="N10" s="3"/>
    </row>
    <row r="11" spans="1:15" x14ac:dyDescent="0.3">
      <c r="A11" s="4" t="s">
        <v>150</v>
      </c>
      <c r="B11" s="5">
        <f>B7-B10</f>
        <v>4472</v>
      </c>
      <c r="C11" s="5">
        <f t="shared" ref="C11:N11" si="1">C7-C10</f>
        <v>4781</v>
      </c>
      <c r="D11" s="5">
        <f t="shared" si="1"/>
        <v>5041</v>
      </c>
      <c r="E11" s="5">
        <f t="shared" si="1"/>
        <v>5146</v>
      </c>
      <c r="F11" s="5">
        <f t="shared" si="1"/>
        <v>5351</v>
      </c>
      <c r="G11" s="5">
        <f t="shared" si="1"/>
        <v>2911</v>
      </c>
      <c r="H11" s="5">
        <f t="shared" si="1"/>
        <v>6661</v>
      </c>
      <c r="I11" s="5">
        <f t="shared" si="1"/>
        <v>6651</v>
      </c>
      <c r="J11" s="5">
        <f t="shared" si="1"/>
        <v>6787.44</v>
      </c>
      <c r="K11" s="5">
        <f t="shared" si="1"/>
        <v>6719.57</v>
      </c>
      <c r="L11" s="5">
        <f t="shared" si="1"/>
        <v>6652.37</v>
      </c>
      <c r="M11" s="5">
        <f t="shared" si="1"/>
        <v>6585.85</v>
      </c>
      <c r="N11" s="5">
        <f t="shared" si="1"/>
        <v>6519.99</v>
      </c>
    </row>
    <row r="12" spans="1:15" x14ac:dyDescent="0.3">
      <c r="A12" t="s">
        <v>26</v>
      </c>
      <c r="B12" s="3">
        <f>[2]Historicals!B11</f>
        <v>932</v>
      </c>
      <c r="C12" s="3">
        <f>[2]Historicals!C11</f>
        <v>863</v>
      </c>
      <c r="D12" s="3">
        <f>[2]Historicals!D11</f>
        <v>646</v>
      </c>
      <c r="E12" s="3">
        <f>[2]Historicals!E11</f>
        <v>2392</v>
      </c>
      <c r="F12" s="3">
        <f>[2]Historicals!F11</f>
        <v>772</v>
      </c>
      <c r="G12" s="3">
        <f>[2]Historicals!G11</f>
        <v>348</v>
      </c>
      <c r="H12" s="3">
        <f>[2]Historicals!H11</f>
        <v>934</v>
      </c>
      <c r="I12" s="3">
        <f>[2]Historicals!I11</f>
        <v>605</v>
      </c>
      <c r="J12" s="3">
        <v>605</v>
      </c>
      <c r="K12" s="3">
        <v>605</v>
      </c>
      <c r="L12" s="3">
        <v>605</v>
      </c>
      <c r="M12" s="3">
        <v>605</v>
      </c>
      <c r="N12" s="3">
        <v>605</v>
      </c>
    </row>
    <row r="13" spans="1:15" x14ac:dyDescent="0.3">
      <c r="A13" s="51" t="s">
        <v>151</v>
      </c>
      <c r="B13" s="52">
        <f>B12/B11*100</f>
        <v>20.840787119856888</v>
      </c>
      <c r="C13" s="52">
        <f t="shared" ref="C13:I13" si="2">C12/C11*100</f>
        <v>18.050617025726837</v>
      </c>
      <c r="D13" s="52">
        <f t="shared" si="2"/>
        <v>12.814917675064471</v>
      </c>
      <c r="E13" s="52">
        <f t="shared" si="2"/>
        <v>46.482705013602796</v>
      </c>
      <c r="F13" s="52">
        <f t="shared" si="2"/>
        <v>14.42720986731452</v>
      </c>
      <c r="G13" s="52">
        <f t="shared" si="2"/>
        <v>11.954654757815183</v>
      </c>
      <c r="H13" s="52">
        <f t="shared" si="2"/>
        <v>14.021918630836211</v>
      </c>
      <c r="I13" s="52">
        <f t="shared" si="2"/>
        <v>9.0963764847391371</v>
      </c>
      <c r="J13" s="53">
        <v>9.0963764847391371</v>
      </c>
      <c r="K13" s="53">
        <v>9.0963764847391371</v>
      </c>
      <c r="L13" s="53">
        <v>9.0963764847391371</v>
      </c>
      <c r="M13" s="53">
        <v>9.0963764847391371</v>
      </c>
      <c r="N13" s="53">
        <v>9.0963764847391371</v>
      </c>
    </row>
    <row r="14" spans="1:15" ht="15" thickBot="1" x14ac:dyDescent="0.35">
      <c r="A14" s="6" t="s">
        <v>152</v>
      </c>
      <c r="B14" s="7">
        <f>B11-B12</f>
        <v>3540</v>
      </c>
      <c r="C14" s="7">
        <f t="shared" ref="C14:I14" si="3">C11-C12</f>
        <v>3918</v>
      </c>
      <c r="D14" s="7">
        <f t="shared" si="3"/>
        <v>4395</v>
      </c>
      <c r="E14" s="7">
        <f t="shared" si="3"/>
        <v>2754</v>
      </c>
      <c r="F14" s="7">
        <f t="shared" si="3"/>
        <v>4579</v>
      </c>
      <c r="G14" s="7">
        <f t="shared" si="3"/>
        <v>2563</v>
      </c>
      <c r="H14" s="7">
        <f t="shared" si="3"/>
        <v>5727</v>
      </c>
      <c r="I14" s="7">
        <f t="shared" si="3"/>
        <v>6046</v>
      </c>
      <c r="J14" s="7">
        <v>6046</v>
      </c>
      <c r="K14" s="7">
        <v>6046</v>
      </c>
      <c r="L14" s="7">
        <v>6046</v>
      </c>
      <c r="M14" s="7">
        <v>6046</v>
      </c>
      <c r="N14" s="7">
        <v>6046</v>
      </c>
    </row>
    <row r="15" spans="1:15" ht="15" thickTop="1" x14ac:dyDescent="0.3">
      <c r="A15" t="s">
        <v>153</v>
      </c>
      <c r="B15" s="3">
        <f>[2]Historicals!B54</f>
        <v>3</v>
      </c>
      <c r="C15" s="3">
        <f>[2]Historicals!C54</f>
        <v>3</v>
      </c>
      <c r="D15" s="3">
        <f>[2]Historicals!D54</f>
        <v>3</v>
      </c>
      <c r="E15" s="3">
        <f>[2]Historicals!E54</f>
        <v>3</v>
      </c>
      <c r="F15" s="3">
        <f>[2]Historicals!F54</f>
        <v>3</v>
      </c>
      <c r="G15" s="3">
        <f>[2]Historicals!G54</f>
        <v>3</v>
      </c>
      <c r="H15" s="3">
        <f>[2]Historicals!H54</f>
        <v>3</v>
      </c>
      <c r="I15" s="3">
        <f>[2]Historicals!I54</f>
        <v>3</v>
      </c>
      <c r="J15" s="3">
        <v>3</v>
      </c>
      <c r="K15" s="3">
        <v>3</v>
      </c>
      <c r="L15" s="3">
        <v>3</v>
      </c>
      <c r="M15" s="3">
        <v>3</v>
      </c>
      <c r="N15" s="3">
        <v>3</v>
      </c>
    </row>
    <row r="16" spans="1:15" x14ac:dyDescent="0.3">
      <c r="A16" t="s">
        <v>154</v>
      </c>
      <c r="B16" s="54">
        <f>[2]Historicals!B15</f>
        <v>1.85</v>
      </c>
      <c r="C16" s="54">
        <f>[2]Historicals!C15</f>
        <v>2.16</v>
      </c>
      <c r="D16" s="54">
        <f>[2]Historicals!D15</f>
        <v>2.5099999999999998</v>
      </c>
      <c r="E16" s="54">
        <f>[2]Historicals!E15</f>
        <v>1.17</v>
      </c>
      <c r="F16" s="54">
        <f>[2]Historicals!F15</f>
        <v>2.4900000000000002</v>
      </c>
      <c r="G16" s="54">
        <f>[2]Historicals!G15</f>
        <v>1.6</v>
      </c>
      <c r="H16" s="54">
        <f>[2]Historicals!H15</f>
        <v>3.56</v>
      </c>
      <c r="I16" s="54">
        <f>[2]Historicals!I15</f>
        <v>3.75</v>
      </c>
      <c r="J16" s="54">
        <v>3.75</v>
      </c>
      <c r="K16" s="54">
        <v>3.75</v>
      </c>
      <c r="L16" s="54">
        <v>3.75</v>
      </c>
      <c r="M16" s="54">
        <v>3.75</v>
      </c>
      <c r="N16" s="54">
        <v>3.75</v>
      </c>
    </row>
    <row r="17" spans="1:14" x14ac:dyDescent="0.3">
      <c r="A17" t="s">
        <v>155</v>
      </c>
      <c r="B17" s="54">
        <f>B63/B15</f>
        <v>-299.66666666666669</v>
      </c>
      <c r="C17" s="54">
        <f t="shared" ref="C17:I17" si="4">C63/C15</f>
        <v>-340.66666666666669</v>
      </c>
      <c r="D17" s="54">
        <f t="shared" si="4"/>
        <v>-377.66666666666669</v>
      </c>
      <c r="E17" s="54">
        <f t="shared" si="4"/>
        <v>-414.33333333333331</v>
      </c>
      <c r="F17" s="54">
        <f t="shared" si="4"/>
        <v>-444</v>
      </c>
      <c r="G17" s="54">
        <f t="shared" si="4"/>
        <v>-484</v>
      </c>
      <c r="H17" s="54">
        <f t="shared" si="4"/>
        <v>-546</v>
      </c>
      <c r="I17" s="54">
        <f t="shared" si="4"/>
        <v>-612.33333333333337</v>
      </c>
      <c r="J17" s="54">
        <v>-612.33333333333337</v>
      </c>
      <c r="K17" s="54">
        <v>-612.33333333333337</v>
      </c>
      <c r="L17" s="54">
        <v>-612.33333333333337</v>
      </c>
      <c r="M17" s="54">
        <v>-612.33333333333337</v>
      </c>
      <c r="N17" s="54">
        <v>-612.33333333333337</v>
      </c>
    </row>
    <row r="18" spans="1:14" x14ac:dyDescent="0.3">
      <c r="A18" s="51" t="s">
        <v>129</v>
      </c>
      <c r="B18" s="52"/>
      <c r="C18" s="52">
        <f>C17-B17/B17*100</f>
        <v>-440.66666666666669</v>
      </c>
      <c r="D18" s="52">
        <f t="shared" ref="D18:I18" si="5">D17-C17/C17*100</f>
        <v>-477.66666666666669</v>
      </c>
      <c r="E18" s="52">
        <f t="shared" si="5"/>
        <v>-514.33333333333326</v>
      </c>
      <c r="F18" s="52">
        <f t="shared" si="5"/>
        <v>-544</v>
      </c>
      <c r="G18" s="52">
        <f t="shared" si="5"/>
        <v>-584</v>
      </c>
      <c r="H18" s="52">
        <f t="shared" si="5"/>
        <v>-646</v>
      </c>
      <c r="I18" s="52">
        <f t="shared" si="5"/>
        <v>-712.33333333333337</v>
      </c>
      <c r="J18" s="53">
        <v>-712.33333333333337</v>
      </c>
      <c r="K18" s="53">
        <v>-712.33333333333337</v>
      </c>
      <c r="L18" s="53">
        <v>-712.33333333333337</v>
      </c>
      <c r="M18" s="53">
        <v>-712.33333333333337</v>
      </c>
      <c r="N18" s="53">
        <v>-712.33333333333337</v>
      </c>
    </row>
    <row r="19" spans="1:14" x14ac:dyDescent="0.3">
      <c r="A19" s="51" t="s">
        <v>156</v>
      </c>
      <c r="B19" s="52">
        <f>B17/B16*100</f>
        <v>-16198.198198198199</v>
      </c>
      <c r="C19" s="52">
        <f t="shared" ref="C19:I19" si="6">C17/C16*100</f>
        <v>-15771.604938271605</v>
      </c>
      <c r="D19" s="52">
        <f t="shared" si="6"/>
        <v>-15046.480743691902</v>
      </c>
      <c r="E19" s="52">
        <f t="shared" si="6"/>
        <v>-35413.105413105419</v>
      </c>
      <c r="F19" s="52">
        <f t="shared" si="6"/>
        <v>-17831.325301204815</v>
      </c>
      <c r="G19" s="52">
        <f t="shared" si="6"/>
        <v>-30250</v>
      </c>
      <c r="H19" s="52">
        <f t="shared" si="6"/>
        <v>-15337.078651685393</v>
      </c>
      <c r="I19" s="52">
        <f t="shared" si="6"/>
        <v>-16328.888888888889</v>
      </c>
      <c r="J19" s="52">
        <v>-16328.888888888891</v>
      </c>
      <c r="K19" s="52">
        <v>-16328.888888888891</v>
      </c>
      <c r="L19" s="52">
        <v>-16328.888888888891</v>
      </c>
      <c r="M19" s="52">
        <v>-16328.888888888891</v>
      </c>
      <c r="N19" s="52">
        <v>-16328.888888888891</v>
      </c>
    </row>
    <row r="20" spans="1:14" x14ac:dyDescent="0.3">
      <c r="A20" s="55" t="s">
        <v>157</v>
      </c>
      <c r="B20" s="38"/>
      <c r="C20" s="38"/>
      <c r="D20" s="38"/>
      <c r="E20" s="38"/>
      <c r="F20" s="38"/>
      <c r="G20" s="38"/>
      <c r="H20" s="38"/>
      <c r="I20" s="38"/>
      <c r="J20" s="38"/>
      <c r="K20" s="38"/>
      <c r="L20" s="38"/>
      <c r="M20" s="38"/>
      <c r="N20" s="38"/>
    </row>
    <row r="21" spans="1:14" x14ac:dyDescent="0.3">
      <c r="A21" s="76" t="s">
        <v>158</v>
      </c>
      <c r="B21" s="3">
        <f>B70</f>
        <v>10576</v>
      </c>
      <c r="C21" s="3">
        <f t="shared" ref="C21:N21" si="7">C70</f>
        <v>16028</v>
      </c>
      <c r="D21" s="3">
        <f t="shared" si="7"/>
        <v>15525</v>
      </c>
      <c r="E21" s="3">
        <f t="shared" si="7"/>
        <v>16953</v>
      </c>
      <c r="F21" s="3">
        <f t="shared" si="7"/>
        <v>19755</v>
      </c>
      <c r="G21" s="3">
        <f t="shared" si="7"/>
        <v>14025</v>
      </c>
      <c r="H21" s="3">
        <f t="shared" si="7"/>
        <v>22794</v>
      </c>
      <c r="I21" s="3">
        <f t="shared" si="7"/>
        <v>27067</v>
      </c>
      <c r="J21" s="3">
        <f t="shared" si="7"/>
        <v>26500</v>
      </c>
      <c r="K21" s="3">
        <f t="shared" si="7"/>
        <v>27067</v>
      </c>
      <c r="L21" s="3">
        <f t="shared" si="7"/>
        <v>26500</v>
      </c>
      <c r="M21" s="3">
        <f t="shared" si="7"/>
        <v>27067</v>
      </c>
      <c r="N21" s="3">
        <f t="shared" si="7"/>
        <v>26500</v>
      </c>
    </row>
    <row r="22" spans="1:14" x14ac:dyDescent="0.3">
      <c r="A22" t="s">
        <v>159</v>
      </c>
      <c r="B22" s="3">
        <f>B72-[2]Historicals!B39+[2]Historicals!B40+[2]Historicals!B46-B21-[2]Historicals!B26</f>
        <v>-20918</v>
      </c>
      <c r="C22" s="3">
        <f>C72-[2]Historicals!C39+[2]Historicals!C40+[2]Historicals!C46-C21-[2]Historicals!C26</f>
        <v>-30353</v>
      </c>
      <c r="D22" s="3">
        <f>D72-[2]Historicals!D39+[2]Historicals!D40+[2]Historicals!D46-D21-[2]Historicals!D26</f>
        <v>-32771</v>
      </c>
      <c r="E22" s="3">
        <f>E72-[2]Historicals!E39+[2]Historicals!E40+[2]Historicals!E46-E21-[2]Historicals!E26</f>
        <v>-34230</v>
      </c>
      <c r="F22" s="3">
        <f>F72-[2]Historicals!F39+[2]Historicals!F40+[2]Historicals!F46-F21-[2]Historicals!F26</f>
        <v>-32761</v>
      </c>
      <c r="G22" s="3">
        <f>G72-[2]Historicals!G39+[2]Historicals!G40+[2]Historicals!G46-G21-[2]Historicals!G26</f>
        <v>-9181</v>
      </c>
      <c r="H22" s="3">
        <f>H72-[2]Historicals!H39+[2]Historicals!H40+[2]Historicals!H46-H21-[2]Historicals!H26</f>
        <v>-30345</v>
      </c>
      <c r="I22" s="3">
        <f>I72-[2]Historicals!I39+[2]Historicals!I40+[2]Historicals!I46-I21-[2]Historicals!I26</f>
        <v>-40697</v>
      </c>
      <c r="J22" s="3">
        <v>712</v>
      </c>
      <c r="K22" s="3">
        <v>712</v>
      </c>
      <c r="L22" s="3">
        <v>712</v>
      </c>
      <c r="M22" s="3">
        <v>712</v>
      </c>
      <c r="N22" s="3">
        <v>712</v>
      </c>
    </row>
    <row r="23" spans="1:14" x14ac:dyDescent="0.3">
      <c r="A23" t="s">
        <v>160</v>
      </c>
      <c r="B23" s="3">
        <f>[2]Historicals!B28+[2]Historicals!B27-[2]Historicals!B41</f>
        <v>5564</v>
      </c>
      <c r="C23" s="3">
        <f>[2]Historicals!C28+[2]Historicals!C27-[2]Historicals!C41</f>
        <v>5888</v>
      </c>
      <c r="D23" s="3">
        <f>[2]Historicals!D28+[2]Historicals!D27-[2]Historicals!D41</f>
        <v>6684</v>
      </c>
      <c r="E23" s="3">
        <f>[2]Historicals!E28+[2]Historicals!E27-[2]Historicals!E41</f>
        <v>6480</v>
      </c>
      <c r="F23" s="3">
        <f>[2]Historicals!F28+[2]Historicals!F27-[2]Historicals!F41</f>
        <v>7282</v>
      </c>
      <c r="G23" s="3">
        <f>[2]Historicals!G28+[2]Historicals!G27-[2]Historicals!G41</f>
        <v>7868</v>
      </c>
      <c r="H23" s="3">
        <f>[2]Historicals!H28+[2]Historicals!H27-[2]Historicals!H41</f>
        <v>8481</v>
      </c>
      <c r="I23" s="3">
        <f>[2]Historicals!I28+[2]Historicals!I27-[2]Historicals!I41</f>
        <v>9729</v>
      </c>
      <c r="J23" s="3">
        <v>9729</v>
      </c>
      <c r="K23" s="3">
        <v>9729</v>
      </c>
      <c r="L23" s="3">
        <v>9729</v>
      </c>
      <c r="M23" s="3">
        <v>9729</v>
      </c>
      <c r="N23" s="3">
        <v>9729</v>
      </c>
    </row>
    <row r="24" spans="1:14" x14ac:dyDescent="0.3">
      <c r="A24" s="51" t="s">
        <v>161</v>
      </c>
      <c r="B24" s="52">
        <f>B23/B3*100</f>
        <v>18.18241233946603</v>
      </c>
      <c r="C24" s="52">
        <f t="shared" ref="C24:I24" si="8">C23/C3*100</f>
        <v>18.186310847541389</v>
      </c>
      <c r="D24" s="52">
        <f t="shared" si="8"/>
        <v>19.458515283842797</v>
      </c>
      <c r="E24" s="52">
        <f t="shared" si="8"/>
        <v>17.803665137236585</v>
      </c>
      <c r="F24" s="52">
        <f t="shared" si="8"/>
        <v>18.615947030702763</v>
      </c>
      <c r="G24" s="52">
        <f t="shared" si="8"/>
        <v>21.035745795791783</v>
      </c>
      <c r="H24" s="52">
        <f t="shared" si="8"/>
        <v>19.042166240064663</v>
      </c>
      <c r="I24" s="52">
        <f t="shared" si="8"/>
        <v>20.828516377649326</v>
      </c>
      <c r="J24" s="53">
        <v>20.828516377649329</v>
      </c>
      <c r="K24" s="53">
        <v>20.828516377649329</v>
      </c>
      <c r="L24" s="53">
        <v>20.828516377649329</v>
      </c>
      <c r="M24" s="53">
        <v>20.828516377649329</v>
      </c>
      <c r="N24" s="53">
        <v>20.828516377649329</v>
      </c>
    </row>
    <row r="25" spans="1:14" x14ac:dyDescent="0.3">
      <c r="A25" t="s">
        <v>162</v>
      </c>
      <c r="B25" s="3">
        <f>[2]Historicals!B29</f>
        <v>1968</v>
      </c>
      <c r="C25" s="3">
        <f>[2]Historicals!C29</f>
        <v>1489</v>
      </c>
      <c r="D25" s="3">
        <f>[2]Historicals!D29</f>
        <v>1150</v>
      </c>
      <c r="E25" s="3">
        <f>[2]Historicals!E29</f>
        <v>1130</v>
      </c>
      <c r="F25" s="3">
        <f>[2]Historicals!F29</f>
        <v>1968</v>
      </c>
      <c r="G25" s="3">
        <f>[2]Historicals!G29</f>
        <v>1653</v>
      </c>
      <c r="H25" s="3">
        <f>[2]Historicals!H29</f>
        <v>1498</v>
      </c>
      <c r="I25" s="3">
        <f>[2]Historicals!I29</f>
        <v>2129</v>
      </c>
      <c r="J25" s="3">
        <v>2129</v>
      </c>
      <c r="K25" s="3">
        <v>2129</v>
      </c>
      <c r="L25" s="3">
        <v>2129</v>
      </c>
      <c r="M25" s="3">
        <v>2129</v>
      </c>
      <c r="N25" s="3">
        <v>2129</v>
      </c>
    </row>
    <row r="26" spans="1:14" x14ac:dyDescent="0.3">
      <c r="A26" t="s">
        <v>163</v>
      </c>
      <c r="B26" s="3">
        <f>[2]Historicals!B31</f>
        <v>2996</v>
      </c>
      <c r="C26" s="3">
        <f>[2]Historicals!C31</f>
        <v>3451</v>
      </c>
      <c r="D26" s="3">
        <f>[2]Historicals!D31</f>
        <v>3975</v>
      </c>
      <c r="E26" s="3">
        <f>[2]Historicals!E31</f>
        <v>4454</v>
      </c>
      <c r="F26" s="3">
        <f>[2]Historicals!F31</f>
        <v>4744</v>
      </c>
      <c r="G26" s="3">
        <f>[2]Historicals!G31</f>
        <v>4866</v>
      </c>
      <c r="H26" s="3">
        <f>[2]Historicals!H31</f>
        <v>4904</v>
      </c>
      <c r="I26" s="3">
        <f>[2]Historicals!I31</f>
        <v>4791</v>
      </c>
      <c r="J26" s="3">
        <v>4791</v>
      </c>
      <c r="K26" s="3">
        <v>4791</v>
      </c>
      <c r="L26" s="3">
        <v>4791</v>
      </c>
      <c r="M26" s="3">
        <v>4791</v>
      </c>
      <c r="N26" s="3">
        <v>4791</v>
      </c>
    </row>
    <row r="27" spans="1:14" x14ac:dyDescent="0.3">
      <c r="A27" t="s">
        <v>164</v>
      </c>
      <c r="B27" s="3">
        <f>[2]Historicals!B33</f>
        <v>281</v>
      </c>
      <c r="C27" s="3">
        <f>[2]Historicals!C33</f>
        <v>281</v>
      </c>
      <c r="D27" s="3">
        <f>[2]Historicals!D33</f>
        <v>283</v>
      </c>
      <c r="E27" s="3">
        <f>[2]Historicals!E33</f>
        <v>285</v>
      </c>
      <c r="F27" s="3">
        <f>[2]Historicals!F33</f>
        <v>283</v>
      </c>
      <c r="G27" s="3">
        <f>[2]Historicals!G33</f>
        <v>274</v>
      </c>
      <c r="H27" s="3">
        <f>[2]Historicals!H33</f>
        <v>269</v>
      </c>
      <c r="I27" s="3">
        <f>[2]Historicals!I33</f>
        <v>286</v>
      </c>
      <c r="J27" s="3">
        <v>286</v>
      </c>
      <c r="K27" s="3">
        <v>286</v>
      </c>
      <c r="L27" s="3">
        <v>286</v>
      </c>
      <c r="M27" s="3">
        <v>286</v>
      </c>
      <c r="N27" s="3">
        <v>286</v>
      </c>
    </row>
    <row r="28" spans="1:14" x14ac:dyDescent="0.3">
      <c r="A28" t="s">
        <v>40</v>
      </c>
      <c r="B28" s="3">
        <f>[2]Historicals!B34</f>
        <v>131</v>
      </c>
      <c r="C28" s="3">
        <f>[2]Historicals!C34</f>
        <v>131</v>
      </c>
      <c r="D28" s="3">
        <f>[2]Historicals!D34</f>
        <v>139</v>
      </c>
      <c r="E28" s="3">
        <f>[2]Historicals!E34</f>
        <v>154</v>
      </c>
      <c r="F28" s="3">
        <f>[2]Historicals!F34</f>
        <v>154</v>
      </c>
      <c r="G28" s="3">
        <f>[2]Historicals!G34</f>
        <v>223</v>
      </c>
      <c r="H28" s="3">
        <f>[2]Historicals!H34</f>
        <v>242</v>
      </c>
      <c r="I28" s="3">
        <f>[2]Historicals!I34</f>
        <v>284</v>
      </c>
      <c r="J28" s="3">
        <v>284</v>
      </c>
      <c r="K28" s="3">
        <v>284</v>
      </c>
      <c r="L28" s="3">
        <v>284</v>
      </c>
      <c r="M28" s="3">
        <v>284</v>
      </c>
      <c r="N28" s="3">
        <v>284</v>
      </c>
    </row>
    <row r="29" spans="1:14" x14ac:dyDescent="0.3">
      <c r="A29" s="56" t="s">
        <v>38</v>
      </c>
      <c r="B29" s="3">
        <f>[2]Historicals!B32</f>
        <v>0</v>
      </c>
      <c r="C29" s="3">
        <f>[2]Historicals!C32</f>
        <v>0</v>
      </c>
      <c r="D29" s="3">
        <f>[2]Historicals!D32</f>
        <v>0</v>
      </c>
      <c r="E29" s="3">
        <f>[2]Historicals!E32</f>
        <v>0</v>
      </c>
      <c r="F29" s="3">
        <v>0</v>
      </c>
      <c r="G29" s="3">
        <f>[2]Historicals!G32</f>
        <v>3097</v>
      </c>
      <c r="H29" s="3">
        <f>[2]Historicals!H32</f>
        <v>3113</v>
      </c>
      <c r="I29" s="3">
        <f>[2]Historicals!I32</f>
        <v>2926</v>
      </c>
      <c r="J29" s="3">
        <v>2926</v>
      </c>
      <c r="K29" s="3">
        <v>2926</v>
      </c>
      <c r="L29" s="3">
        <v>2926</v>
      </c>
      <c r="M29" s="3">
        <v>2926</v>
      </c>
      <c r="N29" s="3">
        <v>2926</v>
      </c>
    </row>
    <row r="30" spans="1:14" x14ac:dyDescent="0.3">
      <c r="A30" s="76" t="s">
        <v>165</v>
      </c>
      <c r="B30" s="3">
        <f>2587-1651</f>
        <v>936</v>
      </c>
      <c r="C30" s="3">
        <f>2439-B30</f>
        <v>1503</v>
      </c>
      <c r="D30" s="3">
        <f t="shared" ref="D30:N30" si="9">2439-C30</f>
        <v>936</v>
      </c>
      <c r="E30" s="3">
        <f t="shared" si="9"/>
        <v>1503</v>
      </c>
      <c r="F30" s="3">
        <f t="shared" si="9"/>
        <v>936</v>
      </c>
      <c r="G30" s="3">
        <f t="shared" si="9"/>
        <v>1503</v>
      </c>
      <c r="H30" s="3">
        <f t="shared" si="9"/>
        <v>936</v>
      </c>
      <c r="I30" s="3">
        <f t="shared" si="9"/>
        <v>1503</v>
      </c>
      <c r="J30" s="3">
        <f t="shared" si="9"/>
        <v>936</v>
      </c>
      <c r="K30" s="3">
        <f t="shared" si="9"/>
        <v>1503</v>
      </c>
      <c r="L30" s="3">
        <f t="shared" si="9"/>
        <v>936</v>
      </c>
      <c r="M30" s="3">
        <f t="shared" si="9"/>
        <v>1503</v>
      </c>
      <c r="N30" s="3">
        <f t="shared" si="9"/>
        <v>936</v>
      </c>
    </row>
    <row r="31" spans="1:14" ht="15" thickBot="1" x14ac:dyDescent="0.35">
      <c r="A31" s="6" t="s">
        <v>166</v>
      </c>
      <c r="B31" s="7">
        <f>B21+B25+B26+B27+B28+B29+B30</f>
        <v>16888</v>
      </c>
      <c r="C31" s="7">
        <f t="shared" ref="C31:I31" si="10">C21+C25+C26+C27+C28+C29+C30</f>
        <v>22883</v>
      </c>
      <c r="D31" s="7">
        <f t="shared" si="10"/>
        <v>22008</v>
      </c>
      <c r="E31" s="7">
        <f t="shared" si="10"/>
        <v>24479</v>
      </c>
      <c r="F31" s="7">
        <f t="shared" si="10"/>
        <v>27840</v>
      </c>
      <c r="G31" s="7">
        <f t="shared" si="10"/>
        <v>25641</v>
      </c>
      <c r="H31" s="7">
        <f t="shared" si="10"/>
        <v>33756</v>
      </c>
      <c r="I31" s="7">
        <f t="shared" si="10"/>
        <v>38986</v>
      </c>
      <c r="J31" s="7">
        <v>22811</v>
      </c>
      <c r="K31" s="7">
        <v>22811</v>
      </c>
      <c r="L31" s="7">
        <v>22811</v>
      </c>
      <c r="M31" s="7">
        <v>22811</v>
      </c>
      <c r="N31" s="7">
        <v>22811</v>
      </c>
    </row>
    <row r="32" spans="1:14" ht="15" thickTop="1" x14ac:dyDescent="0.3">
      <c r="A32" t="s">
        <v>167</v>
      </c>
      <c r="B32" s="3">
        <f>B33+B34</f>
        <v>181</v>
      </c>
      <c r="C32" s="3">
        <f t="shared" ref="C32:I32" si="11">C33+C34</f>
        <v>45</v>
      </c>
      <c r="D32" s="3">
        <f t="shared" si="11"/>
        <v>331</v>
      </c>
      <c r="E32" s="3">
        <f t="shared" si="11"/>
        <v>342</v>
      </c>
      <c r="F32" s="3">
        <f t="shared" si="11"/>
        <v>15</v>
      </c>
      <c r="G32" s="3">
        <f t="shared" si="11"/>
        <v>251</v>
      </c>
      <c r="H32" s="3">
        <f t="shared" si="11"/>
        <v>2</v>
      </c>
      <c r="I32" s="3">
        <f t="shared" si="11"/>
        <v>510</v>
      </c>
      <c r="J32" s="3">
        <v>510</v>
      </c>
      <c r="K32" s="3">
        <v>510</v>
      </c>
      <c r="L32" s="3">
        <v>510</v>
      </c>
      <c r="M32" s="3">
        <v>510</v>
      </c>
      <c r="N32" s="3">
        <v>510</v>
      </c>
    </row>
    <row r="33" spans="1:14" x14ac:dyDescent="0.3">
      <c r="A33" s="2" t="s">
        <v>45</v>
      </c>
      <c r="B33" s="3">
        <f>[2]Historicals!B39</f>
        <v>107</v>
      </c>
      <c r="C33" s="3">
        <f>[2]Historicals!C39</f>
        <v>44</v>
      </c>
      <c r="D33" s="3">
        <f>[2]Historicals!D39</f>
        <v>6</v>
      </c>
      <c r="E33" s="3">
        <f>[2]Historicals!E39</f>
        <v>6</v>
      </c>
      <c r="F33" s="3">
        <f>[2]Historicals!F39</f>
        <v>6</v>
      </c>
      <c r="G33" s="3">
        <f>[2]Historicals!G39</f>
        <v>3</v>
      </c>
      <c r="H33" s="3">
        <f>[2]Historicals!H39</f>
        <v>0</v>
      </c>
      <c r="I33" s="3">
        <f>[2]Historicals!I39</f>
        <v>500</v>
      </c>
      <c r="J33" s="3">
        <v>500</v>
      </c>
      <c r="K33" s="3">
        <v>500</v>
      </c>
      <c r="L33" s="3">
        <v>500</v>
      </c>
      <c r="M33" s="3">
        <v>500</v>
      </c>
      <c r="N33" s="3">
        <v>500</v>
      </c>
    </row>
    <row r="34" spans="1:14" x14ac:dyDescent="0.3">
      <c r="A34" s="2" t="s">
        <v>46</v>
      </c>
      <c r="B34" s="3">
        <f>[2]Historicals!B40</f>
        <v>74</v>
      </c>
      <c r="C34" s="3">
        <f>[2]Historicals!C40</f>
        <v>1</v>
      </c>
      <c r="D34" s="3">
        <f>[2]Historicals!D40</f>
        <v>325</v>
      </c>
      <c r="E34" s="3">
        <f>[2]Historicals!E40</f>
        <v>336</v>
      </c>
      <c r="F34" s="3">
        <f>[2]Historicals!F40</f>
        <v>9</v>
      </c>
      <c r="G34" s="3">
        <f>[2]Historicals!G40</f>
        <v>248</v>
      </c>
      <c r="H34" s="3">
        <f>[2]Historicals!H40</f>
        <v>2</v>
      </c>
      <c r="I34" s="3">
        <f>[2]Historicals!I40</f>
        <v>10</v>
      </c>
      <c r="J34" s="3">
        <v>10</v>
      </c>
      <c r="K34" s="3">
        <v>10</v>
      </c>
      <c r="L34" s="3">
        <v>10</v>
      </c>
      <c r="M34" s="3">
        <v>10</v>
      </c>
      <c r="N34" s="3">
        <v>10</v>
      </c>
    </row>
    <row r="35" spans="1:14" x14ac:dyDescent="0.3">
      <c r="A35" t="s">
        <v>168</v>
      </c>
      <c r="B35" s="3">
        <f>[2]Historicals!B43+[2]Historicals!B44+[2]Historicals!B42</f>
        <v>4020</v>
      </c>
      <c r="C35" s="3">
        <f>[2]Historicals!C43+[2]Historicals!C44+[2]Historicals!C42</f>
        <v>3122</v>
      </c>
      <c r="D35" s="3">
        <f>[2]Historicals!D43+[2]Historicals!D44+[2]Historicals!D42</f>
        <v>3095</v>
      </c>
      <c r="E35" s="3">
        <f>[2]Historicals!E43+[2]Historicals!E44+[2]Historicals!E42</f>
        <v>3419</v>
      </c>
      <c r="F35" s="3">
        <f>[2]Historicals!F43+[2]Historicals!F44+[2]Historicals!F42</f>
        <v>5239</v>
      </c>
      <c r="G35" s="3">
        <f>[2]Historicals!G43+[2]Historicals!G44+[2]Historicals!G42</f>
        <v>5785</v>
      </c>
      <c r="H35" s="3">
        <f>[2]Historicals!H43+[2]Historicals!H44+[2]Historicals!H42</f>
        <v>6836</v>
      </c>
      <c r="I35" s="3">
        <f>[2]Historicals!I43+[2]Historicals!I44+[2]Historicals!I42</f>
        <v>6862</v>
      </c>
      <c r="J35" s="3">
        <v>6862</v>
      </c>
      <c r="K35" s="3">
        <v>6862</v>
      </c>
      <c r="L35" s="3">
        <v>6862</v>
      </c>
      <c r="M35" s="3">
        <v>6862</v>
      </c>
      <c r="N35" s="3">
        <v>6862</v>
      </c>
    </row>
    <row r="36" spans="1:14" x14ac:dyDescent="0.3">
      <c r="A36" t="s">
        <v>49</v>
      </c>
      <c r="B36" s="3">
        <f>[2]Historicals!B46</f>
        <v>1079</v>
      </c>
      <c r="C36" s="3">
        <f>[2]Historicals!C46</f>
        <v>2010</v>
      </c>
      <c r="D36" s="3">
        <f>[2]Historicals!D46</f>
        <v>0</v>
      </c>
      <c r="E36" s="3">
        <f>[2]Historicals!E46</f>
        <v>0</v>
      </c>
      <c r="F36" s="3">
        <f>[2]Historicals!F46</f>
        <v>3464</v>
      </c>
      <c r="G36" s="3">
        <f>[2]Historicals!G46</f>
        <v>9406</v>
      </c>
      <c r="H36" s="3">
        <f>[2]Historicals!H46</f>
        <v>9413</v>
      </c>
      <c r="I36" s="3">
        <f>[2]Historicals!I46</f>
        <v>8920</v>
      </c>
      <c r="J36" s="3">
        <v>8920</v>
      </c>
      <c r="K36" s="3">
        <v>8920</v>
      </c>
      <c r="L36" s="3">
        <v>8920</v>
      </c>
      <c r="M36" s="3">
        <v>8920</v>
      </c>
      <c r="N36" s="3">
        <v>8920</v>
      </c>
    </row>
    <row r="37" spans="1:14" x14ac:dyDescent="0.3">
      <c r="A37" s="56" t="s">
        <v>50</v>
      </c>
      <c r="B37" s="3">
        <v>0</v>
      </c>
      <c r="C37" s="3">
        <v>0</v>
      </c>
      <c r="D37" s="3">
        <f>[2]Historicals!D47</f>
        <v>3471</v>
      </c>
      <c r="E37" s="3">
        <f>[2]Historicals!E47</f>
        <v>3468</v>
      </c>
      <c r="F37" s="3">
        <v>0</v>
      </c>
      <c r="G37" s="3">
        <f>[2]Historicals!G47</f>
        <v>2913</v>
      </c>
      <c r="H37" s="3">
        <f>[2]Historicals!H47</f>
        <v>2931</v>
      </c>
      <c r="I37" s="3">
        <f>[2]Historicals!I47</f>
        <v>2777</v>
      </c>
      <c r="J37" s="3">
        <v>2777</v>
      </c>
      <c r="K37" s="3">
        <v>2777</v>
      </c>
      <c r="L37" s="3">
        <v>2777</v>
      </c>
      <c r="M37" s="3">
        <v>2777</v>
      </c>
      <c r="N37" s="3">
        <v>2777</v>
      </c>
    </row>
    <row r="38" spans="1:14" x14ac:dyDescent="0.3">
      <c r="A38" t="s">
        <v>169</v>
      </c>
      <c r="B38" s="3">
        <f>[2]Historicals!B48</f>
        <v>1479</v>
      </c>
      <c r="C38" s="3">
        <f>[2]Historicals!C48</f>
        <v>1770</v>
      </c>
      <c r="D38" s="3">
        <f>[2]Historicals!D48</f>
        <v>1907</v>
      </c>
      <c r="E38" s="3">
        <f>[2]Historicals!E48</f>
        <v>3216</v>
      </c>
      <c r="F38" s="3">
        <f>[2]Historicals!F48</f>
        <v>0</v>
      </c>
      <c r="G38" s="3">
        <f>[2]Historicals!G48</f>
        <v>2684</v>
      </c>
      <c r="H38" s="3">
        <f>[2]Historicals!H48</f>
        <v>2955</v>
      </c>
      <c r="I38" s="3">
        <f>[2]Historicals!I48</f>
        <v>2613</v>
      </c>
      <c r="J38" s="3">
        <v>2613</v>
      </c>
      <c r="K38" s="3">
        <v>2613</v>
      </c>
      <c r="L38" s="3">
        <v>2613</v>
      </c>
      <c r="M38" s="3">
        <v>2613</v>
      </c>
      <c r="N38" s="3">
        <v>2613</v>
      </c>
    </row>
    <row r="39" spans="1:14" x14ac:dyDescent="0.3">
      <c r="A39" t="s">
        <v>170</v>
      </c>
      <c r="B39" s="3">
        <f>[2]Historicals!B58</f>
        <v>12707</v>
      </c>
      <c r="C39" s="3">
        <f>[2]Historicals!C58</f>
        <v>12258</v>
      </c>
      <c r="D39" s="3">
        <f>[2]Historicals!D58</f>
        <v>12407</v>
      </c>
      <c r="E39" s="3">
        <f>[2]Historicals!E58</f>
        <v>9812</v>
      </c>
      <c r="F39" s="3">
        <f>[2]Historicals!F58</f>
        <v>9040</v>
      </c>
      <c r="G39" s="3">
        <f>[2]Historicals!G58</f>
        <v>8055</v>
      </c>
      <c r="H39" s="3">
        <f>[2]Historicals!H58</f>
        <v>12767</v>
      </c>
      <c r="I39" s="3">
        <f>[2]Historicals!I58</f>
        <v>15281</v>
      </c>
      <c r="J39" s="3">
        <v>15281</v>
      </c>
      <c r="K39" s="3">
        <v>15281</v>
      </c>
      <c r="L39" s="3">
        <v>15281</v>
      </c>
      <c r="M39" s="3">
        <v>15281</v>
      </c>
      <c r="N39" s="3">
        <v>15281</v>
      </c>
    </row>
    <row r="40" spans="1:14" x14ac:dyDescent="0.3">
      <c r="A40" t="s">
        <v>210</v>
      </c>
      <c r="B40" s="3">
        <f>B15-B61</f>
        <v>-24.046853338987258</v>
      </c>
      <c r="C40" s="3">
        <f t="shared" ref="C40:N40" si="12">C15-C61</f>
        <v>-30.231780103184803</v>
      </c>
      <c r="D40" s="3">
        <f t="shared" si="12"/>
        <v>-25.599740259696826</v>
      </c>
      <c r="E40" s="3">
        <f t="shared" si="12"/>
        <v>-41.252840420449296</v>
      </c>
      <c r="F40" s="3">
        <f t="shared" si="12"/>
        <v>-41.243966780902383</v>
      </c>
      <c r="G40" s="3">
        <f t="shared" si="12"/>
        <v>-32.068623489395556</v>
      </c>
      <c r="H40" s="3">
        <f t="shared" si="12"/>
        <v>-12.795078393503058</v>
      </c>
      <c r="I40" s="3">
        <f t="shared" si="12"/>
        <v>-42.832348259799602</v>
      </c>
      <c r="J40" s="3">
        <f t="shared" si="12"/>
        <v>-42.832348259799602</v>
      </c>
      <c r="K40" s="3">
        <f t="shared" si="12"/>
        <v>-42.832348259799602</v>
      </c>
      <c r="L40" s="3">
        <f t="shared" si="12"/>
        <v>-42.832348259799602</v>
      </c>
      <c r="M40" s="3">
        <f t="shared" si="12"/>
        <v>-42.832348259799602</v>
      </c>
      <c r="N40" s="3">
        <f t="shared" si="12"/>
        <v>-42.832348259799602</v>
      </c>
    </row>
    <row r="41" spans="1:14" x14ac:dyDescent="0.3">
      <c r="A41" s="2" t="s">
        <v>171</v>
      </c>
      <c r="B41" s="3">
        <f>305+1273*1</f>
        <v>1578</v>
      </c>
      <c r="C41" s="3">
        <f>305+1266*1</f>
        <v>1571</v>
      </c>
      <c r="D41" s="3">
        <f>305+1278*1</f>
        <v>1583</v>
      </c>
      <c r="E41" s="3">
        <f>305+1260*1</f>
        <v>1565</v>
      </c>
      <c r="F41" s="3">
        <f>305+1275*1</f>
        <v>1580</v>
      </c>
      <c r="G41" s="3">
        <f>305+1280*1</f>
        <v>1585</v>
      </c>
      <c r="H41" s="3">
        <f>305+1290*1</f>
        <v>1595</v>
      </c>
      <c r="I41" s="3">
        <f>305+1273*1</f>
        <v>1578</v>
      </c>
      <c r="J41" s="3">
        <v>1578</v>
      </c>
      <c r="K41" s="3">
        <v>1578</v>
      </c>
      <c r="L41" s="3">
        <v>1578</v>
      </c>
      <c r="M41" s="3">
        <v>1578</v>
      </c>
      <c r="N41" s="3">
        <v>1578</v>
      </c>
    </row>
    <row r="42" spans="1:14" x14ac:dyDescent="0.3">
      <c r="A42" s="79" t="s">
        <v>211</v>
      </c>
      <c r="B42" s="3">
        <f>4689+B14-B63-B60</f>
        <v>6080</v>
      </c>
      <c r="C42" s="3">
        <f>4151+C14-C60-C63</f>
        <v>5346</v>
      </c>
      <c r="D42" s="3">
        <f>6907+D14-D63-D60</f>
        <v>9212</v>
      </c>
      <c r="E42" s="3">
        <f>3517+E14-E63-E60</f>
        <v>2527</v>
      </c>
      <c r="F42" s="3">
        <f>1643+F14-F63-F60</f>
        <v>2568</v>
      </c>
      <c r="G42" s="3">
        <f>-191+G14-G63-G60</f>
        <v>-128</v>
      </c>
      <c r="H42" s="3">
        <f>3179+H14-H63-H60</f>
        <v>8764</v>
      </c>
      <c r="I42" s="3">
        <f>3476+I14-I63-I60</f>
        <v>6194</v>
      </c>
      <c r="J42" s="3">
        <f t="shared" ref="J42:N42" si="13">3476+J14-J63-J60</f>
        <v>6194</v>
      </c>
      <c r="K42" s="3">
        <f t="shared" si="13"/>
        <v>6194</v>
      </c>
      <c r="L42" s="3">
        <f t="shared" si="13"/>
        <v>6194</v>
      </c>
      <c r="M42" s="3">
        <f t="shared" si="13"/>
        <v>6194</v>
      </c>
      <c r="N42" s="3">
        <f>3476+N14-N63-N60</f>
        <v>6194</v>
      </c>
    </row>
    <row r="43" spans="1:14" x14ac:dyDescent="0.3">
      <c r="A43" s="2" t="s">
        <v>172</v>
      </c>
      <c r="B43" s="3">
        <f>[2]Historicals!B56</f>
        <v>1246</v>
      </c>
      <c r="C43" s="3">
        <f>[2]Historicals!C56</f>
        <v>318</v>
      </c>
      <c r="D43" s="3">
        <f>[2]Historicals!D56</f>
        <v>-213</v>
      </c>
      <c r="E43" s="3">
        <f>[2]Historicals!E56</f>
        <v>-92</v>
      </c>
      <c r="F43" s="3">
        <f>[2]Historicals!F56</f>
        <v>231</v>
      </c>
      <c r="G43" s="3">
        <f>[2]Historicals!G56</f>
        <v>-56</v>
      </c>
      <c r="H43" s="3">
        <f>[2]Historicals!H56</f>
        <v>-380</v>
      </c>
      <c r="I43" s="3">
        <f>[2]Historicals!I56</f>
        <v>318</v>
      </c>
      <c r="J43" s="3">
        <v>318</v>
      </c>
      <c r="K43" s="3">
        <v>318</v>
      </c>
      <c r="L43" s="3">
        <v>318</v>
      </c>
      <c r="M43" s="3">
        <v>318</v>
      </c>
      <c r="N43" s="3">
        <v>318</v>
      </c>
    </row>
    <row r="44" spans="1:14" ht="15" thickBot="1" x14ac:dyDescent="0.35">
      <c r="A44" s="6" t="s">
        <v>173</v>
      </c>
      <c r="B44" s="7">
        <f>B32+B33+B34+B38+B35+B36+B37+B41+B42+B43</f>
        <v>15844</v>
      </c>
      <c r="C44" s="7">
        <f t="shared" ref="C44:I44" si="14">C32+C33+C34+C38+C35+C36+C37+C41+C42+C43</f>
        <v>14227</v>
      </c>
      <c r="D44" s="7">
        <f t="shared" si="14"/>
        <v>19717</v>
      </c>
      <c r="E44" s="7">
        <f t="shared" si="14"/>
        <v>14787</v>
      </c>
      <c r="F44" s="7">
        <f t="shared" si="14"/>
        <v>13112</v>
      </c>
      <c r="G44" s="7">
        <f t="shared" si="14"/>
        <v>22691</v>
      </c>
      <c r="H44" s="7">
        <f t="shared" si="14"/>
        <v>32118</v>
      </c>
      <c r="I44" s="7">
        <f t="shared" si="14"/>
        <v>30282</v>
      </c>
      <c r="J44" s="7">
        <v>27564</v>
      </c>
      <c r="K44" s="7">
        <v>27564</v>
      </c>
      <c r="L44" s="7">
        <v>27564</v>
      </c>
      <c r="M44" s="7">
        <v>27564</v>
      </c>
      <c r="N44" s="7">
        <v>27564</v>
      </c>
    </row>
    <row r="45" spans="1:14" s="1" customFormat="1" ht="15" thickTop="1" x14ac:dyDescent="0.3">
      <c r="A45" s="57" t="s">
        <v>174</v>
      </c>
      <c r="B45" s="57">
        <v>0</v>
      </c>
      <c r="C45" s="57">
        <v>0</v>
      </c>
      <c r="D45" s="57">
        <v>0</v>
      </c>
      <c r="E45" s="57">
        <v>0</v>
      </c>
      <c r="F45" s="57">
        <v>0</v>
      </c>
      <c r="G45" s="57">
        <v>0</v>
      </c>
      <c r="H45" s="57">
        <v>0</v>
      </c>
      <c r="I45" s="57">
        <v>0</v>
      </c>
      <c r="J45" s="57">
        <v>0</v>
      </c>
      <c r="K45" s="57">
        <v>0</v>
      </c>
      <c r="L45" s="57">
        <v>0</v>
      </c>
      <c r="M45" s="57">
        <v>0</v>
      </c>
      <c r="N45" s="57">
        <v>0</v>
      </c>
    </row>
    <row r="46" spans="1:14" x14ac:dyDescent="0.3">
      <c r="A46" s="55" t="s">
        <v>175</v>
      </c>
      <c r="B46" s="38"/>
      <c r="C46" s="38"/>
      <c r="D46" s="38"/>
      <c r="E46" s="38"/>
      <c r="F46" s="38"/>
      <c r="G46" s="38"/>
      <c r="H46" s="38"/>
      <c r="I46" s="38"/>
      <c r="J46" s="38"/>
      <c r="K46" s="38"/>
      <c r="L46" s="38"/>
      <c r="M46" s="38"/>
      <c r="N46" s="38"/>
    </row>
    <row r="47" spans="1:14" x14ac:dyDescent="0.3">
      <c r="A47" s="1" t="s">
        <v>134</v>
      </c>
      <c r="B47" s="9">
        <f>'[2]Segmental forecast'!B11</f>
        <v>4500</v>
      </c>
      <c r="C47" s="9">
        <f>'[2]Segmental forecast'!C11</f>
        <v>4800</v>
      </c>
      <c r="D47" s="9">
        <f>'[2]Segmental forecast'!D11</f>
        <v>5100</v>
      </c>
      <c r="E47" s="9">
        <f>'[2]Segmental forecast'!E11</f>
        <v>5200</v>
      </c>
      <c r="F47" s="9">
        <f>'[2]Segmental forecast'!F11</f>
        <v>5400</v>
      </c>
      <c r="G47" s="9">
        <f>'[2]Segmental forecast'!G11</f>
        <v>3000</v>
      </c>
      <c r="H47" s="9">
        <f>'[2]Segmental forecast'!H11</f>
        <v>6923</v>
      </c>
      <c r="I47" s="9">
        <f>'[2]Segmental forecast'!I11</f>
        <v>6856</v>
      </c>
      <c r="J47" s="9">
        <v>6856</v>
      </c>
      <c r="K47" s="9">
        <v>6856</v>
      </c>
      <c r="L47" s="9">
        <v>6856</v>
      </c>
      <c r="M47" s="9">
        <v>6856</v>
      </c>
      <c r="N47" s="9">
        <v>6856</v>
      </c>
    </row>
    <row r="48" spans="1:14" x14ac:dyDescent="0.3">
      <c r="A48" t="s">
        <v>132</v>
      </c>
      <c r="B48" s="58">
        <f>'[2]Segmental forecast'!B8</f>
        <v>1500</v>
      </c>
      <c r="C48" s="58">
        <f>'[2]Segmental forecast'!C8</f>
        <v>1600</v>
      </c>
      <c r="D48" s="58">
        <f>'[2]Segmental forecast'!D8</f>
        <v>1700</v>
      </c>
      <c r="E48" s="58">
        <f>'[2]Segmental forecast'!E8</f>
        <v>1800</v>
      </c>
      <c r="F48" s="58">
        <f>'[2]Segmental forecast'!F8</f>
        <v>1850</v>
      </c>
      <c r="G48" s="58">
        <f>'[2]Segmental forecast'!G8</f>
        <v>1750</v>
      </c>
      <c r="H48" s="58">
        <f>'[2]Segmental forecast'!H8</f>
        <v>1900</v>
      </c>
      <c r="I48" s="58">
        <f>'[2]Segmental forecast'!I8</f>
        <v>2000</v>
      </c>
      <c r="J48" s="58">
        <v>2000</v>
      </c>
      <c r="K48" s="58">
        <v>2000</v>
      </c>
      <c r="L48" s="58">
        <v>2000</v>
      </c>
      <c r="M48" s="58">
        <v>2000</v>
      </c>
      <c r="N48" s="58">
        <v>2000</v>
      </c>
    </row>
    <row r="49" spans="1:14" x14ac:dyDescent="0.3">
      <c r="A49" t="s">
        <v>176</v>
      </c>
      <c r="B49" s="3">
        <f>[2]Historicals!B11</f>
        <v>932</v>
      </c>
      <c r="C49" s="3">
        <f>[2]Historicals!C11</f>
        <v>863</v>
      </c>
      <c r="D49" s="3">
        <f>[2]Historicals!D11</f>
        <v>646</v>
      </c>
      <c r="E49" s="3">
        <f>[2]Historicals!E11</f>
        <v>2392</v>
      </c>
      <c r="F49" s="3">
        <f>[2]Historicals!F11</f>
        <v>772</v>
      </c>
      <c r="G49" s="3">
        <f>[2]Historicals!G11</f>
        <v>348</v>
      </c>
      <c r="H49" s="3">
        <f>[2]Historicals!H11</f>
        <v>934</v>
      </c>
      <c r="I49" s="3">
        <f>[2]Historicals!I11</f>
        <v>605</v>
      </c>
      <c r="J49" s="3">
        <v>605</v>
      </c>
      <c r="K49" s="3">
        <v>605</v>
      </c>
      <c r="L49" s="3">
        <v>605</v>
      </c>
      <c r="M49" s="3">
        <v>605</v>
      </c>
      <c r="N49" s="3">
        <v>605</v>
      </c>
    </row>
    <row r="50" spans="1:14" x14ac:dyDescent="0.3">
      <c r="A50" s="1" t="s">
        <v>177</v>
      </c>
      <c r="B50" s="9">
        <f>B47-B49</f>
        <v>3568</v>
      </c>
      <c r="C50" s="9">
        <f t="shared" ref="C50:I50" si="15">C47-C49</f>
        <v>3937</v>
      </c>
      <c r="D50" s="9">
        <f t="shared" si="15"/>
        <v>4454</v>
      </c>
      <c r="E50" s="9">
        <f t="shared" si="15"/>
        <v>2808</v>
      </c>
      <c r="F50" s="9">
        <f t="shared" si="15"/>
        <v>4628</v>
      </c>
      <c r="G50" s="9">
        <f t="shared" si="15"/>
        <v>2652</v>
      </c>
      <c r="H50" s="9">
        <f t="shared" si="15"/>
        <v>5989</v>
      </c>
      <c r="I50" s="9">
        <f t="shared" si="15"/>
        <v>6251</v>
      </c>
      <c r="J50" s="9">
        <v>6251</v>
      </c>
      <c r="K50" s="9">
        <v>6251</v>
      </c>
      <c r="L50" s="9">
        <v>6251</v>
      </c>
      <c r="M50" s="9">
        <v>6251</v>
      </c>
      <c r="N50" s="9">
        <v>6251</v>
      </c>
    </row>
    <row r="51" spans="1:14" x14ac:dyDescent="0.3">
      <c r="A51" t="s">
        <v>178</v>
      </c>
      <c r="B51" s="3">
        <f>[2]Historicals!B100</f>
        <v>53</v>
      </c>
      <c r="C51" s="3">
        <f>[2]Historicals!C100</f>
        <v>70</v>
      </c>
      <c r="D51" s="3">
        <f>[2]Historicals!D100</f>
        <v>98</v>
      </c>
      <c r="E51" s="3">
        <f>[2]Historicals!E100</f>
        <v>125</v>
      </c>
      <c r="F51" s="3">
        <f>[2]Historicals!F100</f>
        <v>153</v>
      </c>
      <c r="G51" s="3">
        <f>[2]Historicals!G100</f>
        <v>140</v>
      </c>
      <c r="H51" s="3">
        <f>[2]Historicals!H100</f>
        <v>293</v>
      </c>
      <c r="I51" s="3">
        <f>[2]Historicals!I100</f>
        <v>290</v>
      </c>
      <c r="J51" s="3">
        <v>290</v>
      </c>
      <c r="K51" s="3">
        <v>290</v>
      </c>
      <c r="L51" s="3">
        <v>290</v>
      </c>
      <c r="M51" s="3">
        <v>290</v>
      </c>
      <c r="N51" s="3">
        <v>290</v>
      </c>
    </row>
    <row r="52" spans="1:14" x14ac:dyDescent="0.3">
      <c r="A52" t="s">
        <v>179</v>
      </c>
      <c r="B52" s="3">
        <v>488</v>
      </c>
      <c r="C52" s="3">
        <f>[2]Historicals!C72+[2]Historicals!C73+[2]Historicals!C74-[2]Historicals!C75</f>
        <v>-105</v>
      </c>
      <c r="D52" s="3">
        <f>[2]Historicals!D72+[2]Historicals!D73+[2]Historicals!D74-[2]Historicals!D75</f>
        <v>-619</v>
      </c>
      <c r="E52" s="3">
        <f>[2]Historicals!E72+[2]Historicals!E73+[2]Historicals!E74-[2]Historicals!E75</f>
        <v>-1548</v>
      </c>
      <c r="F52" s="3">
        <f>[2]Historicals!F72+[2]Historicals!F73+[2]Historicals!F74-[2]Historicals!F75</f>
        <v>-2488</v>
      </c>
      <c r="G52" s="3">
        <f>[2]Historicals!G72+[2]Historicals!G73+[2]Historicals!G74-[2]Historicals!G75</f>
        <v>-1293</v>
      </c>
      <c r="H52" s="3">
        <f>[2]Historicals!H72+[2]Historicals!H73+[2]Historicals!H74-[2]Historicals!H75</f>
        <v>-2607</v>
      </c>
      <c r="I52" s="3">
        <f>[2]Historicals!I72+[2]Historicals!I73+[2]Historicals!I74-[2]Historicals!I75</f>
        <v>-4390</v>
      </c>
      <c r="J52" s="3">
        <v>-4390</v>
      </c>
      <c r="K52" s="3">
        <v>-4390</v>
      </c>
      <c r="L52" s="3">
        <v>-4390</v>
      </c>
      <c r="M52" s="3">
        <v>-4390</v>
      </c>
      <c r="N52" s="3">
        <v>-4390</v>
      </c>
    </row>
    <row r="53" spans="1:14" x14ac:dyDescent="0.3">
      <c r="A53" t="s">
        <v>135</v>
      </c>
      <c r="B53" s="3">
        <f>[2]Historicals!B81</f>
        <v>-963</v>
      </c>
      <c r="C53" s="3">
        <f>[2]Historicals!C81</f>
        <v>-1143</v>
      </c>
      <c r="D53" s="3">
        <f>[2]Historicals!D81</f>
        <v>-1105</v>
      </c>
      <c r="E53" s="3">
        <f>[2]Historicals!E81</f>
        <v>-1028</v>
      </c>
      <c r="F53" s="3">
        <f>[2]Historicals!F81</f>
        <v>-1119</v>
      </c>
      <c r="G53" s="3">
        <f>[2]Historicals!G81</f>
        <v>-1086</v>
      </c>
      <c r="H53" s="3">
        <f>[2]Historicals!H81</f>
        <v>-695</v>
      </c>
      <c r="I53" s="3">
        <f>[2]Historicals!I81</f>
        <v>-758</v>
      </c>
      <c r="J53" s="3">
        <v>-758</v>
      </c>
      <c r="K53" s="3">
        <v>-758</v>
      </c>
      <c r="L53" s="3">
        <v>-758</v>
      </c>
      <c r="M53" s="3">
        <v>-758</v>
      </c>
      <c r="N53" s="3">
        <v>-758</v>
      </c>
    </row>
    <row r="54" spans="1:14" x14ac:dyDescent="0.3">
      <c r="A54" s="1" t="s">
        <v>180</v>
      </c>
      <c r="B54" s="9">
        <f>B50+B48+B52-B53</f>
        <v>6519</v>
      </c>
      <c r="C54" s="9">
        <f t="shared" ref="C54:I54" si="16">C50+C48+C52-C53</f>
        <v>6575</v>
      </c>
      <c r="D54" s="9">
        <f t="shared" si="16"/>
        <v>6640</v>
      </c>
      <c r="E54" s="9">
        <f t="shared" si="16"/>
        <v>4088</v>
      </c>
      <c r="F54" s="9">
        <f t="shared" si="16"/>
        <v>5109</v>
      </c>
      <c r="G54" s="9">
        <f t="shared" si="16"/>
        <v>4195</v>
      </c>
      <c r="H54" s="9">
        <f t="shared" si="16"/>
        <v>5977</v>
      </c>
      <c r="I54" s="9">
        <f t="shared" si="16"/>
        <v>4619</v>
      </c>
      <c r="J54" s="9">
        <v>4619</v>
      </c>
      <c r="K54" s="9">
        <v>4619</v>
      </c>
      <c r="L54" s="9">
        <v>4619</v>
      </c>
      <c r="M54" s="9">
        <v>4619</v>
      </c>
      <c r="N54" s="9">
        <v>4619</v>
      </c>
    </row>
    <row r="55" spans="1:14" x14ac:dyDescent="0.3">
      <c r="A55" t="s">
        <v>181</v>
      </c>
      <c r="B55" s="3">
        <v>256</v>
      </c>
      <c r="C55" s="3">
        <v>2483</v>
      </c>
      <c r="D55" s="3">
        <v>3305</v>
      </c>
      <c r="E55" s="3">
        <v>3415</v>
      </c>
      <c r="F55" s="3">
        <v>4591</v>
      </c>
      <c r="G55" s="3">
        <v>1294</v>
      </c>
      <c r="H55" s="3">
        <v>5772</v>
      </c>
      <c r="I55" s="3">
        <v>4386</v>
      </c>
      <c r="J55" s="3">
        <v>4386</v>
      </c>
      <c r="K55" s="3">
        <v>4386</v>
      </c>
      <c r="L55" s="3">
        <v>4386</v>
      </c>
      <c r="M55" s="3">
        <v>4386</v>
      </c>
      <c r="N55" s="3">
        <v>4386</v>
      </c>
    </row>
    <row r="56" spans="1:14" x14ac:dyDescent="0.3">
      <c r="A56" s="26" t="s">
        <v>182</v>
      </c>
      <c r="B56" s="25">
        <f>B54+B53-B51-B52+B55</f>
        <v>5271</v>
      </c>
      <c r="C56" s="25">
        <f t="shared" ref="C56:I56" si="17">C54+C53-C51-C52+C55</f>
        <v>7950</v>
      </c>
      <c r="D56" s="25">
        <f t="shared" si="17"/>
        <v>9361</v>
      </c>
      <c r="E56" s="25">
        <f t="shared" si="17"/>
        <v>7898</v>
      </c>
      <c r="F56" s="25">
        <f t="shared" si="17"/>
        <v>10916</v>
      </c>
      <c r="G56" s="25">
        <f t="shared" si="17"/>
        <v>5556</v>
      </c>
      <c r="H56" s="25">
        <f t="shared" si="17"/>
        <v>13368</v>
      </c>
      <c r="I56" s="25">
        <f t="shared" si="17"/>
        <v>12347</v>
      </c>
      <c r="J56" s="25">
        <v>12347</v>
      </c>
      <c r="K56" s="25">
        <v>12347</v>
      </c>
      <c r="L56" s="25">
        <v>12347</v>
      </c>
      <c r="M56" s="25">
        <v>12347</v>
      </c>
      <c r="N56" s="25">
        <v>12347</v>
      </c>
    </row>
    <row r="57" spans="1:14" x14ac:dyDescent="0.3">
      <c r="A57" t="s">
        <v>183</v>
      </c>
      <c r="B57" s="3">
        <v>0</v>
      </c>
      <c r="C57" s="3">
        <v>0</v>
      </c>
      <c r="D57" s="3">
        <v>0</v>
      </c>
      <c r="E57" s="3">
        <v>0</v>
      </c>
      <c r="F57" s="3">
        <v>0</v>
      </c>
      <c r="G57" s="3">
        <v>0</v>
      </c>
      <c r="H57" s="3">
        <v>0</v>
      </c>
      <c r="I57" s="3">
        <v>0</v>
      </c>
      <c r="J57" s="3">
        <v>0</v>
      </c>
      <c r="K57" s="3">
        <v>0</v>
      </c>
      <c r="L57" s="3">
        <v>0</v>
      </c>
      <c r="M57" s="3">
        <v>0</v>
      </c>
      <c r="N57" s="3">
        <v>0</v>
      </c>
    </row>
    <row r="58" spans="1:14" x14ac:dyDescent="0.3">
      <c r="A58" s="76" t="s">
        <v>184</v>
      </c>
      <c r="B58" s="3">
        <f>B30</f>
        <v>936</v>
      </c>
      <c r="C58" s="3">
        <f t="shared" ref="C58:N58" si="18">C30</f>
        <v>1503</v>
      </c>
      <c r="D58" s="3">
        <f t="shared" si="18"/>
        <v>936</v>
      </c>
      <c r="E58" s="3">
        <f t="shared" si="18"/>
        <v>1503</v>
      </c>
      <c r="F58" s="3">
        <f t="shared" si="18"/>
        <v>936</v>
      </c>
      <c r="G58" s="3">
        <f t="shared" si="18"/>
        <v>1503</v>
      </c>
      <c r="H58" s="3">
        <f t="shared" si="18"/>
        <v>936</v>
      </c>
      <c r="I58" s="3">
        <f t="shared" si="18"/>
        <v>1503</v>
      </c>
      <c r="J58" s="3">
        <f t="shared" si="18"/>
        <v>936</v>
      </c>
      <c r="K58" s="3">
        <f t="shared" si="18"/>
        <v>1503</v>
      </c>
      <c r="L58" s="3">
        <f t="shared" si="18"/>
        <v>936</v>
      </c>
      <c r="M58" s="3">
        <f t="shared" si="18"/>
        <v>1503</v>
      </c>
      <c r="N58" s="3">
        <f t="shared" si="18"/>
        <v>936</v>
      </c>
    </row>
    <row r="59" spans="1:14" x14ac:dyDescent="0.3">
      <c r="A59" s="26" t="s">
        <v>185</v>
      </c>
      <c r="B59" s="25">
        <f>SUM(B57:B58)</f>
        <v>936</v>
      </c>
      <c r="C59" s="25">
        <f>SUM(C57:C58)</f>
        <v>1503</v>
      </c>
      <c r="D59" s="25">
        <f t="shared" ref="D59:N59" si="19">SUM(D57:D58)</f>
        <v>936</v>
      </c>
      <c r="E59" s="25">
        <f t="shared" si="19"/>
        <v>1503</v>
      </c>
      <c r="F59" s="25">
        <f t="shared" si="19"/>
        <v>936</v>
      </c>
      <c r="G59" s="25">
        <f t="shared" si="19"/>
        <v>1503</v>
      </c>
      <c r="H59" s="25">
        <f t="shared" si="19"/>
        <v>936</v>
      </c>
      <c r="I59" s="25">
        <f t="shared" si="19"/>
        <v>1503</v>
      </c>
      <c r="J59" s="25">
        <f t="shared" si="19"/>
        <v>936</v>
      </c>
      <c r="K59" s="25">
        <f t="shared" si="19"/>
        <v>1503</v>
      </c>
      <c r="L59" s="25">
        <f t="shared" si="19"/>
        <v>936</v>
      </c>
      <c r="M59" s="25">
        <f t="shared" si="19"/>
        <v>1503</v>
      </c>
      <c r="N59" s="25">
        <f t="shared" si="19"/>
        <v>936</v>
      </c>
    </row>
    <row r="60" spans="1:14" x14ac:dyDescent="0.3">
      <c r="A60" s="76" t="s">
        <v>186</v>
      </c>
      <c r="B60" s="3">
        <f>[2]Historicals!B88-[2]Historicals!B89</f>
        <v>3048</v>
      </c>
      <c r="C60" s="3">
        <f>[2]Historicals!C88-[2]Historicals!C89</f>
        <v>3745</v>
      </c>
      <c r="D60" s="3">
        <f>[2]Historicals!D88-[2]Historicals!D89</f>
        <v>3223</v>
      </c>
      <c r="E60" s="3">
        <f>[2]Historicals!E88-[2]Historicals!E89</f>
        <v>4987</v>
      </c>
      <c r="F60" s="3">
        <f>[2]Historicals!F88-[2]Historicals!F89</f>
        <v>4986</v>
      </c>
      <c r="G60" s="3">
        <f>[2]Historicals!G88-[2]Historicals!G89</f>
        <v>3952</v>
      </c>
      <c r="H60" s="3">
        <f>[2]Historicals!H88-[2]Historicals!H89</f>
        <v>1780</v>
      </c>
      <c r="I60" s="3">
        <f>[2]Historicals!I88-[2]Historicals!I89</f>
        <v>5165</v>
      </c>
      <c r="J60" s="3">
        <v>5165</v>
      </c>
      <c r="K60" s="61">
        <v>5165</v>
      </c>
      <c r="L60" s="61">
        <v>5165</v>
      </c>
      <c r="M60" s="61">
        <v>5165</v>
      </c>
      <c r="N60" s="61">
        <v>5165</v>
      </c>
    </row>
    <row r="61" spans="1:14" x14ac:dyDescent="0.3">
      <c r="A61" s="76" t="s">
        <v>209</v>
      </c>
      <c r="B61" s="3">
        <f>B60/$B$74</f>
        <v>27.046853338987258</v>
      </c>
      <c r="C61" s="3">
        <f>C60/$B$74</f>
        <v>33.231780103184803</v>
      </c>
      <c r="D61" s="3">
        <f>D60/$B$74</f>
        <v>28.599740259696826</v>
      </c>
      <c r="E61" s="3">
        <f>E60/$B$74</f>
        <v>44.252840420449296</v>
      </c>
      <c r="F61" s="3">
        <f>F60/$B$74</f>
        <v>44.243966780902383</v>
      </c>
      <c r="G61" s="3">
        <f>G60/$B$74</f>
        <v>35.068623489395556</v>
      </c>
      <c r="H61" s="3">
        <f>H60/$B$74</f>
        <v>15.795078393503058</v>
      </c>
      <c r="I61" s="3">
        <f>I60/$B$74</f>
        <v>45.832348259799602</v>
      </c>
      <c r="J61" s="3">
        <f>J60/$B$74</f>
        <v>45.832348259799602</v>
      </c>
      <c r="K61" s="3">
        <f>K60/$B$74</f>
        <v>45.832348259799602</v>
      </c>
      <c r="L61" s="3">
        <f>L60/$B$74</f>
        <v>45.832348259799602</v>
      </c>
      <c r="M61" s="3">
        <f>M60/$B$74</f>
        <v>45.832348259799602</v>
      </c>
      <c r="N61" s="3">
        <f>N60/$B$74</f>
        <v>45.832348259799602</v>
      </c>
    </row>
    <row r="62" spans="1:14" x14ac:dyDescent="0.3">
      <c r="A62" s="51" t="s">
        <v>129</v>
      </c>
      <c r="B62" s="52">
        <f>B60-2628/2628*100</f>
        <v>2948</v>
      </c>
      <c r="C62" s="52">
        <f>C60-B60/B60*100</f>
        <v>3645</v>
      </c>
      <c r="D62" s="52">
        <f t="shared" ref="D62:I62" si="20">D60-C60/C60*100</f>
        <v>3123</v>
      </c>
      <c r="E62" s="52">
        <f t="shared" si="20"/>
        <v>4887</v>
      </c>
      <c r="F62" s="52">
        <f t="shared" si="20"/>
        <v>4886</v>
      </c>
      <c r="G62" s="52">
        <f t="shared" si="20"/>
        <v>3852</v>
      </c>
      <c r="H62" s="52">
        <f t="shared" si="20"/>
        <v>1680</v>
      </c>
      <c r="I62" s="52">
        <f t="shared" si="20"/>
        <v>5065</v>
      </c>
      <c r="J62" s="52">
        <v>5065</v>
      </c>
      <c r="K62" s="59">
        <v>5065</v>
      </c>
      <c r="L62" s="59">
        <v>5065</v>
      </c>
      <c r="M62" s="60">
        <v>5065</v>
      </c>
      <c r="N62" s="60">
        <v>5065</v>
      </c>
    </row>
    <row r="63" spans="1:14" x14ac:dyDescent="0.3">
      <c r="A63" t="s">
        <v>187</v>
      </c>
      <c r="B63" s="3">
        <f>[2]Historicals!B90</f>
        <v>-899</v>
      </c>
      <c r="C63" s="3">
        <f>[2]Historicals!C90</f>
        <v>-1022</v>
      </c>
      <c r="D63" s="3">
        <f>[2]Historicals!D90</f>
        <v>-1133</v>
      </c>
      <c r="E63" s="3">
        <f>[2]Historicals!E90</f>
        <v>-1243</v>
      </c>
      <c r="F63" s="3">
        <f>[2]Historicals!F90</f>
        <v>-1332</v>
      </c>
      <c r="G63" s="3">
        <f>[2]Historicals!G90</f>
        <v>-1452</v>
      </c>
      <c r="H63" s="3">
        <f>[2]Historicals!H90</f>
        <v>-1638</v>
      </c>
      <c r="I63" s="3">
        <f>[2]Historicals!I90</f>
        <v>-1837</v>
      </c>
      <c r="J63" s="3">
        <v>-1837</v>
      </c>
      <c r="K63" s="3">
        <v>-1837</v>
      </c>
      <c r="L63" s="3">
        <v>-1837</v>
      </c>
      <c r="M63" s="3">
        <v>-1837</v>
      </c>
      <c r="N63" s="3">
        <v>-1837</v>
      </c>
    </row>
    <row r="64" spans="1:14" x14ac:dyDescent="0.3">
      <c r="A64" t="s">
        <v>188</v>
      </c>
      <c r="B64" s="3">
        <f>[2]Historicals!B85</f>
        <v>0</v>
      </c>
      <c r="C64" s="3">
        <f>[2]Historicals!C85</f>
        <v>981</v>
      </c>
      <c r="D64" s="3">
        <f>[2]Historicals!D85</f>
        <v>1482</v>
      </c>
      <c r="E64" s="3">
        <f>[2]Historicals!E85</f>
        <v>0</v>
      </c>
      <c r="F64" s="3">
        <f>[2]Historicals!F85</f>
        <v>0</v>
      </c>
      <c r="G64" s="3">
        <f>[2]Historicals!G85</f>
        <v>0</v>
      </c>
      <c r="H64" s="3">
        <f>[2]Historicals!H85</f>
        <v>0</v>
      </c>
      <c r="I64" s="3">
        <f>[2]Historicals!I85</f>
        <v>0</v>
      </c>
      <c r="J64" s="3">
        <v>0</v>
      </c>
      <c r="K64" s="3">
        <v>0</v>
      </c>
      <c r="L64" s="3">
        <v>0</v>
      </c>
      <c r="M64" s="3">
        <v>0</v>
      </c>
      <c r="N64" s="3">
        <v>0</v>
      </c>
    </row>
    <row r="65" spans="1:14" x14ac:dyDescent="0.3">
      <c r="A65" t="s">
        <v>189</v>
      </c>
      <c r="B65" s="3"/>
      <c r="C65" s="3">
        <f>[2]Historicals!C91</f>
        <v>0</v>
      </c>
      <c r="D65" s="3">
        <f>[2]Historicals!D91</f>
        <v>0</v>
      </c>
      <c r="E65" s="3">
        <f>[2]Historicals!E91</f>
        <v>-84</v>
      </c>
      <c r="F65" s="3">
        <f>[2]Historicals!F91</f>
        <v>-50</v>
      </c>
      <c r="G65" s="3">
        <f>[2]Historicals!G91</f>
        <v>-58</v>
      </c>
      <c r="H65" s="3">
        <f>[2]Historicals!H91</f>
        <v>-136</v>
      </c>
      <c r="I65" s="3">
        <f>[2]Historicals!I91</f>
        <v>-151</v>
      </c>
      <c r="J65" s="3">
        <v>-151</v>
      </c>
      <c r="K65" s="3">
        <v>-151</v>
      </c>
      <c r="L65" s="3">
        <v>-151</v>
      </c>
      <c r="M65" s="3">
        <v>-151</v>
      </c>
      <c r="N65" s="3">
        <v>-151</v>
      </c>
    </row>
    <row r="66" spans="1:14" x14ac:dyDescent="0.3">
      <c r="A66" s="26" t="s">
        <v>190</v>
      </c>
      <c r="B66" s="25">
        <f>B60+B63</f>
        <v>2149</v>
      </c>
      <c r="C66" s="25">
        <f t="shared" ref="C66:I66" si="21">C60+C63</f>
        <v>2723</v>
      </c>
      <c r="D66" s="25">
        <f t="shared" si="21"/>
        <v>2090</v>
      </c>
      <c r="E66" s="25">
        <f t="shared" si="21"/>
        <v>3744</v>
      </c>
      <c r="F66" s="25">
        <f t="shared" si="21"/>
        <v>3654</v>
      </c>
      <c r="G66" s="25">
        <f t="shared" si="21"/>
        <v>2500</v>
      </c>
      <c r="H66" s="25">
        <f t="shared" si="21"/>
        <v>142</v>
      </c>
      <c r="I66" s="25">
        <f t="shared" si="21"/>
        <v>3328</v>
      </c>
      <c r="J66" s="25">
        <v>3328</v>
      </c>
      <c r="K66" s="25">
        <v>3328</v>
      </c>
      <c r="L66" s="25">
        <v>3328</v>
      </c>
      <c r="M66" s="25">
        <v>3328</v>
      </c>
      <c r="N66" s="25">
        <v>3328</v>
      </c>
    </row>
    <row r="67" spans="1:14" x14ac:dyDescent="0.3">
      <c r="A67" t="s">
        <v>191</v>
      </c>
      <c r="B67" s="3">
        <f>[2]Historicals!B70</f>
        <v>424</v>
      </c>
      <c r="C67" s="3">
        <f>[2]Historicals!C70</f>
        <v>98</v>
      </c>
      <c r="D67" s="3">
        <f>[2]Historicals!D70</f>
        <v>-117</v>
      </c>
      <c r="E67" s="3">
        <f>[2]Historicals!E70</f>
        <v>-99</v>
      </c>
      <c r="F67" s="3">
        <f>[2]Historicals!F70</f>
        <v>233</v>
      </c>
      <c r="G67" s="3">
        <f>[2]Historicals!G70</f>
        <v>23</v>
      </c>
      <c r="H67" s="3">
        <f>[2]Historicals!H70</f>
        <v>-138</v>
      </c>
      <c r="I67" s="3">
        <f>[2]Historicals!I70</f>
        <v>-26</v>
      </c>
      <c r="J67" s="3">
        <v>-26</v>
      </c>
      <c r="K67" s="3">
        <v>-26</v>
      </c>
      <c r="L67" s="3">
        <v>-26</v>
      </c>
      <c r="M67" s="3">
        <v>-26</v>
      </c>
      <c r="N67" s="3">
        <v>-26</v>
      </c>
    </row>
    <row r="68" spans="1:14" x14ac:dyDescent="0.3">
      <c r="A68" s="26" t="s">
        <v>192</v>
      </c>
      <c r="B68" s="25">
        <f>B70-B69</f>
        <v>8356</v>
      </c>
      <c r="C68" s="25">
        <f t="shared" ref="C68:I68" si="22">C70-C69</f>
        <v>12176</v>
      </c>
      <c r="D68" s="25">
        <f t="shared" si="22"/>
        <v>12387</v>
      </c>
      <c r="E68" s="25">
        <f t="shared" si="22"/>
        <v>13145</v>
      </c>
      <c r="F68" s="25">
        <f t="shared" si="22"/>
        <v>15506</v>
      </c>
      <c r="G68" s="25">
        <f t="shared" si="22"/>
        <v>9559</v>
      </c>
      <c r="H68" s="25">
        <f t="shared" si="22"/>
        <v>14446</v>
      </c>
      <c r="I68" s="25">
        <f t="shared" si="22"/>
        <v>17178</v>
      </c>
      <c r="J68" s="25">
        <v>-1315</v>
      </c>
      <c r="K68" s="25">
        <v>-1315</v>
      </c>
      <c r="L68" s="25">
        <v>-1315</v>
      </c>
      <c r="M68" s="25">
        <v>-1315</v>
      </c>
      <c r="N68" s="25">
        <v>-1315</v>
      </c>
    </row>
    <row r="69" spans="1:14" x14ac:dyDescent="0.3">
      <c r="A69" t="s">
        <v>193</v>
      </c>
      <c r="B69" s="3">
        <f>[2]Historicals!B95</f>
        <v>2220</v>
      </c>
      <c r="C69" s="3">
        <f>[2]Historicals!C95</f>
        <v>3852</v>
      </c>
      <c r="D69" s="3">
        <f>[2]Historicals!D95</f>
        <v>3138</v>
      </c>
      <c r="E69" s="3">
        <f>[2]Historicals!E95</f>
        <v>3808</v>
      </c>
      <c r="F69" s="3">
        <f>[2]Historicals!F95</f>
        <v>4249</v>
      </c>
      <c r="G69" s="3">
        <f>[2]Historicals!G95</f>
        <v>4466</v>
      </c>
      <c r="H69" s="3">
        <f>[2]Historicals!H95</f>
        <v>8348</v>
      </c>
      <c r="I69" s="3">
        <f>[2]Historicals!I95</f>
        <v>9889</v>
      </c>
      <c r="J69" s="3">
        <v>9889</v>
      </c>
      <c r="K69" s="3">
        <v>9889</v>
      </c>
      <c r="L69" s="3">
        <v>9889</v>
      </c>
      <c r="M69" s="3">
        <v>9889</v>
      </c>
      <c r="N69" s="3">
        <v>9889</v>
      </c>
    </row>
    <row r="70" spans="1:14" ht="15" thickBot="1" x14ac:dyDescent="0.35">
      <c r="A70" s="77" t="s">
        <v>194</v>
      </c>
      <c r="B70" s="7">
        <f>B69+B56+B59+B66</f>
        <v>10576</v>
      </c>
      <c r="C70" s="7">
        <f t="shared" ref="C70:K70" si="23">C69+C56+C59+C66</f>
        <v>16028</v>
      </c>
      <c r="D70" s="7">
        <f t="shared" si="23"/>
        <v>15525</v>
      </c>
      <c r="E70" s="7">
        <f t="shared" si="23"/>
        <v>16953</v>
      </c>
      <c r="F70" s="7">
        <f t="shared" si="23"/>
        <v>19755</v>
      </c>
      <c r="G70" s="7">
        <f t="shared" si="23"/>
        <v>14025</v>
      </c>
      <c r="H70" s="7">
        <f t="shared" si="23"/>
        <v>22794</v>
      </c>
      <c r="I70" s="7">
        <f t="shared" si="23"/>
        <v>27067</v>
      </c>
      <c r="J70" s="7">
        <f t="shared" si="23"/>
        <v>26500</v>
      </c>
      <c r="K70" s="7">
        <f t="shared" si="23"/>
        <v>27067</v>
      </c>
      <c r="L70" s="7">
        <f>L69+L56+L59+L66</f>
        <v>26500</v>
      </c>
      <c r="M70" s="7">
        <f t="shared" ref="M70" si="24">M69+M56+M59+M66</f>
        <v>27067</v>
      </c>
      <c r="N70" s="7">
        <f t="shared" ref="N70" si="25">N69+N56+N59+N66</f>
        <v>26500</v>
      </c>
    </row>
    <row r="71" spans="1:14" ht="15" thickTop="1" x14ac:dyDescent="0.3">
      <c r="A71" s="57" t="s">
        <v>174</v>
      </c>
      <c r="B71" s="71">
        <v>0</v>
      </c>
      <c r="C71" s="71">
        <v>0</v>
      </c>
      <c r="D71" s="71">
        <v>0</v>
      </c>
      <c r="E71" s="71">
        <v>0</v>
      </c>
      <c r="F71" s="71">
        <v>0</v>
      </c>
      <c r="G71" s="71">
        <v>0</v>
      </c>
      <c r="H71" s="71">
        <v>0</v>
      </c>
      <c r="I71" s="71">
        <v>0</v>
      </c>
      <c r="J71" s="71">
        <v>0</v>
      </c>
      <c r="K71" s="71">
        <v>0</v>
      </c>
      <c r="L71" s="71">
        <v>0</v>
      </c>
      <c r="M71" s="71">
        <v>0</v>
      </c>
      <c r="N71" s="71">
        <v>0</v>
      </c>
    </row>
    <row r="72" spans="1:14" x14ac:dyDescent="0.3">
      <c r="A72" s="78" t="s">
        <v>195</v>
      </c>
      <c r="B72" s="46">
        <f>(B32+B36)-B21</f>
        <v>-9316</v>
      </c>
      <c r="C72" s="46">
        <f t="shared" ref="C72:N72" si="26">(C32+C36)-C21</f>
        <v>-13973</v>
      </c>
      <c r="D72" s="46">
        <f t="shared" si="26"/>
        <v>-15194</v>
      </c>
      <c r="E72" s="46">
        <f t="shared" si="26"/>
        <v>-16611</v>
      </c>
      <c r="F72" s="46">
        <f t="shared" si="26"/>
        <v>-16276</v>
      </c>
      <c r="G72" s="46">
        <f t="shared" si="26"/>
        <v>-4368</v>
      </c>
      <c r="H72" s="46">
        <f t="shared" si="26"/>
        <v>-13379</v>
      </c>
      <c r="I72" s="46">
        <f t="shared" si="26"/>
        <v>-17637</v>
      </c>
      <c r="J72" s="46">
        <f t="shared" si="26"/>
        <v>-17070</v>
      </c>
      <c r="K72" s="46">
        <f t="shared" si="26"/>
        <v>-17637</v>
      </c>
      <c r="L72" s="46">
        <f t="shared" si="26"/>
        <v>-17070</v>
      </c>
      <c r="M72" s="46">
        <f t="shared" si="26"/>
        <v>-17637</v>
      </c>
      <c r="N72" s="46">
        <f t="shared" si="26"/>
        <v>-17070</v>
      </c>
    </row>
    <row r="74" spans="1:14" x14ac:dyDescent="0.3">
      <c r="A74" t="s">
        <v>205</v>
      </c>
      <c r="B74" s="72">
        <v>112.69333115384613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80DC-F367-41C8-AF77-3838C25C3155}">
  <dimension ref="A1:P14"/>
  <sheetViews>
    <sheetView tabSelected="1" topLeftCell="I1" zoomScale="83" workbookViewId="0">
      <selection activeCell="I25" sqref="I25"/>
    </sheetView>
  </sheetViews>
  <sheetFormatPr defaultRowHeight="14.4" x14ac:dyDescent="0.3"/>
  <cols>
    <col min="1" max="1" width="15.33203125" customWidth="1"/>
    <col min="3" max="3" width="20.33203125" bestFit="1" customWidth="1"/>
    <col min="4" max="4" width="20.6640625" bestFit="1" customWidth="1"/>
    <col min="5" max="5" width="21.77734375" bestFit="1" customWidth="1"/>
    <col min="6" max="6" width="21.44140625" bestFit="1" customWidth="1"/>
    <col min="8" max="8" width="21.21875" customWidth="1"/>
    <col min="9" max="9" width="24.44140625" customWidth="1"/>
    <col min="10" max="10" width="24.33203125" customWidth="1"/>
    <col min="11" max="11" width="35.21875" bestFit="1" customWidth="1"/>
    <col min="12" max="12" width="28.5546875" bestFit="1" customWidth="1"/>
    <col min="13" max="13" width="28.5546875" customWidth="1"/>
    <col min="14" max="14" width="30.109375" bestFit="1" customWidth="1"/>
    <col min="15" max="15" width="30.109375" customWidth="1"/>
    <col min="16" max="16" width="174.88671875" customWidth="1"/>
  </cols>
  <sheetData>
    <row r="1" spans="1:16" x14ac:dyDescent="0.3">
      <c r="A1" s="75" t="s">
        <v>238</v>
      </c>
      <c r="B1" s="74" t="s">
        <v>136</v>
      </c>
      <c r="C1" s="74" t="s">
        <v>231</v>
      </c>
      <c r="D1" s="74" t="s">
        <v>232</v>
      </c>
      <c r="E1" s="74" t="s">
        <v>233</v>
      </c>
      <c r="F1" s="74" t="s">
        <v>234</v>
      </c>
      <c r="G1" s="74" t="s">
        <v>235</v>
      </c>
      <c r="H1" s="74" t="s">
        <v>212</v>
      </c>
      <c r="I1" s="74" t="s">
        <v>213</v>
      </c>
      <c r="J1" s="74" t="s">
        <v>214</v>
      </c>
      <c r="K1" s="74" t="s">
        <v>215</v>
      </c>
      <c r="L1" s="74" t="s">
        <v>216</v>
      </c>
      <c r="M1" s="74" t="s">
        <v>237</v>
      </c>
      <c r="N1" s="74" t="s">
        <v>217</v>
      </c>
      <c r="O1" s="74" t="s">
        <v>236</v>
      </c>
      <c r="P1" s="74" t="s">
        <v>196</v>
      </c>
    </row>
    <row r="2" spans="1:16" x14ac:dyDescent="0.3">
      <c r="A2">
        <v>2015</v>
      </c>
      <c r="B2" s="73">
        <v>30601</v>
      </c>
      <c r="C2" s="73">
        <v>3048</v>
      </c>
      <c r="D2" s="73">
        <v>112.69</v>
      </c>
      <c r="E2" s="73">
        <v>27.05</v>
      </c>
      <c r="F2" s="73">
        <v>3</v>
      </c>
      <c r="G2" s="73">
        <v>1.85</v>
      </c>
      <c r="H2">
        <f>'Three Statements'!B56+'Three Statements'!B59+'Three Statements'!B66</f>
        <v>8356</v>
      </c>
      <c r="I2" s="8">
        <v>10576</v>
      </c>
      <c r="J2" s="8">
        <v>16888</v>
      </c>
      <c r="K2" s="8">
        <v>13751</v>
      </c>
      <c r="L2" s="8">
        <v>3540</v>
      </c>
      <c r="M2" s="8">
        <v>-9316</v>
      </c>
      <c r="N2" s="8">
        <v>8721</v>
      </c>
      <c r="O2" s="8">
        <v>6080</v>
      </c>
      <c r="P2" s="56" t="s">
        <v>218</v>
      </c>
    </row>
    <row r="3" spans="1:16" x14ac:dyDescent="0.3">
      <c r="A3">
        <v>2016</v>
      </c>
      <c r="B3" s="73">
        <v>32376</v>
      </c>
      <c r="C3" s="73">
        <v>3745</v>
      </c>
      <c r="D3" s="73">
        <v>112.69</v>
      </c>
      <c r="E3" s="73">
        <v>33.229999999999997</v>
      </c>
      <c r="F3" s="73">
        <v>3</v>
      </c>
      <c r="G3" s="73">
        <v>2.16</v>
      </c>
      <c r="H3">
        <f>'Three Statements'!C56+'Three Statements'!C59+'Three Statements'!C66</f>
        <v>12176</v>
      </c>
      <c r="I3" s="8">
        <v>22752</v>
      </c>
      <c r="J3" s="8">
        <v>33006</v>
      </c>
      <c r="K3" s="8">
        <v>27874</v>
      </c>
      <c r="L3" s="8">
        <v>3918</v>
      </c>
      <c r="M3" s="8">
        <v>-13973</v>
      </c>
      <c r="N3" s="8">
        <v>11617</v>
      </c>
      <c r="O3" s="8">
        <v>5346</v>
      </c>
      <c r="P3" s="56" t="s">
        <v>219</v>
      </c>
    </row>
    <row r="4" spans="1:16" x14ac:dyDescent="0.3">
      <c r="A4">
        <v>2017</v>
      </c>
      <c r="B4" s="73">
        <v>34350</v>
      </c>
      <c r="C4" s="73">
        <v>3223</v>
      </c>
      <c r="D4" s="73">
        <v>112.69</v>
      </c>
      <c r="E4" s="73">
        <v>28.6</v>
      </c>
      <c r="F4" s="73">
        <v>3</v>
      </c>
      <c r="G4" s="73">
        <v>2.5099999999999998</v>
      </c>
      <c r="H4">
        <f>'Three Statements'!D56+'Three Statements'!D59+'Three Statements'!D66</f>
        <v>12387</v>
      </c>
      <c r="I4" s="8">
        <v>35139</v>
      </c>
      <c r="J4" s="8">
        <v>46156</v>
      </c>
      <c r="K4" s="8">
        <v>43061</v>
      </c>
      <c r="L4" s="8">
        <v>4395</v>
      </c>
      <c r="M4" s="8">
        <v>-15194</v>
      </c>
      <c r="N4" s="8">
        <v>14879</v>
      </c>
      <c r="O4" s="8">
        <v>9212</v>
      </c>
      <c r="P4" s="56" t="s">
        <v>220</v>
      </c>
    </row>
    <row r="5" spans="1:16" x14ac:dyDescent="0.3">
      <c r="A5">
        <v>2018</v>
      </c>
      <c r="B5" s="73">
        <v>36397</v>
      </c>
      <c r="C5" s="73">
        <v>4987</v>
      </c>
      <c r="D5" s="73">
        <v>112.69</v>
      </c>
      <c r="E5" s="73">
        <v>44.24</v>
      </c>
      <c r="F5" s="73">
        <v>3</v>
      </c>
      <c r="G5" s="73">
        <v>1.17</v>
      </c>
      <c r="H5">
        <f>'Three Statements'!E56+'Three Statements'!E59+'Three Statements'!E66</f>
        <v>13145</v>
      </c>
      <c r="I5" s="8">
        <v>48284</v>
      </c>
      <c r="J5" s="8">
        <v>54780</v>
      </c>
      <c r="K5" s="8">
        <v>50356</v>
      </c>
      <c r="L5" s="8">
        <v>2754</v>
      </c>
      <c r="M5" s="8">
        <v>-16611</v>
      </c>
      <c r="N5" s="8">
        <v>16390</v>
      </c>
      <c r="O5" s="8">
        <v>2527</v>
      </c>
      <c r="P5" s="56" t="s">
        <v>221</v>
      </c>
    </row>
    <row r="6" spans="1:16" x14ac:dyDescent="0.3">
      <c r="A6">
        <v>2019</v>
      </c>
      <c r="B6" s="73">
        <v>39117</v>
      </c>
      <c r="C6" s="73">
        <v>4986</v>
      </c>
      <c r="D6" s="73">
        <v>112.69</v>
      </c>
      <c r="E6" s="73">
        <v>44.23</v>
      </c>
      <c r="F6" s="73">
        <v>3</v>
      </c>
      <c r="G6" s="73">
        <v>2.4900000000000002</v>
      </c>
      <c r="H6">
        <f>'Three Statements'!F56+'Three Statements'!F59+'Three Statements'!F66</f>
        <v>15506</v>
      </c>
      <c r="I6" s="8">
        <v>63790</v>
      </c>
      <c r="J6" s="8">
        <v>63840</v>
      </c>
      <c r="K6" s="8">
        <v>58672</v>
      </c>
      <c r="L6" s="8">
        <v>4579</v>
      </c>
      <c r="M6" s="8">
        <v>-16276</v>
      </c>
      <c r="N6" s="8">
        <v>19637</v>
      </c>
      <c r="O6" s="8">
        <v>2568</v>
      </c>
      <c r="P6" s="56" t="s">
        <v>222</v>
      </c>
    </row>
    <row r="7" spans="1:16" x14ac:dyDescent="0.3">
      <c r="A7">
        <v>2020</v>
      </c>
      <c r="B7" s="73">
        <v>37403</v>
      </c>
      <c r="C7" s="73">
        <v>3952</v>
      </c>
      <c r="D7" s="73">
        <v>112.69</v>
      </c>
      <c r="E7" s="73">
        <v>35.049999999999997</v>
      </c>
      <c r="F7" s="73">
        <v>3</v>
      </c>
      <c r="G7" s="73">
        <v>1.6</v>
      </c>
      <c r="H7">
        <f>'Three Statements'!G56+'Three Statements'!G59+'Three Statements'!G66</f>
        <v>9559</v>
      </c>
      <c r="I7" s="8">
        <v>73349</v>
      </c>
      <c r="J7" s="8">
        <v>65440</v>
      </c>
      <c r="K7" s="8">
        <v>59121</v>
      </c>
      <c r="L7" s="8">
        <v>2563</v>
      </c>
      <c r="M7" s="8">
        <v>-4368</v>
      </c>
      <c r="N7" s="8">
        <v>20748</v>
      </c>
      <c r="O7" s="8">
        <v>-128</v>
      </c>
      <c r="P7" s="56" t="s">
        <v>223</v>
      </c>
    </row>
    <row r="8" spans="1:16" x14ac:dyDescent="0.3">
      <c r="A8">
        <v>2021</v>
      </c>
      <c r="B8" s="73">
        <v>44538</v>
      </c>
      <c r="C8" s="73">
        <v>1780</v>
      </c>
      <c r="D8" s="73">
        <v>112.69</v>
      </c>
      <c r="E8" s="73">
        <v>15.8</v>
      </c>
      <c r="F8" s="73">
        <v>3</v>
      </c>
      <c r="G8" s="73">
        <v>3.56</v>
      </c>
      <c r="H8">
        <f>'Three Statements'!H56+'Three Statements'!H59+'Three Statements'!H66</f>
        <v>14446</v>
      </c>
      <c r="I8" s="8">
        <v>87795</v>
      </c>
      <c r="J8" s="8">
        <v>71986</v>
      </c>
      <c r="K8" s="8">
        <v>67618</v>
      </c>
      <c r="L8" s="8">
        <v>5727</v>
      </c>
      <c r="M8" s="8">
        <v>-13379</v>
      </c>
      <c r="N8" s="8">
        <v>24837</v>
      </c>
      <c r="O8" s="8">
        <v>8764</v>
      </c>
      <c r="P8" s="56" t="s">
        <v>224</v>
      </c>
    </row>
    <row r="9" spans="1:16" x14ac:dyDescent="0.3">
      <c r="A9">
        <v>2022</v>
      </c>
      <c r="B9" s="73">
        <v>46710</v>
      </c>
      <c r="C9" s="73">
        <v>5165</v>
      </c>
      <c r="D9" s="73">
        <v>112.69</v>
      </c>
      <c r="E9" s="73">
        <v>45.85</v>
      </c>
      <c r="F9" s="73">
        <v>3</v>
      </c>
      <c r="G9" s="73">
        <v>3.75</v>
      </c>
      <c r="H9" s="8">
        <v>17178</v>
      </c>
      <c r="I9" s="8">
        <v>104973</v>
      </c>
      <c r="J9" s="8">
        <v>88986</v>
      </c>
      <c r="K9" s="8">
        <v>83194</v>
      </c>
      <c r="L9" s="8">
        <v>6046</v>
      </c>
      <c r="M9" s="8">
        <v>-17637</v>
      </c>
      <c r="N9" s="8">
        <v>29046</v>
      </c>
      <c r="O9" s="8">
        <v>6194</v>
      </c>
      <c r="P9" s="56" t="s">
        <v>225</v>
      </c>
    </row>
    <row r="10" spans="1:16" x14ac:dyDescent="0.3">
      <c r="A10">
        <v>2023</v>
      </c>
      <c r="B10" s="73">
        <v>49046</v>
      </c>
      <c r="C10" s="73">
        <v>5165</v>
      </c>
      <c r="D10" s="73">
        <v>112.69</v>
      </c>
      <c r="E10" s="73">
        <v>45.85</v>
      </c>
      <c r="F10" s="73">
        <v>3</v>
      </c>
      <c r="G10" s="73">
        <v>3.75</v>
      </c>
      <c r="H10" s="8">
        <v>16611</v>
      </c>
      <c r="I10" s="8">
        <v>121584</v>
      </c>
      <c r="J10" s="8">
        <v>103986</v>
      </c>
      <c r="K10" s="8">
        <v>96874</v>
      </c>
      <c r="L10" s="8">
        <v>6046</v>
      </c>
      <c r="M10" s="8">
        <v>-17070</v>
      </c>
      <c r="N10" s="8">
        <v>33255</v>
      </c>
      <c r="O10" s="8">
        <v>6194</v>
      </c>
      <c r="P10" s="56" t="s">
        <v>226</v>
      </c>
    </row>
    <row r="11" spans="1:16" x14ac:dyDescent="0.3">
      <c r="A11">
        <v>2024</v>
      </c>
      <c r="B11" s="73">
        <v>51498</v>
      </c>
      <c r="C11" s="73">
        <v>5165</v>
      </c>
      <c r="D11" s="73">
        <v>112.69</v>
      </c>
      <c r="E11" s="73">
        <v>45.85</v>
      </c>
      <c r="F11" s="73">
        <v>3</v>
      </c>
      <c r="G11" s="73">
        <v>3.75</v>
      </c>
      <c r="H11" s="8">
        <v>17178</v>
      </c>
      <c r="I11" s="8">
        <v>138762</v>
      </c>
      <c r="J11" s="8">
        <v>120564</v>
      </c>
      <c r="K11" s="8">
        <v>112281</v>
      </c>
      <c r="L11" s="8">
        <v>6046</v>
      </c>
      <c r="M11" s="8">
        <v>-17637</v>
      </c>
      <c r="N11" s="8">
        <v>37464</v>
      </c>
      <c r="O11" s="8">
        <v>6194</v>
      </c>
      <c r="P11" s="56" t="s">
        <v>227</v>
      </c>
    </row>
    <row r="12" spans="1:16" x14ac:dyDescent="0.3">
      <c r="A12">
        <v>2025</v>
      </c>
      <c r="B12" s="73">
        <v>54073</v>
      </c>
      <c r="C12" s="73">
        <v>5165</v>
      </c>
      <c r="D12" s="73">
        <v>112.69</v>
      </c>
      <c r="E12" s="73">
        <v>45.85</v>
      </c>
      <c r="F12" s="73">
        <v>3</v>
      </c>
      <c r="G12" s="73">
        <v>3.75</v>
      </c>
      <c r="H12" s="8">
        <v>16611</v>
      </c>
      <c r="I12" s="8">
        <v>155373</v>
      </c>
      <c r="J12" s="8">
        <v>134986</v>
      </c>
      <c r="K12" s="8">
        <v>124194</v>
      </c>
      <c r="L12" s="8">
        <v>6046</v>
      </c>
      <c r="M12" s="8">
        <v>-17070</v>
      </c>
      <c r="N12" s="8">
        <v>41673</v>
      </c>
      <c r="O12" s="8">
        <v>6194</v>
      </c>
      <c r="P12" s="56" t="s">
        <v>228</v>
      </c>
    </row>
    <row r="13" spans="1:16" x14ac:dyDescent="0.3">
      <c r="A13">
        <v>2026</v>
      </c>
      <c r="B13" s="73">
        <v>56776</v>
      </c>
      <c r="C13" s="73">
        <v>5165</v>
      </c>
      <c r="D13" s="73">
        <v>112.69</v>
      </c>
      <c r="E13" s="73">
        <v>45.85</v>
      </c>
      <c r="F13" s="73">
        <v>3</v>
      </c>
      <c r="G13" s="73">
        <v>3.75</v>
      </c>
      <c r="H13" s="8">
        <v>17178</v>
      </c>
      <c r="I13" s="8">
        <v>172551</v>
      </c>
      <c r="J13" s="8">
        <v>150986</v>
      </c>
      <c r="K13" s="8">
        <v>138071</v>
      </c>
      <c r="L13" s="8">
        <v>6046</v>
      </c>
      <c r="M13" s="8">
        <v>-17637</v>
      </c>
      <c r="N13" s="8">
        <v>45882</v>
      </c>
      <c r="O13" s="8">
        <v>6194</v>
      </c>
      <c r="P13" s="56" t="s">
        <v>229</v>
      </c>
    </row>
    <row r="14" spans="1:16" x14ac:dyDescent="0.3">
      <c r="A14">
        <v>2027</v>
      </c>
      <c r="B14" s="73">
        <v>59615</v>
      </c>
      <c r="C14" s="73">
        <v>5165</v>
      </c>
      <c r="D14" s="73">
        <v>112.69</v>
      </c>
      <c r="E14" s="73">
        <v>45.85</v>
      </c>
      <c r="F14" s="73">
        <v>3</v>
      </c>
      <c r="G14" s="73">
        <v>3.75</v>
      </c>
      <c r="H14" s="8">
        <v>16611</v>
      </c>
      <c r="I14" s="8">
        <v>189162</v>
      </c>
      <c r="J14" s="8">
        <v>165986</v>
      </c>
      <c r="K14" s="8">
        <v>150704</v>
      </c>
      <c r="L14" s="8">
        <v>6046</v>
      </c>
      <c r="M14" s="8">
        <v>-17070</v>
      </c>
      <c r="N14" s="8">
        <v>50091</v>
      </c>
      <c r="O14" s="8">
        <v>6194</v>
      </c>
      <c r="P14" s="56"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Column by Column balancing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FRANK-WISDOM EJOOR</cp:lastModifiedBy>
  <dcterms:created xsi:type="dcterms:W3CDTF">2020-05-20T17:26:08Z</dcterms:created>
  <dcterms:modified xsi:type="dcterms:W3CDTF">2024-12-06T15:35:43Z</dcterms:modified>
</cp:coreProperties>
</file>