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etrosleras/Desktop/QCP/"/>
    </mc:Choice>
  </mc:AlternateContent>
  <xr:revisionPtr revIDLastSave="0" documentId="13_ncr:1_{C9322F3E-8A1E-7E4F-A37F-5245C8BC3BD2}" xr6:coauthVersionLast="47" xr6:coauthVersionMax="47" xr10:uidLastSave="{00000000-0000-0000-0000-000000000000}"/>
  <bookViews>
    <workbookView xWindow="35340" yWindow="3380" windowWidth="25900" windowHeight="166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" l="1"/>
  <c r="D35" i="3"/>
  <c r="D41" i="3"/>
  <c r="C41" i="3"/>
  <c r="C35" i="3" s="1"/>
  <c r="E41" i="3"/>
  <c r="C37" i="3"/>
  <c r="E37" i="3"/>
  <c r="E40" i="3" s="1"/>
  <c r="D7" i="3"/>
  <c r="E7" i="3"/>
  <c r="C7" i="3"/>
  <c r="E36" i="3" l="1"/>
  <c r="D6" i="3" l="1"/>
  <c r="E6" i="3"/>
  <c r="C6" i="3"/>
  <c r="F65" i="3"/>
  <c r="D81" i="3"/>
  <c r="E81" i="3"/>
  <c r="C81" i="3"/>
  <c r="D80" i="3"/>
  <c r="E80" i="3"/>
  <c r="C80" i="3"/>
  <c r="D77" i="3"/>
  <c r="E77" i="3"/>
  <c r="D78" i="3"/>
  <c r="E78" i="3"/>
  <c r="C77" i="3"/>
  <c r="C78" i="3"/>
  <c r="D75" i="3"/>
  <c r="E75" i="3"/>
  <c r="D74" i="3"/>
  <c r="E74" i="3"/>
  <c r="C74" i="3"/>
  <c r="C75" i="3"/>
  <c r="E70" i="3"/>
  <c r="D70" i="3"/>
  <c r="C70" i="3"/>
  <c r="E69" i="3"/>
  <c r="D69" i="3"/>
  <c r="C69" i="3"/>
  <c r="E68" i="3"/>
  <c r="D68" i="3"/>
  <c r="C68" i="3"/>
  <c r="E65" i="3"/>
  <c r="D65" i="3"/>
  <c r="C65" i="3"/>
  <c r="E66" i="3"/>
  <c r="D66" i="3"/>
  <c r="C66" i="3"/>
  <c r="E63" i="3"/>
  <c r="D63" i="3"/>
  <c r="C63" i="3"/>
  <c r="D62" i="3"/>
  <c r="C62" i="3"/>
  <c r="D61" i="3"/>
  <c r="C61" i="3"/>
  <c r="E60" i="3"/>
  <c r="D60" i="3"/>
  <c r="C60" i="3"/>
  <c r="D8" i="3"/>
  <c r="E8" i="3"/>
  <c r="C8" i="3"/>
  <c r="D54" i="3"/>
  <c r="E54" i="3"/>
  <c r="C54" i="3"/>
  <c r="D52" i="3"/>
  <c r="E52" i="3"/>
  <c r="C52" i="3"/>
  <c r="D50" i="3"/>
  <c r="E50" i="3"/>
  <c r="C50" i="3"/>
  <c r="D49" i="3"/>
  <c r="E49" i="3"/>
  <c r="C49" i="3"/>
  <c r="D48" i="3"/>
  <c r="E48" i="3"/>
  <c r="C48" i="3"/>
  <c r="C44" i="3"/>
  <c r="C51" i="3" s="1"/>
  <c r="D44" i="3"/>
  <c r="D51" i="3" s="1"/>
  <c r="E44" i="3"/>
  <c r="E51" i="3" s="1"/>
  <c r="D45" i="3"/>
  <c r="E45" i="3"/>
  <c r="C45" i="3"/>
  <c r="D39" i="3"/>
  <c r="E39" i="3"/>
  <c r="C39" i="3"/>
  <c r="D38" i="3"/>
  <c r="E38" i="3"/>
  <c r="C38" i="3"/>
  <c r="D37" i="3"/>
  <c r="C36" i="3"/>
  <c r="D32" i="3"/>
  <c r="E32" i="3"/>
  <c r="C32" i="3"/>
  <c r="E33" i="3"/>
  <c r="E86" i="3" s="1"/>
  <c r="D33" i="3"/>
  <c r="D86" i="3" s="1"/>
  <c r="C33" i="3"/>
  <c r="C85" i="3" s="1"/>
  <c r="D29" i="3"/>
  <c r="E29" i="3"/>
  <c r="C29" i="3"/>
  <c r="D27" i="3"/>
  <c r="E27" i="3"/>
  <c r="C27" i="3"/>
  <c r="D26" i="3"/>
  <c r="E26" i="3"/>
  <c r="C26" i="3"/>
  <c r="D25" i="3"/>
  <c r="E25" i="3"/>
  <c r="C25" i="3"/>
  <c r="D21" i="3"/>
  <c r="D20" i="3" s="1"/>
  <c r="E21" i="3"/>
  <c r="E20" i="3" s="1"/>
  <c r="C21" i="3"/>
  <c r="C20" i="3" s="1"/>
  <c r="E19" i="3"/>
  <c r="E18" i="3" s="1"/>
  <c r="D19" i="3"/>
  <c r="D18" i="3" s="1"/>
  <c r="C19" i="3"/>
  <c r="C18" i="3" s="1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5" i="3"/>
  <c r="E5" i="3"/>
  <c r="C5" i="3"/>
  <c r="D108" i="1"/>
  <c r="C108" i="1"/>
  <c r="B108" i="1"/>
  <c r="D99" i="1"/>
  <c r="C99" i="1"/>
  <c r="B99" i="1"/>
  <c r="D36" i="3" l="1"/>
  <c r="D40" i="3"/>
  <c r="C40" i="3"/>
  <c r="D64" i="3"/>
  <c r="C86" i="3"/>
  <c r="D85" i="3"/>
  <c r="E85" i="3"/>
  <c r="C84" i="3"/>
  <c r="D84" i="3"/>
  <c r="E84" i="3"/>
  <c r="E64" i="3"/>
  <c r="C64" i="3"/>
  <c r="D46" i="3"/>
  <c r="D47" i="3" s="1"/>
  <c r="D57" i="3"/>
  <c r="D56" i="3" s="1"/>
  <c r="D55" i="3" s="1"/>
  <c r="C53" i="3"/>
  <c r="C43" i="3"/>
  <c r="E43" i="3"/>
  <c r="D43" i="3"/>
  <c r="C46" i="3"/>
  <c r="C47" i="3" s="1"/>
  <c r="C57" i="3"/>
  <c r="C56" i="3" s="1"/>
  <c r="C55" i="3" s="1"/>
  <c r="E53" i="3"/>
  <c r="D53" i="3"/>
  <c r="E46" i="3"/>
  <c r="E47" i="3" s="1"/>
  <c r="E57" i="3"/>
  <c r="E56" i="3" s="1"/>
  <c r="E55" i="3" s="1"/>
  <c r="E31" i="3"/>
  <c r="E30" i="3" s="1"/>
  <c r="D31" i="3"/>
  <c r="D30" i="3" s="1"/>
  <c r="C31" i="3"/>
  <c r="C30" i="3" s="1"/>
  <c r="C12" i="3"/>
  <c r="E12" i="3"/>
  <c r="D12" i="3"/>
  <c r="E28" i="3"/>
  <c r="D28" i="3"/>
  <c r="C28" i="3"/>
  <c r="D68" i="1"/>
  <c r="C68" i="1"/>
  <c r="B68" i="1"/>
  <c r="D61" i="1"/>
  <c r="C61" i="1"/>
  <c r="B61" i="1"/>
  <c r="D56" i="1"/>
  <c r="C56" i="1"/>
  <c r="B56" i="1"/>
  <c r="D47" i="1"/>
  <c r="C47" i="1"/>
  <c r="B47" i="1"/>
  <c r="B48" i="1" s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62" i="1"/>
  <c r="B69" i="1" s="1"/>
  <c r="C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51" i="3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5" i="3" l="1"/>
  <c r="A42" i="3" s="1"/>
  <c r="A43" i="3" s="1"/>
  <c r="A45" i="3" s="1"/>
  <c r="A46" i="3" s="1"/>
  <c r="A47" i="3" s="1"/>
  <c r="A48" i="3" s="1"/>
  <c r="A50" i="3" s="1"/>
  <c r="A52" i="3" s="1"/>
  <c r="A54" i="3" s="1"/>
  <c r="A36" i="3"/>
  <c r="A37" i="3" l="1"/>
  <c r="A38" i="3" s="1"/>
  <c r="A39" i="3" s="1"/>
</calcChain>
</file>

<file path=xl/sharedStrings.xml><?xml version="1.0" encoding="utf-8"?>
<sst xmlns="http://schemas.openxmlformats.org/spreadsheetml/2006/main" count="203" uniqueCount="170">
  <si>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</si>
  <si>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</si>
  <si>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</si>
  <si>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</si>
  <si>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</si>
  <si>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</si>
  <si>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</si>
  <si>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</si>
  <si>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</si>
  <si>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</si>
  <si>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</si>
  <si>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</si>
  <si>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</si>
  <si>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</si>
  <si>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</si>
  <si>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</si>
  <si>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</si>
  <si>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</si>
  <si>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</si>
  <si>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</si>
  <si>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</si>
  <si>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</si>
  <si>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</si>
  <si>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</si>
  <si>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</si>
  <si>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</si>
  <si>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</si>
  <si>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</si>
  <si>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</si>
  <si>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</si>
  <si>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</si>
  <si>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</si>
  <si>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</si>
  <si>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</si>
  <si>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</si>
  <si>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</si>
  <si>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</si>
  <si>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</si>
  <si>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</si>
  <si>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</si>
  <si>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</si>
  <si>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</si>
  <si>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</si>
  <si>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</si>
  <si>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</si>
  <si>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</si>
  <si>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</si>
  <si>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</si>
  <si>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</si>
  <si>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</si>
  <si>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</si>
  <si>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</si>
  <si>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</si>
  <si>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</si>
  <si>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</si>
  <si>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</si>
  <si>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</si>
  <si>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</si>
  <si>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</si>
  <si>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</si>
  <si>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</si>
  <si>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</si>
  <si>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</si>
  <si>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</si>
  <si>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</si>
  <si>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</si>
  <si>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</si>
  <si>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</si>
  <si>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</si>
  <si>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</si>
  <si>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</si>
  <si>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</si>
  <si>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</si>
  <si>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</si>
  <si>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</si>
  <si>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</si>
  <si>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</si>
  <si>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</si>
  <si>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</si>
  <si>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</si>
  <si>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</si>
  <si>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</si>
  <si>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</si>
  <si>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</si>
  <si>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</si>
  <si>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</si>
  <si>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</si>
  <si>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</si>
  <si>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</si>
  <si>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</si>
  <si>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</si>
  <si>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</si>
  <si>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</si>
  <si>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</si>
  <si>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</si>
  <si>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</si>
  <si>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</si>
  <si>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</si>
  <si>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</si>
  <si>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</si>
  <si>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</si>
  <si>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</si>
  <si>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</si>
  <si>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</si>
  <si>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</si>
  <si>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</si>
  <si>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</si>
  <si>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</si>
  <si>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</si>
  <si>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</si>
  <si>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</si>
  <si>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</si>
  <si>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</si>
  <si>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</si>
  <si>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</si>
  <si>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</si>
  <si>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</si>
  <si>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</si>
  <si>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</si>
  <si>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</si>
  <si>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</si>
  <si>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</si>
  <si>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</si>
  <si>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</si>
  <si>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</si>
  <si>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</si>
  <si>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</si>
  <si>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</si>
  <si>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</si>
  <si>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</si>
  <si>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</si>
  <si>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</si>
  <si>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</si>
  <si>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</si>
  <si>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</si>
  <si>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</si>
  <si>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</si>
  <si>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</si>
  <si>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</si>
  <si>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</si>
  <si>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</si>
  <si>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</si>
  <si>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</si>
  <si>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</si>
  <si>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</si>
  <si>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</si>
  <si>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</si>
  <si>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</si>
  <si>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</si>
  <si>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</si>
  <si>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</t>
  </si>
  <si>
    <t>capex</t>
  </si>
  <si>
    <t xml:space="preserve">net debt issued </t>
  </si>
  <si>
    <t xml:space="preserve">ending asset - Beginning asset </t>
  </si>
  <si>
    <t xml:space="preserve">Share price </t>
  </si>
  <si>
    <t>cap rate</t>
  </si>
  <si>
    <t>MCAP rate</t>
  </si>
  <si>
    <t>GROWTH RATES</t>
  </si>
  <si>
    <t>Sales net</t>
  </si>
  <si>
    <t>Sales - Products</t>
  </si>
  <si>
    <t>Sales - Services</t>
  </si>
  <si>
    <t>Gross profits growth %</t>
  </si>
  <si>
    <t>SGA</t>
  </si>
  <si>
    <t>SGA Operating expenses</t>
  </si>
  <si>
    <t xml:space="preserve"> ( R&amp;D) Operating expenses</t>
  </si>
  <si>
    <t>assets</t>
  </si>
  <si>
    <t>liabilities</t>
  </si>
  <si>
    <t>shareholders equity</t>
  </si>
  <si>
    <t>R&amp;D</t>
  </si>
  <si>
    <t>Asset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</si>
</sst>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$-409]#,##0.00"/>
    <numFmt numFmtId="167" formatCode="0.00000"/>
    <numFmt numFmtId="168" formatCode="0.00000%"/>
    <numFmt numFmtId="169" formatCode="0.000%"/>
    <numFmt numFmtId="170" formatCode="0.0000"/>
    <numFmt numFmtId="171" formatCode="0.000"/>
    <numFmt numFmtId="172" formatCode="0.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 applyAlignment="1">
      <alignment horizontal="left" indent="3"/>
    </xf>
    <xf numFmtId="164" fontId="2" fillId="0" borderId="0" xfId="0" applyNumberFormat="1" applyFont="1"/>
    <xf numFmtId="10" fontId="0" fillId="0" borderId="0" xfId="3" applyNumberFormat="1" applyFont="1"/>
    <xf numFmtId="166" fontId="0" fillId="0" borderId="0" xfId="3" applyNumberFormat="1" applyFont="1"/>
    <xf numFmtId="166" fontId="0" fillId="0" borderId="0" xfId="0" applyNumberFormat="1"/>
    <xf numFmtId="167" fontId="0" fillId="0" borderId="0" xfId="0" applyNumberFormat="1"/>
    <xf numFmtId="168" fontId="0" fillId="0" borderId="0" xfId="3" applyNumberFormat="1" applyFont="1"/>
    <xf numFmtId="9" fontId="0" fillId="0" borderId="0" xfId="3" applyFont="1"/>
    <xf numFmtId="169" fontId="0" fillId="0" borderId="0" xfId="3" applyNumberFormat="1" applyFont="1"/>
    <xf numFmtId="170" fontId="0" fillId="0" borderId="0" xfId="0" applyNumberFormat="1"/>
    <xf numFmtId="171" fontId="0" fillId="0" borderId="0" xfId="0" applyNumberFormat="1"/>
    <xf numFmtId="1" fontId="0" fillId="0" borderId="0" xfId="0" applyNumberFormat="1"/>
    <xf numFmtId="172" fontId="0" fillId="0" borderId="0" xfId="0" applyNumberFormat="1"/>
    <xf numFmtId="171" fontId="0" fillId="0" borderId="0" xfId="3" applyNumberFormat="1" applyFont="1"/>
    <xf numFmtId="0" fontId="3" fillId="5" borderId="0" xfId="0" applyFont="1" applyFill="1"/>
    <xf numFmtId="10" fontId="3" fillId="5" borderId="0" xfId="3" applyNumberFormat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A21" sqref="A21:A24"/>
    </sheetView>
  </sheetViews>
  <sheetFormatPr baseColWidth="10" defaultColWidth="8.83203125" defaultRowHeight="15" x14ac:dyDescent="0.2"/>
  <cols>
    <col min="1" max="1" width="104.5" customWidth="1"/>
  </cols>
  <sheetData>
    <row r="1" spans="1:7" ht="24" x14ac:dyDescent="0.3">
      <c r="A1" s="5" t="s">
        <v>87</v>
      </c>
    </row>
    <row r="3" spans="1:7" x14ac:dyDescent="0.2">
      <c r="A3" s="7" t="s">
        <v>141</v>
      </c>
    </row>
    <row r="4" spans="1:7" x14ac:dyDescent="0.2">
      <c r="A4" s="16" t="s">
        <v>88</v>
      </c>
    </row>
    <row r="5" spans="1:7" x14ac:dyDescent="0.2">
      <c r="A5" s="7" t="s">
        <v>97</v>
      </c>
    </row>
    <row r="6" spans="1:7" x14ac:dyDescent="0.2">
      <c r="A6" s="1" t="s">
        <v>148</v>
      </c>
    </row>
    <row r="7" spans="1:7" x14ac:dyDescent="0.2">
      <c r="A7" s="1"/>
    </row>
    <row r="8" spans="1:7" x14ac:dyDescent="0.2">
      <c r="A8" s="17" t="s">
        <v>149</v>
      </c>
      <c r="G8" t="s">
        <v>150</v>
      </c>
    </row>
    <row r="9" spans="1:7" x14ac:dyDescent="0.2">
      <c r="A9" s="1" t="s">
        <v>145</v>
      </c>
    </row>
    <row r="10" spans="1:7" x14ac:dyDescent="0.2">
      <c r="A10" s="1" t="s">
        <v>89</v>
      </c>
    </row>
    <row r="11" spans="1:7" x14ac:dyDescent="0.2">
      <c r="A11" s="1" t="s">
        <v>90</v>
      </c>
    </row>
    <row r="12" spans="1:7" x14ac:dyDescent="0.2">
      <c r="A12" s="1" t="s">
        <v>91</v>
      </c>
    </row>
    <row r="13" spans="1:7" x14ac:dyDescent="0.2">
      <c r="A13" s="1"/>
    </row>
    <row r="14" spans="1:7" x14ac:dyDescent="0.2">
      <c r="A14" s="17" t="s">
        <v>92</v>
      </c>
    </row>
    <row r="15" spans="1:7" x14ac:dyDescent="0.2">
      <c r="A15" s="1" t="s">
        <v>146</v>
      </c>
    </row>
    <row r="16" spans="1:7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48" sqref="B48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7" max="7" width="15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40" t="s">
        <v>1</v>
      </c>
      <c r="B2" s="40"/>
      <c r="C2" s="40"/>
      <c r="D2" s="40"/>
    </row>
    <row r="3" spans="1:10" x14ac:dyDescent="0.2">
      <c r="B3" s="39" t="s">
        <v>23</v>
      </c>
      <c r="C3" s="39"/>
      <c r="D3" s="39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24"/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40" t="s">
        <v>24</v>
      </c>
      <c r="B31" s="40"/>
      <c r="C31" s="40"/>
      <c r="D31" s="40"/>
    </row>
    <row r="32" spans="1:6" x14ac:dyDescent="0.2">
      <c r="B32" s="39" t="s">
        <v>142</v>
      </c>
      <c r="C32" s="39"/>
      <c r="D32" s="39"/>
    </row>
    <row r="33" spans="1:7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2">
      <c r="A35" t="s">
        <v>25</v>
      </c>
    </row>
    <row r="36" spans="1:7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7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2">
      <c r="A41" s="1" t="s">
        <v>30</v>
      </c>
      <c r="B41" s="12">
        <v>21223</v>
      </c>
      <c r="C41" s="12">
        <v>14111</v>
      </c>
      <c r="D41" s="12">
        <v>11264</v>
      </c>
      <c r="G41" s="23"/>
    </row>
    <row r="42" spans="1:7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2">
      <c r="A43" t="s">
        <v>48</v>
      </c>
      <c r="B43" s="12"/>
      <c r="C43" s="12"/>
      <c r="D43" s="12"/>
    </row>
    <row r="44" spans="1:7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7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40" t="s">
        <v>55</v>
      </c>
      <c r="B71" s="40"/>
      <c r="C71" s="40"/>
      <c r="D71" s="40"/>
    </row>
    <row r="72" spans="1:4" x14ac:dyDescent="0.2">
      <c r="B72" s="39" t="s">
        <v>23</v>
      </c>
      <c r="C72" s="39"/>
      <c r="D72" s="39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abSelected="1" workbookViewId="0">
      <selection activeCell="C35" sqref="C35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20.1640625" bestFit="1" customWidth="1"/>
    <col min="4" max="4" width="18" bestFit="1" customWidth="1"/>
    <col min="5" max="5" width="20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9" t="s">
        <v>23</v>
      </c>
      <c r="D2" s="39"/>
      <c r="E2" s="39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3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3">
        <f>('Financial Statements'!B36+'Financial Statements'!B37+'Financial Statements'!B38)/'Financial Statements'!B56</f>
        <v>0.49673338442155579</v>
      </c>
      <c r="D6" s="33">
        <f>('Financial Statements'!C36+'Financial Statements'!C37+'Financial Statements'!C38)/'Financial Statements'!C56</f>
        <v>0.70860927152317876</v>
      </c>
      <c r="E6" s="33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 s="33">
        <f>('Financial Statements'!B36+'Financial Statements'!B37)/'Financial Statements'!B56</f>
        <v>0.31369900377966253</v>
      </c>
      <c r="D7" s="33">
        <f>('Financial Statements'!C36+'Financial Statements'!C37)/'Financial Statements'!C56</f>
        <v>0.49919111259872012</v>
      </c>
      <c r="E7" s="33">
        <f>('Financial Statements'!D36+'Financial Statements'!D37)/'Financial Statements'!D56</f>
        <v>0.86290230757552755</v>
      </c>
    </row>
    <row r="8" spans="1:10" x14ac:dyDescent="0.2">
      <c r="A8" s="18">
        <f t="shared" si="0"/>
        <v>1.4000000000000004</v>
      </c>
      <c r="B8" s="1" t="s">
        <v>103</v>
      </c>
      <c r="C8" s="33">
        <f>'Financial Statements'!B42/'Financial Statements'!B17</f>
        <v>2.6371603856266432</v>
      </c>
      <c r="D8" s="33">
        <f>'Financial Statements'!C42/'Financial Statements'!C17</f>
        <v>3.072344885729259</v>
      </c>
      <c r="E8" s="33">
        <f>'Financial Statements'!D42/'Financial Statements'!D17</f>
        <v>3.7165873590565841</v>
      </c>
    </row>
    <row r="9" spans="1:10" x14ac:dyDescent="0.2">
      <c r="A9" s="18">
        <f t="shared" si="0"/>
        <v>1.5000000000000004</v>
      </c>
      <c r="B9" s="1" t="s">
        <v>104</v>
      </c>
      <c r="C9" s="33">
        <f>('Financial Statements'!B39/'Financial Statements'!B12)*365</f>
        <v>8.0756980666171607</v>
      </c>
      <c r="D9" s="33">
        <f>('Financial Statements'!C39/'Financial Statements'!C12)*365</f>
        <v>11.27659274770989</v>
      </c>
      <c r="E9" s="33">
        <f>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33">
        <f>('Financial Statements'!B51*365)/'Financial Statements'!B12</f>
        <v>104.68527730310539</v>
      </c>
      <c r="D10" s="33">
        <f>('Financial Statements'!C51*365)/'Financial Statements'!C12</f>
        <v>93.85107122231561</v>
      </c>
      <c r="E10" s="33">
        <f>('Financial Statements'!D51*365)/'Financial Statements'!D12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 s="33">
        <f>('Financial Statements'!B38/'Financial Statements'!B8)*365</f>
        <v>26.087825363656648</v>
      </c>
      <c r="D11" s="33">
        <f>('Financial Statements'!C38/'Financial Statements'!C8)*365</f>
        <v>26.219311841713207</v>
      </c>
      <c r="E11" s="33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3">
        <f>C9+C11-C10</f>
        <v>-70.521753872831582</v>
      </c>
      <c r="D12" s="33">
        <f t="shared" ref="D12:E12" si="1">D9+D11-D10</f>
        <v>-56.355166632892512</v>
      </c>
      <c r="E12" s="33">
        <f t="shared" si="1"/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 s="25">
        <f>C14/'Financial Statements'!B8</f>
        <v>-4.711052727678481E-2</v>
      </c>
      <c r="D13" s="25">
        <f>D14/'Financial Statements'!C8</f>
        <v>2.557289573748623E-2</v>
      </c>
      <c r="E13" s="25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  <c r="C16" s="25"/>
      <c r="D16" s="25"/>
      <c r="E16" s="25"/>
    </row>
    <row r="17" spans="1:6" x14ac:dyDescent="0.2">
      <c r="A17" s="18">
        <f>+A16+0.1</f>
        <v>2.1</v>
      </c>
      <c r="B17" s="1" t="s">
        <v>9</v>
      </c>
      <c r="C17" s="31">
        <f>('Financial Statements'!B8-'Financial Statements'!B12)/'Financial Statements'!B8</f>
        <v>0.43309630561360085</v>
      </c>
      <c r="D17" s="31">
        <f>('Financial Statements'!C8-'Financial Statements'!C12)/'Financial Statements'!C8</f>
        <v>0.41779359625167778</v>
      </c>
      <c r="E17" s="31">
        <f>('Financial Statements'!D8-'Financial Statements'!D12)/'Financial Statements'!D8</f>
        <v>0.38233247727810865</v>
      </c>
    </row>
    <row r="18" spans="1:6" x14ac:dyDescent="0.2">
      <c r="A18" s="18">
        <f>+A17+0.1</f>
        <v>2.2000000000000002</v>
      </c>
      <c r="B18" s="1" t="s">
        <v>111</v>
      </c>
      <c r="C18" s="31">
        <f>C19/'Financial Statements'!B8</f>
        <v>0.32935272159217704</v>
      </c>
      <c r="D18" s="31">
        <f>D19/'Financial Statements'!C8</f>
        <v>0.33008034071680648</v>
      </c>
      <c r="E18" s="31">
        <f>E19/'Financial Statements'!D8</f>
        <v>0.28759812760687031</v>
      </c>
    </row>
    <row r="19" spans="1:6" x14ac:dyDescent="0.2">
      <c r="A19" s="18"/>
      <c r="B19" s="3" t="s">
        <v>112</v>
      </c>
      <c r="C19">
        <f>'Financial Statements'!B22+'Financial Statements'!B21-334+'Financial Statements'!B79</f>
        <v>129873</v>
      </c>
      <c r="D19">
        <f>'Financial Statements'!C22+'Financial Statements'!C21+258+'Financial Statements'!C79</f>
        <v>120749</v>
      </c>
      <c r="E19">
        <f>'Financial Statements'!D22+'Financial Statements'!D21+803+'Financial Statements'!D79</f>
        <v>78950</v>
      </c>
    </row>
    <row r="20" spans="1:6" x14ac:dyDescent="0.2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F20" s="25"/>
    </row>
    <row r="21" spans="1:6" x14ac:dyDescent="0.2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2">
      <c r="A22" s="18">
        <f>+A20+0.1</f>
        <v>2.4000000000000004</v>
      </c>
      <c r="B22" s="1" t="s">
        <v>115</v>
      </c>
      <c r="C22" s="25"/>
      <c r="D22" s="25"/>
      <c r="E22" s="25"/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33">
        <f>'Financial Statements'!B62/'Financial Statements'!B68</f>
        <v>5.9615369434796337</v>
      </c>
      <c r="D25" s="33">
        <f>'Financial Statements'!C62/'Financial Statements'!C68</f>
        <v>4.5635124425423994</v>
      </c>
      <c r="E25" s="33">
        <f>'Financial Statements'!D62/'Financial Statements'!D68</f>
        <v>3.9570394404566951</v>
      </c>
    </row>
    <row r="26" spans="1:6" x14ac:dyDescent="0.2">
      <c r="A26" s="18">
        <f t="shared" ref="A26:A30" si="2">+A25+0.1</f>
        <v>3.2</v>
      </c>
      <c r="B26" s="1" t="s">
        <v>118</v>
      </c>
      <c r="C26" s="33">
        <f>'Financial Statements'!B62/'Financial Statements'!B48</f>
        <v>0.85635355983614692</v>
      </c>
      <c r="D26" s="33">
        <f>'Financial Statements'!C62/'Financial Statements'!C48</f>
        <v>0.82025743443057308</v>
      </c>
      <c r="E26" s="33">
        <f>'Financial Statements'!D62/'Financial Statements'!D48</f>
        <v>0.79826668477992391</v>
      </c>
    </row>
    <row r="27" spans="1:6" x14ac:dyDescent="0.2">
      <c r="A27" s="18">
        <f t="shared" si="2"/>
        <v>3.3000000000000003</v>
      </c>
      <c r="B27" s="1" t="s">
        <v>119</v>
      </c>
      <c r="C27" s="33">
        <f>'Financial Statements'!B61/('Financial Statements'!B61+'Financial Statements'!B68)</f>
        <v>0.74507604151469264</v>
      </c>
      <c r="D27" s="33">
        <f>'Financial Statements'!C61/('Financial Statements'!C61+'Financial Statements'!C68)</f>
        <v>0.72024778180302496</v>
      </c>
      <c r="E27" s="33">
        <f>'Financial Statements'!D61/('Financial Statements'!D61+'Financial Statements'!D68)</f>
        <v>0.70096020064440534</v>
      </c>
    </row>
    <row r="28" spans="1:6" x14ac:dyDescent="0.2">
      <c r="A28" s="18">
        <f t="shared" si="2"/>
        <v>3.4000000000000004</v>
      </c>
      <c r="B28" s="1" t="s">
        <v>120</v>
      </c>
      <c r="C28" s="33">
        <f>'List of Ratios'!C21/('Financial Statements'!B55+'Financial Statements'!B59)</f>
        <v>1.0849328258559139</v>
      </c>
      <c r="D28" s="33">
        <f>'List of Ratios'!D21/('Financial Statements'!C55+'Financial Statements'!C59)</f>
        <v>0.91770483241941059</v>
      </c>
      <c r="E28" s="33">
        <f>'List of Ratios'!E21/('Financial Statements'!D55+'Financial Statements'!D59)</f>
        <v>0.61697691734921822</v>
      </c>
    </row>
    <row r="29" spans="1:6" x14ac:dyDescent="0.2">
      <c r="A29" s="18">
        <f t="shared" si="2"/>
        <v>3.5000000000000004</v>
      </c>
      <c r="B29" s="1" t="s">
        <v>121</v>
      </c>
      <c r="C29" s="33">
        <f>'Financial Statements'!B18/'Financial Statements'!B59</f>
        <v>1.2069341848644388</v>
      </c>
      <c r="D29" s="33">
        <f>'Financial Statements'!C18/'Financial Statements'!C59</f>
        <v>0.9985610323905193</v>
      </c>
      <c r="E29" s="33">
        <f>'Financial Statements'!D18/'Financial Statements'!D59</f>
        <v>0.67183556812308065</v>
      </c>
    </row>
    <row r="30" spans="1:6" x14ac:dyDescent="0.2">
      <c r="A30" s="18">
        <f t="shared" si="2"/>
        <v>3.6000000000000005</v>
      </c>
      <c r="B30" s="1" t="s">
        <v>122</v>
      </c>
      <c r="C30" s="36">
        <f>C31/'Financial Statements'!B27</f>
        <v>1.2061448339515822E-2</v>
      </c>
      <c r="D30" s="36">
        <f>D31/'Financial Statements'!C27</f>
        <v>1.1042332584009169E-2</v>
      </c>
      <c r="E30" s="36">
        <f>E31/'Financial Statements'!D27</f>
        <v>9.0694975063276128E-3</v>
      </c>
    </row>
    <row r="31" spans="1:6" x14ac:dyDescent="0.2">
      <c r="A31" s="18"/>
      <c r="B31" s="3" t="s">
        <v>123</v>
      </c>
      <c r="C31">
        <f>'Financial Statements'!B91-'List of Ratios'!C33+'List of Ratios'!C32</f>
        <v>195588</v>
      </c>
      <c r="D31">
        <f>'Financial Statements'!C91-'List of Ratios'!D33+'List of Ratios'!D32</f>
        <v>184421</v>
      </c>
      <c r="E31">
        <f>'Financial Statements'!D91-'List of Ratios'!E33+'List of Ratios'!E32</f>
        <v>157375</v>
      </c>
    </row>
    <row r="32" spans="1:6" x14ac:dyDescent="0.2">
      <c r="A32" s="18"/>
      <c r="B32" s="3" t="s">
        <v>152</v>
      </c>
      <c r="C32">
        <f>('Financial Statements'!B55+'Financial Statements'!B59)-'Financial Statements'!B110</f>
        <v>85110</v>
      </c>
      <c r="D32">
        <f>('Financial Statements'!C55+'Financial Statements'!C59)-'Financial Statements'!C110</f>
        <v>82790</v>
      </c>
      <c r="E32">
        <f>('Financial Statements'!D55+'Financial Statements'!D59)-'Financial Statements'!D110</f>
        <v>67651</v>
      </c>
    </row>
    <row r="33" spans="1:5" x14ac:dyDescent="0.2">
      <c r="A33" s="18"/>
      <c r="B33" s="1" t="s">
        <v>151</v>
      </c>
      <c r="C33">
        <f>'Financial Statements'!B42-'Financial Statements'!C42+'Financial Statements'!B79</f>
        <v>11673</v>
      </c>
      <c r="D33">
        <f>'Financial Statements'!C42-'Financial Statements'!D42+'Financial Statements'!C79</f>
        <v>2407</v>
      </c>
      <c r="E33">
        <f>'Financial Statements'!D42-163819+'Financial Statements'!D79</f>
        <v>-9050</v>
      </c>
    </row>
    <row r="34" spans="1:5" x14ac:dyDescent="0.2">
      <c r="A34" s="18"/>
      <c r="B34" s="17" t="s">
        <v>124</v>
      </c>
    </row>
    <row r="35" spans="1:5" x14ac:dyDescent="0.2">
      <c r="A35" s="18">
        <f>+A24+1</f>
        <v>4</v>
      </c>
      <c r="B35" s="1" t="s">
        <v>125</v>
      </c>
      <c r="C35" s="28">
        <f>'Financial Statements'!B8/'List of Ratios'!C41</f>
        <v>1.2484927254262992</v>
      </c>
      <c r="D35" s="28">
        <f>'Financial Statements'!C8/'List of Ratios'!D41</f>
        <v>1.2740088842144122</v>
      </c>
      <c r="E35" s="28">
        <f>'Financial Statements'!D8/'List of Ratios'!E41</f>
        <v>1.0242198911662597</v>
      </c>
    </row>
    <row r="36" spans="1:5" x14ac:dyDescent="0.2">
      <c r="A36" s="18">
        <f>+A35+0.1</f>
        <v>4.0999999999999996</v>
      </c>
      <c r="B36" s="1" t="s">
        <v>126</v>
      </c>
      <c r="C36" s="28">
        <f>'Financial Statements'!B8/'List of Ratios'!C37</f>
        <v>1.2117025624322058</v>
      </c>
      <c r="D36" s="28">
        <f>'Financial Statements'!C8/'List of Ratios'!D37</f>
        <v>1.1944908384720501</v>
      </c>
      <c r="E36" s="28">
        <f>'Financial Statements'!D8/'List of Ratios'!E37</f>
        <v>1.0242198911662597</v>
      </c>
    </row>
    <row r="37" spans="1:5" x14ac:dyDescent="0.2">
      <c r="A37" s="18">
        <f t="shared" ref="A37:A39" si="3">+A36+0.1</f>
        <v>4.1999999999999993</v>
      </c>
      <c r="B37" s="1" t="s">
        <v>153</v>
      </c>
      <c r="C37">
        <f>'Financial Statements'!B47+'Financial Statements'!C47/2</f>
        <v>325433</v>
      </c>
      <c r="D37">
        <f>'Financial Statements'!C47+'Financial Statements'!D47/2</f>
        <v>306253.5</v>
      </c>
      <c r="E37">
        <f>'Financial Statements'!D47+175697/2</f>
        <v>268023.5</v>
      </c>
    </row>
    <row r="38" spans="1:5" x14ac:dyDescent="0.2">
      <c r="A38" s="18">
        <f t="shared" si="3"/>
        <v>4.2999999999999989</v>
      </c>
      <c r="B38" s="1" t="s">
        <v>127</v>
      </c>
      <c r="C38" s="32">
        <f>'Financial Statements'!B12/'Financial Statements'!B39</f>
        <v>45.197331176708452</v>
      </c>
      <c r="D38" s="32">
        <f>'Financial Statements'!C12/'Financial Statements'!C39</f>
        <v>32.367933130699086</v>
      </c>
      <c r="E38" s="32">
        <f>'Financial Statements'!D12/'Financial Statements'!D39</f>
        <v>41.753016498399411</v>
      </c>
    </row>
    <row r="39" spans="1:5" x14ac:dyDescent="0.2">
      <c r="A39" s="18">
        <f t="shared" si="3"/>
        <v>4.3999999999999986</v>
      </c>
      <c r="B39" s="1" t="s">
        <v>128</v>
      </c>
      <c r="C39" s="32">
        <f>'Financial Statements'!B22/'Financial Statements'!B48</f>
        <v>0.28292440929256851</v>
      </c>
      <c r="D39" s="32">
        <f>'Financial Statements'!C22/'Financial Statements'!C48</f>
        <v>0.26974205275183616</v>
      </c>
      <c r="E39" s="32">
        <f>'Financial Statements'!D22/'Financial Statements'!D48</f>
        <v>0.1772557180259843</v>
      </c>
    </row>
    <row r="40" spans="1:5" x14ac:dyDescent="0.2">
      <c r="A40" s="18"/>
      <c r="B40" s="1" t="s">
        <v>169</v>
      </c>
      <c r="C40" s="25">
        <f>(C37-D37)/D37</f>
        <v>6.2626223047246812E-2</v>
      </c>
      <c r="D40" s="25">
        <f>(D37-E37)/E37</f>
        <v>0.14263674640469959</v>
      </c>
      <c r="E40" s="25">
        <f>(E37-175967)/175967</f>
        <v>0.52314638540180824</v>
      </c>
    </row>
    <row r="41" spans="1:5" x14ac:dyDescent="0.2">
      <c r="A41" s="18"/>
      <c r="C41" s="1">
        <f>(325433+306253.5)/2</f>
        <v>315843.25</v>
      </c>
      <c r="D41" s="1">
        <f>(306253.5+268023.5)/2</f>
        <v>287138.5</v>
      </c>
      <c r="E41" s="1">
        <f>(268023.5+268023.5)/2</f>
        <v>268023.5</v>
      </c>
    </row>
    <row r="42" spans="1:5" x14ac:dyDescent="0.2">
      <c r="A42" s="18">
        <f>+A35+1</f>
        <v>5</v>
      </c>
    </row>
    <row r="43" spans="1:5" x14ac:dyDescent="0.2">
      <c r="A43" s="18">
        <f>+A42+0.1</f>
        <v>5.0999999999999996</v>
      </c>
      <c r="B43" s="17" t="s">
        <v>129</v>
      </c>
      <c r="C43" s="34">
        <f>C44/C45</f>
        <v>33782.460994326873</v>
      </c>
      <c r="D43" s="34">
        <f t="shared" ref="D43:E43" si="4">D44/D45</f>
        <v>27692.134392180815</v>
      </c>
      <c r="E43" s="34">
        <f t="shared" si="4"/>
        <v>29634.359704592658</v>
      </c>
    </row>
    <row r="44" spans="1:5" x14ac:dyDescent="0.2">
      <c r="A44" s="18"/>
      <c r="B44" s="1" t="s">
        <v>130</v>
      </c>
      <c r="C44">
        <f>177</f>
        <v>177</v>
      </c>
      <c r="D44">
        <f>133</f>
        <v>133</v>
      </c>
      <c r="E44">
        <f>74</f>
        <v>74</v>
      </c>
    </row>
    <row r="45" spans="1:5" x14ac:dyDescent="0.2">
      <c r="A45" s="18">
        <f>+A43+0.1</f>
        <v>5.1999999999999993</v>
      </c>
      <c r="B45" s="1" t="s">
        <v>154</v>
      </c>
      <c r="C45">
        <f>('Financial Statements'!B22+'Financial Statements'!B102)/'Financial Statements'!B27</f>
        <v>5.2394051466446981E-3</v>
      </c>
      <c r="D45">
        <f>('Financial Statements'!C22+'Financial Statements'!C102)/'Financial Statements'!C27</f>
        <v>4.8028078340380306E-3</v>
      </c>
      <c r="E45">
        <f>('Financial Statements'!D22+'Financial Statements'!D102)/'Financial Statements'!D27</f>
        <v>2.4971013626635457E-3</v>
      </c>
    </row>
    <row r="46" spans="1:5" x14ac:dyDescent="0.2">
      <c r="A46" s="18">
        <f t="shared" ref="A46:A48" si="5">+A45+0.1</f>
        <v>5.2999999999999989</v>
      </c>
      <c r="B46" s="3" t="s">
        <v>131</v>
      </c>
      <c r="C46" s="26">
        <f>C44*'Financial Statements'!B27</f>
        <v>2870225451</v>
      </c>
      <c r="D46" s="26">
        <f>D44*'Financial Statements'!C27</f>
        <v>2221269176</v>
      </c>
      <c r="E46" s="26">
        <f>E44*'Financial Statements'!D27</f>
        <v>1284056806</v>
      </c>
    </row>
    <row r="47" spans="1:5" x14ac:dyDescent="0.2">
      <c r="A47" s="18">
        <f t="shared" si="5"/>
        <v>5.3999999999999986</v>
      </c>
      <c r="B47" s="3" t="s">
        <v>155</v>
      </c>
      <c r="C47" s="27">
        <f>C46/('Financial Statements'!B48-'Financial Statements'!B62)</f>
        <v>56643.224088253868</v>
      </c>
      <c r="D47" s="27">
        <f>D46/('Financial Statements'!C48-'Financial Statements'!C62)</f>
        <v>35207.943826279916</v>
      </c>
      <c r="E47" s="27">
        <f>E46/('Financial Statements'!D48-'Financial Statements'!D62)</f>
        <v>19652.226174260395</v>
      </c>
    </row>
    <row r="48" spans="1:5" x14ac:dyDescent="0.2">
      <c r="A48" s="18">
        <f t="shared" si="5"/>
        <v>5.4999999999999982</v>
      </c>
      <c r="B48" s="1" t="s">
        <v>132</v>
      </c>
      <c r="C48" s="35">
        <f>'Financial Statements'!B68/'Financial Statements'!B27</f>
        <v>3.124822127430853E-3</v>
      </c>
      <c r="D48" s="35">
        <f>'Financial Statements'!C68/'Financial Statements'!C27</f>
        <v>3.7775565837141027E-3</v>
      </c>
      <c r="E48" s="35">
        <f>'Financial Statements'!D68/'Financial Statements'!D27</f>
        <v>3.7654767120949319E-3</v>
      </c>
    </row>
    <row r="49" spans="1:6" x14ac:dyDescent="0.2">
      <c r="A49" s="18"/>
      <c r="B49" s="3" t="s">
        <v>133</v>
      </c>
      <c r="C49" s="35">
        <f>'Financial Statements'!B102/'Financial Statements'!B22</f>
        <v>-0.14870294480125848</v>
      </c>
      <c r="D49" s="35">
        <f>'Financial Statements'!C102/'Financial Statements'!C22</f>
        <v>-0.15279890156316012</v>
      </c>
      <c r="E49" s="35">
        <f>'Financial Statements'!D102/'Financial Statements'!D22</f>
        <v>-0.24526658654264863</v>
      </c>
    </row>
    <row r="50" spans="1:6" x14ac:dyDescent="0.2">
      <c r="A50" s="18">
        <f>+A48+0.1</f>
        <v>5.5999999999999979</v>
      </c>
      <c r="B50" s="1" t="s">
        <v>134</v>
      </c>
      <c r="C50" s="35">
        <f>'Financial Statements'!B102/'Financial Statements'!B27</f>
        <v>-9.1520929099307886E-4</v>
      </c>
      <c r="D50" s="35">
        <f>'Financial Statements'!C102/'Financial Statements'!C27</f>
        <v>-8.6622144708498852E-4</v>
      </c>
      <c r="E50" s="35">
        <f>'Financial Statements'!D102/'Financial Statements'!D27</f>
        <v>-8.1148590555424381E-4</v>
      </c>
    </row>
    <row r="51" spans="1:6" x14ac:dyDescent="0.2">
      <c r="A51" s="18">
        <f t="shared" ref="A51:A54" si="6">+A49+0.1</f>
        <v>0.1</v>
      </c>
      <c r="B51" s="3" t="s">
        <v>135</v>
      </c>
      <c r="C51" s="29">
        <f>(14840/'Financial Statements'!B27)/C44</f>
        <v>5.1703255557258309E-6</v>
      </c>
      <c r="D51" s="29">
        <f>(14840/'Financial Statements'!C27)/D44</f>
        <v>6.6808652280150309E-6</v>
      </c>
      <c r="E51" s="29">
        <f>(14840/'Financial Statements'!D27)/E44</f>
        <v>1.1557121095155038E-5</v>
      </c>
    </row>
    <row r="52" spans="1:6" x14ac:dyDescent="0.2">
      <c r="A52" s="18">
        <f t="shared" si="6"/>
        <v>5.6999999999999975</v>
      </c>
      <c r="B52" s="1" t="s">
        <v>136</v>
      </c>
      <c r="C52" s="28">
        <f>'Financial Statements'!B22/'Financial Statements'!B68</f>
        <v>1.9695887275023682</v>
      </c>
      <c r="D52" s="28">
        <f>'Financial Statements'!C22/'Financial Statements'!C68</f>
        <v>1.5007132667617689</v>
      </c>
      <c r="E52" s="28">
        <f>'Financial Statements'!D22/'Financial Statements'!D68</f>
        <v>0.87866358530127486</v>
      </c>
    </row>
    <row r="53" spans="1:6" x14ac:dyDescent="0.2">
      <c r="A53" s="18">
        <f t="shared" si="6"/>
        <v>0.2</v>
      </c>
      <c r="B53" s="1" t="s">
        <v>137</v>
      </c>
      <c r="C53" s="28">
        <f>C21/('Financial Statements'!B48-'Financial Statements'!B56)</f>
        <v>0.60087134570590572</v>
      </c>
      <c r="D53" s="28">
        <f>D21/('Financial Statements'!C48-'Financial Statements'!C56)</f>
        <v>0.48309913489209433</v>
      </c>
      <c r="E53" s="28">
        <f>E21/('Financial Statements'!D48-'Financial Statements'!D56)</f>
        <v>0.30338312829525482</v>
      </c>
    </row>
    <row r="54" spans="1:6" x14ac:dyDescent="0.2">
      <c r="A54" s="18">
        <f t="shared" si="6"/>
        <v>5.7999999999999972</v>
      </c>
      <c r="B54" s="1" t="s">
        <v>138</v>
      </c>
      <c r="C54" s="28">
        <f>'Financial Statements'!B22/'Financial Statements'!B48</f>
        <v>0.28292440929256851</v>
      </c>
      <c r="D54" s="28">
        <f>'Financial Statements'!C22/'Financial Statements'!C48</f>
        <v>0.26974205275183616</v>
      </c>
      <c r="E54" s="28">
        <f>'Financial Statements'!D22/'Financial Statements'!D48</f>
        <v>0.1772557180259843</v>
      </c>
    </row>
    <row r="55" spans="1:6" x14ac:dyDescent="0.2">
      <c r="A55" s="18"/>
      <c r="B55" s="1" t="s">
        <v>128</v>
      </c>
      <c r="C55" s="34">
        <f>C56/C19</f>
        <v>22100.902889746136</v>
      </c>
      <c r="D55" s="34">
        <f t="shared" ref="D55:E55" si="7">D56/D19</f>
        <v>18396.441924984887</v>
      </c>
      <c r="E55" s="34">
        <f t="shared" si="7"/>
        <v>16265.034287523749</v>
      </c>
    </row>
    <row r="56" spans="1:6" x14ac:dyDescent="0.2">
      <c r="B56" s="1" t="s">
        <v>139</v>
      </c>
      <c r="C56" s="34">
        <f>C57+('Financial Statements'!B55+'Financial Statements'!B59-'Financial Statements'!B110)</f>
        <v>2870310561</v>
      </c>
      <c r="D56" s="34">
        <f>D57+('Financial Statements'!C55+'Financial Statements'!C59-'Financial Statements'!C110)</f>
        <v>2221351966</v>
      </c>
      <c r="E56" s="34">
        <f>E57+('Financial Statements'!D55+'Financial Statements'!D59-'Financial Statements'!D110)</f>
        <v>1284124457</v>
      </c>
    </row>
    <row r="57" spans="1:6" x14ac:dyDescent="0.2">
      <c r="B57" s="3" t="s">
        <v>140</v>
      </c>
      <c r="C57" s="34">
        <f>C44*'Financial Statements'!B27</f>
        <v>2870225451</v>
      </c>
      <c r="D57" s="34">
        <f>D44*'Financial Statements'!C27</f>
        <v>2221269176</v>
      </c>
      <c r="E57" s="34">
        <f>E44*'Financial Statements'!D27</f>
        <v>1284056806</v>
      </c>
    </row>
    <row r="58" spans="1:6" x14ac:dyDescent="0.2">
      <c r="B58" s="1" t="s">
        <v>156</v>
      </c>
    </row>
    <row r="60" spans="1:6" x14ac:dyDescent="0.2">
      <c r="B60" s="7" t="s">
        <v>157</v>
      </c>
      <c r="C60" s="25">
        <f>'Financial Statements'!B8/'Financial Statements'!C8-1</f>
        <v>7.7937876041846099E-2</v>
      </c>
      <c r="D60" s="25">
        <f>'Financial Statements'!C8/'Financial Statements'!D8-1</f>
        <v>0.33259384733074704</v>
      </c>
      <c r="E60" s="25">
        <f>'Financial Statements'!D8/260174-1</f>
        <v>5.5120803769784787E-2</v>
      </c>
    </row>
    <row r="61" spans="1:6" x14ac:dyDescent="0.2">
      <c r="B61" s="1" t="s">
        <v>158</v>
      </c>
      <c r="C61" s="25">
        <f>'Financial Statements'!B6/'Financial Statements'!C6-1</f>
        <v>6.3239764351428418E-2</v>
      </c>
      <c r="D61" s="25">
        <f>'Financial Statements'!C6/'Financial Statements'!D6-1</f>
        <v>0.34720743656765429</v>
      </c>
    </row>
    <row r="62" spans="1:6" x14ac:dyDescent="0.2">
      <c r="B62" s="1" t="s">
        <v>159</v>
      </c>
      <c r="C62" s="25">
        <f>'Financial Statements'!B7/'Financial Statements'!C7-1</f>
        <v>0.14181951041286078</v>
      </c>
      <c r="D62" s="25">
        <f>'Financial Statements'!C7/'Financial Statements'!D7-1</f>
        <v>0.27259708376729663</v>
      </c>
    </row>
    <row r="63" spans="1:6" x14ac:dyDescent="0.2">
      <c r="B63" s="1" t="s">
        <v>160</v>
      </c>
      <c r="C63" s="25">
        <f>'Financial Statements'!B8/'Financial Statements'!B12-1</f>
        <v>0.76396804237159244</v>
      </c>
      <c r="D63" s="25">
        <f>'Financial Statements'!C8/'Financial Statements'!C12-1</f>
        <v>0.71760391772036014</v>
      </c>
      <c r="E63" s="25">
        <f>'Financial Statements'!D8/'Financial Statements'!D12-1</f>
        <v>0.61899397849716031</v>
      </c>
      <c r="F63" s="37"/>
    </row>
    <row r="64" spans="1:6" x14ac:dyDescent="0.2">
      <c r="B64" s="1" t="s">
        <v>89</v>
      </c>
      <c r="C64" s="25">
        <f>C63/D63-1</f>
        <v>6.4609631450339711E-2</v>
      </c>
      <c r="D64" s="25">
        <f>D63/E63-1</f>
        <v>0.15930678269700205</v>
      </c>
      <c r="E64" s="25">
        <f>E63/F65-1</f>
        <v>1.778685085400844E-2</v>
      </c>
      <c r="F64" s="37"/>
    </row>
    <row r="65" spans="2:6" x14ac:dyDescent="0.2">
      <c r="B65" s="1" t="s">
        <v>161</v>
      </c>
      <c r="C65" s="25">
        <f>'Financial Statements'!B16/'Financial Statements'!C16-1</f>
        <v>0.14203795567287125</v>
      </c>
      <c r="D65" s="25">
        <f>'Financial Statements'!C16/'Financial Statements'!D16-1</f>
        <v>0.10328379192608961</v>
      </c>
      <c r="E65" s="25">
        <f>'Financial Statements'!D16/18245-1</f>
        <v>9.1586736092080123E-2</v>
      </c>
      <c r="F65" s="38">
        <f>260174/161782-1</f>
        <v>0.60817643495568108</v>
      </c>
    </row>
    <row r="66" spans="2:6" x14ac:dyDescent="0.2">
      <c r="B66" s="1" t="s">
        <v>163</v>
      </c>
      <c r="C66" s="30">
        <f>'Financial Statements'!B15/'Financial Statements'!C15-1</f>
        <v>0.19791001186456136</v>
      </c>
      <c r="D66" s="30">
        <f>'Financial Statements'!C15/'Financial Statements'!D15-1</f>
        <v>0.16862201365187723</v>
      </c>
      <c r="E66" s="25">
        <f>'Financial Statements'!D15/16127-1</f>
        <v>0.1627705090841447</v>
      </c>
      <c r="F66" s="37"/>
    </row>
    <row r="67" spans="2:6" x14ac:dyDescent="0.2">
      <c r="B67" s="1" t="s">
        <v>164</v>
      </c>
    </row>
    <row r="68" spans="2:6" x14ac:dyDescent="0.2">
      <c r="B68" s="11" t="s">
        <v>91</v>
      </c>
      <c r="C68" s="25">
        <f>'Financial Statements'!B48/'Financial Statements'!C48-1</f>
        <v>4.994273536902849E-3</v>
      </c>
      <c r="D68" s="25">
        <f>'Financial Statements'!C48/'Financial Statements'!D48-1</f>
        <v>8.3714123400681739E-2</v>
      </c>
      <c r="E68" s="25">
        <f>'Financial Statements'!D48/338516-1</f>
        <v>-4.3212137683300011E-2</v>
      </c>
    </row>
    <row r="69" spans="2:6" x14ac:dyDescent="0.2">
      <c r="B69" s="1" t="s">
        <v>165</v>
      </c>
      <c r="C69" s="31">
        <f>'Financial Statements'!B62/'Financial Statements'!C62-1</f>
        <v>4.9219900525160565E-2</v>
      </c>
      <c r="D69" s="31">
        <f>'Financial Statements'!C62/'Financial Statements'!D62-1</f>
        <v>0.11356841449783217</v>
      </c>
      <c r="E69" s="30">
        <f>'Financial Statements'!D62/248028-1</f>
        <v>4.2418597900237165E-2</v>
      </c>
    </row>
    <row r="70" spans="2:6" x14ac:dyDescent="0.2">
      <c r="B70" s="1" t="s">
        <v>166</v>
      </c>
      <c r="C70" s="25">
        <f>'Financial Statements'!B68/'Financial Statements'!C68-1</f>
        <v>-0.19682992550324929</v>
      </c>
      <c r="D70" s="25">
        <f>'Financial Statements'!C68/'Financial Statements'!D68-1</f>
        <v>-3.4420483937617652E-2</v>
      </c>
      <c r="E70" s="25">
        <f>'Financial Statements'!D68/90488-1</f>
        <v>-0.27792635487578465</v>
      </c>
    </row>
    <row r="71" spans="2:6" x14ac:dyDescent="0.2">
      <c r="B71" s="1" t="s">
        <v>167</v>
      </c>
    </row>
    <row r="74" spans="2:6" x14ac:dyDescent="0.2">
      <c r="B74" s="17"/>
      <c r="C74" s="25">
        <f>'Financial Statements'!B12/'Financial Statements'!B8</f>
        <v>0.56690369438639909</v>
      </c>
      <c r="D74" s="25">
        <f>'Financial Statements'!C12/'Financial Statements'!C8</f>
        <v>0.58220640374832222</v>
      </c>
      <c r="E74" s="25">
        <f>'Financial Statements'!D12/'Financial Statements'!D8</f>
        <v>0.61766752272189129</v>
      </c>
    </row>
    <row r="75" spans="2:6" x14ac:dyDescent="0.2">
      <c r="B75" s="1" t="s">
        <v>146</v>
      </c>
      <c r="C75" s="25">
        <f>'Financial Statements'!B13/'Financial Statements'!B8</f>
        <v>0.43309630561360085</v>
      </c>
      <c r="D75" s="25">
        <f>'Financial Statements'!C13/'Financial Statements'!C8</f>
        <v>0.41779359625167778</v>
      </c>
      <c r="E75" s="25">
        <f>'Financial Statements'!D13/'Financial Statements'!D8</f>
        <v>0.38233247727810865</v>
      </c>
    </row>
    <row r="76" spans="2:6" x14ac:dyDescent="0.2">
      <c r="B76" s="1" t="s">
        <v>89</v>
      </c>
    </row>
    <row r="77" spans="2:6" x14ac:dyDescent="0.2">
      <c r="B77" s="1" t="s">
        <v>90</v>
      </c>
      <c r="C77" s="31">
        <f>'Financial Statements'!B16/'Financial Statements'!B8</f>
        <v>6.3637378020328261E-2</v>
      </c>
      <c r="D77" s="31">
        <f>'Financial Statements'!C16/'Financial Statements'!C8</f>
        <v>6.006555190163388E-2</v>
      </c>
      <c r="E77" s="31">
        <f>'Financial Statements'!D16/'Financial Statements'!D8</f>
        <v>7.2549769593646979E-2</v>
      </c>
    </row>
    <row r="78" spans="2:6" x14ac:dyDescent="0.2">
      <c r="B78" s="1" t="s">
        <v>162</v>
      </c>
      <c r="C78" s="25">
        <f>'Financial Statements'!B15/'Financial Statements'!B8</f>
        <v>6.657148363798665E-2</v>
      </c>
      <c r="D78" s="25">
        <f>'Financial Statements'!C15/'Financial Statements'!C8</f>
        <v>5.9904269074427925E-2</v>
      </c>
      <c r="E78" s="25">
        <f>'Financial Statements'!D15/'Financial Statements'!D8</f>
        <v>6.8309564140393061E-2</v>
      </c>
    </row>
    <row r="79" spans="2:6" x14ac:dyDescent="0.2">
      <c r="B79" s="1" t="s">
        <v>168</v>
      </c>
    </row>
    <row r="80" spans="2:6" x14ac:dyDescent="0.2">
      <c r="C80" s="25">
        <f>'Financial Statements'!B18/'Financial Statements'!B8</f>
        <v>0.30288744395528594</v>
      </c>
      <c r="D80" s="25">
        <f>'Financial Statements'!C18/'Financial Statements'!C8</f>
        <v>0.29782377527561593</v>
      </c>
      <c r="E80" s="25">
        <f>'Financial Statements'!D18/'Financial Statements'!D8</f>
        <v>0.24147314354406862</v>
      </c>
    </row>
    <row r="81" spans="2:5" x14ac:dyDescent="0.2">
      <c r="B81" s="1" t="s">
        <v>14</v>
      </c>
      <c r="C81" s="25">
        <f>'Financial Statements'!B22/'Financial Statements'!B8</f>
        <v>0.25309640705199732</v>
      </c>
      <c r="D81" s="25">
        <f>'Financial Statements'!C22/'Financial Statements'!C8</f>
        <v>0.25881793355694238</v>
      </c>
      <c r="E81" s="25">
        <f>'Financial Statements'!D22/'Financial Statements'!D8</f>
        <v>0.20913611278072236</v>
      </c>
    </row>
    <row r="82" spans="2:5" x14ac:dyDescent="0.2">
      <c r="B82" s="1" t="s">
        <v>93</v>
      </c>
    </row>
    <row r="84" spans="2:5" x14ac:dyDescent="0.2">
      <c r="B84" s="17"/>
      <c r="C84" s="25">
        <f>'Financial Statements'!B19/'List of Ratios'!C21</f>
        <v>-2.7964533603489707E-3</v>
      </c>
      <c r="D84" s="25">
        <f>'Financial Statements'!C19/'List of Ratios'!D21</f>
        <v>2.3680804780218268E-3</v>
      </c>
      <c r="E84" s="25">
        <f>'Financial Statements'!D19/'List of Ratios'!E21</f>
        <v>1.211380642046826E-2</v>
      </c>
    </row>
    <row r="85" spans="2:5" x14ac:dyDescent="0.2">
      <c r="B85" s="1" t="s">
        <v>94</v>
      </c>
      <c r="C85" s="25">
        <f>C33/'Financial Statements'!B8</f>
        <v>2.960226004747317E-2</v>
      </c>
      <c r="D85" s="25">
        <f>D33/'Financial Statements'!C8</f>
        <v>6.5797926285547145E-3</v>
      </c>
      <c r="E85" s="25">
        <f>E33/'Financial Statements'!D8</f>
        <v>-3.2967233120230227E-2</v>
      </c>
    </row>
    <row r="86" spans="2:5" x14ac:dyDescent="0.2">
      <c r="B86" s="1" t="s">
        <v>95</v>
      </c>
      <c r="C86" s="25">
        <f>C33/'Financial Statements'!B48</f>
        <v>3.309095547901518E-2</v>
      </c>
      <c r="D86" s="25">
        <f>D33/'Financial Statements'!C48</f>
        <v>6.8575107834143393E-3</v>
      </c>
      <c r="E86" s="25">
        <f>E33/'Financial Statements'!D48</f>
        <v>-2.7941757644617891E-2</v>
      </c>
    </row>
    <row r="87" spans="2:5" x14ac:dyDescent="0.2">
      <c r="B87" s="1" t="s">
        <v>96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2020-05-18T16:32:37Z</dcterms:created>
  <dcterms:modified xsi:type="dcterms:W3CDTF">2024-10-14T21:43:14Z</dcterms:modified>
</cp:coreProperties>
</file>