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petrosleras/Desktop/QCP/"/>
    </mc:Choice>
  </mc:AlternateContent>
  <xr:revisionPtr revIDLastSave="0" documentId="13_ncr:1_{E0550F06-54FB-AB4E-9033-A076FEDAA145}" xr6:coauthVersionLast="47" xr6:coauthVersionMax="47" xr10:uidLastSave="{00000000-0000-0000-0000-000000000000}"/>
  <bookViews>
    <workbookView xWindow="38180" yWindow="500" windowWidth="19120" windowHeight="194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" l="1"/>
  <c r="E36" i="3"/>
  <c r="C36" i="3"/>
  <c r="D42" i="3"/>
  <c r="E42" i="3"/>
  <c r="C42" i="3"/>
  <c r="E41" i="3"/>
  <c r="D41" i="3"/>
  <c r="C41" i="3"/>
  <c r="D7" i="3"/>
  <c r="E7" i="3"/>
  <c r="C7" i="3"/>
  <c r="D6" i="3"/>
  <c r="E6" i="3"/>
  <c r="C6" i="3"/>
  <c r="E32" i="3"/>
  <c r="D32" i="3"/>
  <c r="C32" i="3"/>
  <c r="D33" i="3"/>
  <c r="D31" i="3" s="1"/>
  <c r="D30" i="3" s="1"/>
  <c r="E33" i="3"/>
  <c r="C33" i="3"/>
  <c r="C31" i="3" l="1"/>
  <c r="C30" i="3" s="1"/>
  <c r="E31" i="3"/>
  <c r="E30" i="3" s="1"/>
  <c r="D57" i="3"/>
  <c r="E57" i="3"/>
  <c r="C57" i="3"/>
  <c r="D53" i="3"/>
  <c r="E53" i="3"/>
  <c r="C53" i="3"/>
  <c r="D51" i="3"/>
  <c r="E51" i="3"/>
  <c r="C51" i="3"/>
  <c r="D50" i="3"/>
  <c r="E50" i="3"/>
  <c r="C50" i="3"/>
  <c r="D49" i="3"/>
  <c r="E49" i="3"/>
  <c r="C49" i="3"/>
  <c r="D55" i="3" l="1"/>
  <c r="E55" i="3"/>
  <c r="C55" i="3"/>
  <c r="D46" i="3"/>
  <c r="E46" i="3"/>
  <c r="C46" i="3"/>
  <c r="C45" i="3"/>
  <c r="D45" i="3"/>
  <c r="E45" i="3"/>
  <c r="D40" i="3"/>
  <c r="E40" i="3"/>
  <c r="C40" i="3"/>
  <c r="D39" i="3"/>
  <c r="E39" i="3"/>
  <c r="C39" i="3"/>
  <c r="D38" i="3"/>
  <c r="D37" i="3" s="1"/>
  <c r="E38" i="3"/>
  <c r="E37" i="3" s="1"/>
  <c r="C38" i="3"/>
  <c r="C37" i="3" s="1"/>
  <c r="E44" i="3" l="1"/>
  <c r="E47" i="3"/>
  <c r="E48" i="3" s="1"/>
  <c r="E52" i="3"/>
  <c r="D44" i="3"/>
  <c r="D47" i="3"/>
  <c r="D48" i="3" s="1"/>
  <c r="D52" i="3"/>
  <c r="C44" i="3"/>
  <c r="C47" i="3"/>
  <c r="C48" i="3" s="1"/>
  <c r="C52" i="3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 l="1"/>
  <c r="E21" i="3"/>
  <c r="C21" i="3"/>
  <c r="D19" i="3"/>
  <c r="E19" i="3"/>
  <c r="C19" i="3"/>
  <c r="E17" i="3"/>
  <c r="D17" i="3"/>
  <c r="C17" i="3"/>
  <c r="D14" i="3"/>
  <c r="D13" i="3" s="1"/>
  <c r="E14" i="3"/>
  <c r="E13" i="3" s="1"/>
  <c r="C14" i="3"/>
  <c r="C13" i="3" s="1"/>
  <c r="D11" i="3"/>
  <c r="E11" i="3"/>
  <c r="C11" i="3"/>
  <c r="D10" i="3"/>
  <c r="E10" i="3"/>
  <c r="C10" i="3"/>
  <c r="D9" i="3"/>
  <c r="E9" i="3"/>
  <c r="C9" i="3"/>
  <c r="D8" i="3"/>
  <c r="E8" i="3"/>
  <c r="C8" i="3"/>
  <c r="D18" i="3" l="1"/>
  <c r="D56" i="3"/>
  <c r="E28" i="3"/>
  <c r="E54" i="3"/>
  <c r="C18" i="3"/>
  <c r="C56" i="3"/>
  <c r="E18" i="3"/>
  <c r="E56" i="3"/>
  <c r="C28" i="3"/>
  <c r="C54" i="3"/>
  <c r="D28" i="3"/>
  <c r="D54" i="3"/>
  <c r="C12" i="3"/>
  <c r="D12" i="3"/>
  <c r="E12" i="3"/>
  <c r="C20" i="3"/>
  <c r="E20" i="3"/>
  <c r="D20" i="3"/>
  <c r="D5" i="3"/>
  <c r="E5" i="3"/>
  <c r="C5" i="3"/>
  <c r="D109" i="2"/>
  <c r="D110" i="2"/>
  <c r="D107" i="2"/>
  <c r="D106" i="2"/>
  <c r="D105" i="2"/>
  <c r="D104" i="2"/>
  <c r="D103" i="2"/>
  <c r="D101" i="2"/>
  <c r="D95" i="2"/>
  <c r="D98" i="2" s="1"/>
  <c r="D97" i="2"/>
  <c r="D96" i="2"/>
  <c r="D93" i="2"/>
  <c r="D92" i="2"/>
  <c r="D90" i="2"/>
  <c r="D89" i="2"/>
  <c r="D88" i="2"/>
  <c r="D87" i="2"/>
  <c r="D86" i="2"/>
  <c r="D83" i="2"/>
  <c r="D84" i="2"/>
  <c r="D81" i="2"/>
  <c r="D80" i="2"/>
  <c r="D79" i="2"/>
  <c r="D78" i="2"/>
  <c r="D76" i="2"/>
  <c r="D74" i="2"/>
  <c r="C109" i="2"/>
  <c r="C110" i="2"/>
  <c r="C106" i="2"/>
  <c r="C107" i="2" s="1"/>
  <c r="C105" i="2"/>
  <c r="C102" i="2"/>
  <c r="C104" i="2"/>
  <c r="C103" i="2"/>
  <c r="C101" i="2"/>
  <c r="D69" i="2"/>
  <c r="D68" i="2"/>
  <c r="D65" i="2"/>
  <c r="D66" i="2"/>
  <c r="D67" i="2"/>
  <c r="D62" i="2"/>
  <c r="D61" i="2"/>
  <c r="D60" i="2"/>
  <c r="D59" i="2"/>
  <c r="D58" i="2"/>
  <c r="D56" i="2"/>
  <c r="D55" i="2"/>
  <c r="D53" i="2"/>
  <c r="D51" i="2"/>
  <c r="D48" i="2"/>
  <c r="D47" i="2"/>
  <c r="D46" i="2"/>
  <c r="D45" i="2"/>
  <c r="D42" i="2"/>
  <c r="D39" i="2"/>
  <c r="D38" i="2"/>
  <c r="D37" i="2"/>
  <c r="D36" i="2"/>
  <c r="B107" i="2"/>
  <c r="C98" i="2"/>
  <c r="C92" i="2"/>
  <c r="C93" i="2"/>
  <c r="C96" i="2"/>
  <c r="C97" i="2"/>
  <c r="C95" i="2"/>
  <c r="C81" i="2"/>
  <c r="C89" i="2"/>
  <c r="C88" i="2"/>
  <c r="C87" i="2"/>
  <c r="C86" i="2"/>
  <c r="C84" i="2"/>
  <c r="C83" i="2"/>
  <c r="C80" i="2"/>
  <c r="C79" i="2"/>
  <c r="C78" i="2"/>
  <c r="C76" i="2"/>
  <c r="C74" i="2"/>
  <c r="B110" i="2"/>
  <c r="B106" i="2"/>
  <c r="B101" i="2"/>
  <c r="B104" i="2"/>
  <c r="B103" i="2"/>
  <c r="B98" i="2"/>
  <c r="B93" i="2"/>
  <c r="B97" i="2"/>
  <c r="B96" i="2"/>
  <c r="B95" i="2"/>
  <c r="B92" i="2"/>
  <c r="B81" i="2"/>
  <c r="B79" i="2"/>
  <c r="B89" i="2"/>
  <c r="B88" i="2"/>
  <c r="B86" i="2"/>
  <c r="B87" i="2"/>
  <c r="B83" i="2"/>
  <c r="B84" i="2"/>
  <c r="B80" i="2"/>
  <c r="B78" i="2"/>
  <c r="B76" i="2"/>
  <c r="B90" i="2" s="1"/>
  <c r="B74" i="2"/>
  <c r="B109" i="2" s="1"/>
  <c r="C65" i="2"/>
  <c r="C66" i="2"/>
  <c r="C68" i="2" s="1"/>
  <c r="C69" i="2" s="1"/>
  <c r="C67" i="2"/>
  <c r="C61" i="2"/>
  <c r="C60" i="2"/>
  <c r="C59" i="2"/>
  <c r="C58" i="2"/>
  <c r="C55" i="2"/>
  <c r="C53" i="2"/>
  <c r="C51" i="2"/>
  <c r="C56" i="2" s="1"/>
  <c r="C62" i="2" s="1"/>
  <c r="C46" i="2"/>
  <c r="C45" i="2"/>
  <c r="C47" i="2" s="1"/>
  <c r="C39" i="2"/>
  <c r="C38" i="2"/>
  <c r="C37" i="2"/>
  <c r="C36" i="2"/>
  <c r="C42" i="2" s="1"/>
  <c r="B65" i="2"/>
  <c r="B67" i="2"/>
  <c r="B66" i="2"/>
  <c r="B58" i="2"/>
  <c r="B61" i="2" s="1"/>
  <c r="B62" i="2" s="1"/>
  <c r="B60" i="2"/>
  <c r="B59" i="2"/>
  <c r="B55" i="2"/>
  <c r="B53" i="2"/>
  <c r="B51" i="2"/>
  <c r="B56" i="2" s="1"/>
  <c r="B46" i="2"/>
  <c r="B45" i="2"/>
  <c r="B47" i="2" s="1"/>
  <c r="B39" i="2"/>
  <c r="B38" i="2"/>
  <c r="B37" i="2"/>
  <c r="B36" i="2"/>
  <c r="B42" i="2" s="1"/>
  <c r="D28" i="2"/>
  <c r="D27" i="2"/>
  <c r="C28" i="2"/>
  <c r="C27" i="2"/>
  <c r="B28" i="2"/>
  <c r="B27" i="2"/>
  <c r="D25" i="2"/>
  <c r="C25" i="2"/>
  <c r="B25" i="2"/>
  <c r="D24" i="2"/>
  <c r="C24" i="2"/>
  <c r="B24" i="2"/>
  <c r="D21" i="2"/>
  <c r="D19" i="2"/>
  <c r="D12" i="2"/>
  <c r="D17" i="2" s="1"/>
  <c r="D10" i="2"/>
  <c r="D16" i="2"/>
  <c r="D15" i="2"/>
  <c r="B7" i="2"/>
  <c r="B6" i="2"/>
  <c r="D7" i="2"/>
  <c r="D8" i="2" s="1"/>
  <c r="D6" i="2"/>
  <c r="C21" i="2"/>
  <c r="C19" i="2"/>
  <c r="C16" i="2"/>
  <c r="C15" i="2"/>
  <c r="B21" i="2"/>
  <c r="B19" i="2"/>
  <c r="B16" i="2"/>
  <c r="B15" i="2"/>
  <c r="C12" i="2"/>
  <c r="C17" i="2" s="1"/>
  <c r="C10" i="2"/>
  <c r="C7" i="2"/>
  <c r="C6" i="2"/>
  <c r="C8" i="2" s="1"/>
  <c r="B10" i="2"/>
  <c r="B12" i="2" s="1"/>
  <c r="B17" i="2" s="1"/>
  <c r="B48" i="2" l="1"/>
  <c r="D13" i="2"/>
  <c r="D18" i="2"/>
  <c r="D20" i="2" s="1"/>
  <c r="C48" i="2"/>
  <c r="C13" i="2"/>
  <c r="C18" i="2"/>
  <c r="C20" i="2" s="1"/>
  <c r="C22" i="2" s="1"/>
  <c r="C90" i="2"/>
  <c r="D22" i="2"/>
  <c r="B68" i="2"/>
  <c r="B69" i="2" s="1"/>
  <c r="B8" i="2"/>
  <c r="B18" i="2" s="1"/>
  <c r="B20" i="2" s="1"/>
  <c r="B22" i="2" s="1"/>
  <c r="A49" i="3"/>
  <c r="A51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B13" i="2" l="1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5" i="3" l="1"/>
  <c r="A36" i="3" s="1"/>
  <c r="A37" i="3" s="1"/>
  <c r="A38" i="3" s="1"/>
  <c r="A40" i="3"/>
  <c r="A42" i="3" s="1"/>
  <c r="A43" i="3" s="1"/>
  <c r="A44" i="3" s="1"/>
  <c r="A45" i="3" s="1"/>
  <c r="A46" i="3" s="1"/>
  <c r="A48" i="3" s="1"/>
  <c r="A50" i="3" s="1"/>
  <c r="A52" i="3" s="1"/>
</calcChain>
</file>

<file path=xl/sharedStrings.xml><?xml version="1.0" encoding="utf-8"?>
<sst xmlns="http://schemas.openxmlformats.org/spreadsheetml/2006/main" count="171" uniqueCount="156">
  <si>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</si>
  <si>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</si>
  <si>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</si>
  <si>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</si>
  <si>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</si>
  <si>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</si>
  <si>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</si>
  <si>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</si>
  <si>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</si>
  <si>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</si>
  <si>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</si>
  <si>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</si>
  <si>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</si>
  <si>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</si>
  <si>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</si>
  <si>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</si>
  <si>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</si>
  <si>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</si>
  <si>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</si>
  <si>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</si>
  <si>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</si>
  <si>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</si>
  <si>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</si>
  <si>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</si>
  <si>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</si>
  <si>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</si>
  <si>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</si>
  <si>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</si>
  <si>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</si>
  <si>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</si>
  <si>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</si>
  <si>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</si>
  <si>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</si>
  <si>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</si>
  <si>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</si>
  <si>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</si>
  <si>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</si>
  <si>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</si>
  <si>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</si>
  <si>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</si>
  <si>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</si>
  <si>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</si>
  <si>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</si>
  <si>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</si>
  <si>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</si>
  <si>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</si>
  <si>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</si>
  <si>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</si>
  <si>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</si>
  <si>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</si>
  <si>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</si>
  <si>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</si>
  <si>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</si>
  <si>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</si>
  <si>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</si>
  <si>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</si>
  <si>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</si>
  <si>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</si>
  <si>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</si>
  <si>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</si>
  <si>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</si>
  <si>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</si>
  <si>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</si>
  <si>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</si>
  <si>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 xml:space="preserve">  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</si>
  <si>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</si>
  <si>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</si>
  <si>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</si>
  <si>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</si>
  <si>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</si>
  <si>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</si>
  <si>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</si>
  <si>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Selling, general and administrative</t>
  </si>
  <si>
    <t>Total operating expenses</t>
  </si>
  <si>
    <t>Operating income</t>
  </si>
  <si>
    <t>Income before 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</si>
  <si>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</si>
  <si>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</si>
  <si>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</si>
  <si>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</si>
  <si>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</si>
  <si>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</si>
  <si>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</si>
  <si>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</si>
  <si>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</si>
  <si>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</si>
  <si>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</si>
  <si>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</si>
  <si>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</si>
  <si>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</si>
  <si>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</si>
  <si>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</si>
  <si>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</si>
  <si>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</si>
  <si>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</si>
  <si>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</si>
  <si>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</si>
  <si>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</si>
  <si>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</si>
  <si>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</si>
  <si>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</si>
  <si>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</si>
  <si>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</si>
  <si>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</si>
  <si>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</si>
  <si>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</si>
  <si>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</si>
  <si>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</si>
  <si>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</si>
  <si>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</si>
  <si>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</si>
  <si>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</si>
  <si>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</si>
  <si>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</si>
  <si>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</si>
  <si>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</si>
  <si>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</si>
  <si>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</si>
  <si>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</si>
  <si>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</si>
  <si>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</si>
  <si>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</si>
  <si>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</si>
  <si>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</si>
  <si>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</si>
  <si>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</si>
  <si>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</si>
  <si>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</si>
  <si>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</si>
  <si>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Repurchases of common stock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</si>
  <si>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</si>
  <si>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</si>
  <si>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</si>
  <si>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</si>
  <si>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</si>
  <si>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</si>
  <si>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</si>
  <si>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 xml:space="preserve">Research and development  </t>
  </si>
  <si>
    <t>Other income/(expense), net. {Interest income - Int. expense + other income}</t>
  </si>
  <si>
    <t>Provision for income taxes (incl. Equity method investment activity, net of tax</t>
  </si>
  <si>
    <t xml:space="preserve">Products </t>
  </si>
  <si>
    <t xml:space="preserve">Services </t>
  </si>
  <si>
    <t>Deferred revenue (long term lease)</t>
  </si>
  <si>
    <t>Common stock and additional paid in capital, $0.00001 par value: 12,600,000 shares authorized; 4,443,236 and 4,754,986 shares+ issued and outstanding, respectively+ Trasury stocl+ Preferred Stock + Additional paid in capital</t>
  </si>
  <si>
    <t>Other current and non current liabilities (accrued expenses)</t>
  </si>
  <si>
    <t xml:space="preserve"> Other (proceeds from property)</t>
  </si>
  <si>
    <t>Proceeds from issuance of term debt, net SHORT DEBT</t>
  </si>
  <si>
    <t>Repayments of term debt / LONG DEBT</t>
  </si>
  <si>
    <t>Payments for dividends and dividend equivalents (payment of short debt)</t>
  </si>
  <si>
    <t>FX Expense</t>
  </si>
  <si>
    <t>Ending Asset - Beginning asset</t>
  </si>
  <si>
    <t>Share Price $</t>
  </si>
  <si>
    <t>CAP RATE</t>
  </si>
  <si>
    <t>CAPEX</t>
  </si>
  <si>
    <t>NET DEBT ISSUED</t>
  </si>
  <si>
    <t>Asset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</si>
</sst>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[$$-409]* #,##0.00_);_([$$-409]* \(#,##0.00\);_([$$-409]* &quot;-&quot;??_);_(@_)"/>
    <numFmt numFmtId="167" formatCode="0.000"/>
    <numFmt numFmtId="168" formatCode="0.0%"/>
    <numFmt numFmtId="169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4" fontId="0" fillId="0" borderId="0" xfId="0" applyNumberFormat="1"/>
    <xf numFmtId="166" fontId="0" fillId="4" borderId="0" xfId="0" applyNumberFormat="1" applyFill="1"/>
    <xf numFmtId="166" fontId="0" fillId="0" borderId="0" xfId="0" applyNumberFormat="1"/>
    <xf numFmtId="166" fontId="0" fillId="4" borderId="0" xfId="3" applyNumberFormat="1" applyFont="1" applyFill="1"/>
    <xf numFmtId="167" fontId="0" fillId="0" borderId="0" xfId="0" applyNumberFormat="1"/>
    <xf numFmtId="2" fontId="0" fillId="0" borderId="0" xfId="0" applyNumberFormat="1"/>
    <xf numFmtId="168" fontId="0" fillId="0" borderId="0" xfId="4" applyNumberFormat="1" applyFont="1"/>
    <xf numFmtId="10" fontId="0" fillId="0" borderId="0" xfId="4" applyNumberFormat="1" applyFont="1"/>
    <xf numFmtId="16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ont="1" applyAlignment="1">
      <alignment horizontal="left" indent="1"/>
    </xf>
    <xf numFmtId="2" fontId="0" fillId="0" borderId="0" xfId="0" applyNumberFormat="1" applyFont="1"/>
    <xf numFmtId="0" fontId="0" fillId="0" borderId="0" xfId="0" applyFont="1"/>
    <xf numFmtId="0" fontId="0" fillId="0" borderId="0" xfId="4" applyNumberFormat="1" applyFont="1"/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 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workbookViewId="0">
      <selection activeCell="G35" sqref="G3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7" max="7" width="24.33203125" customWidth="1"/>
    <col min="8" max="8" width="16.83203125" customWidth="1"/>
  </cols>
  <sheetData>
    <row r="1" spans="1:10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34" t="s">
        <v>10</v>
      </c>
      <c r="B2" s="34"/>
      <c r="C2" s="34"/>
      <c r="D2" s="34"/>
    </row>
    <row r="3" spans="1:10" x14ac:dyDescent="0.2">
      <c r="B3" s="33" t="s">
        <v>57</v>
      </c>
      <c r="C3" s="33"/>
      <c r="D3" s="33"/>
    </row>
    <row r="4" spans="1:10" x14ac:dyDescent="0.2">
      <c r="B4" s="9">
        <v>2023</v>
      </c>
      <c r="C4" s="9">
        <v>2022</v>
      </c>
      <c r="D4" s="9">
        <v>2021</v>
      </c>
    </row>
    <row r="5" spans="1:10" x14ac:dyDescent="0.2">
      <c r="A5" t="s">
        <v>65</v>
      </c>
    </row>
    <row r="6" spans="1:10" x14ac:dyDescent="0.2">
      <c r="A6" s="1" t="s">
        <v>140</v>
      </c>
      <c r="B6" s="10">
        <f>255887</f>
        <v>255887</v>
      </c>
      <c r="C6">
        <f>242901</f>
        <v>242901</v>
      </c>
      <c r="D6" s="15">
        <f>241787</f>
        <v>241787</v>
      </c>
    </row>
    <row r="7" spans="1:10" x14ac:dyDescent="0.2">
      <c r="A7" s="1" t="s">
        <v>141</v>
      </c>
      <c r="B7" s="10">
        <f>318898</f>
        <v>318898</v>
      </c>
      <c r="C7">
        <f>271082</f>
        <v>271082</v>
      </c>
      <c r="D7" s="10">
        <f>228035</f>
        <v>228035</v>
      </c>
    </row>
    <row r="8" spans="1:10" x14ac:dyDescent="0.2">
      <c r="A8" s="11" t="s">
        <v>68</v>
      </c>
      <c r="B8" s="12">
        <f>B6+B7</f>
        <v>574785</v>
      </c>
      <c r="C8">
        <f>C6+C7</f>
        <v>513983</v>
      </c>
      <c r="D8" s="12">
        <f>D7+D6</f>
        <v>469822</v>
      </c>
    </row>
    <row r="9" spans="1:10" x14ac:dyDescent="0.2">
      <c r="A9" t="s">
        <v>69</v>
      </c>
      <c r="C9" s="10"/>
      <c r="D9" s="10"/>
    </row>
    <row r="10" spans="1:10" x14ac:dyDescent="0.2">
      <c r="A10" s="1" t="s">
        <v>66</v>
      </c>
      <c r="B10" s="10">
        <f>304739</f>
        <v>304739</v>
      </c>
      <c r="C10" s="10">
        <f>288831</f>
        <v>288831</v>
      </c>
      <c r="D10" s="10">
        <f>272344</f>
        <v>272344</v>
      </c>
    </row>
    <row r="11" spans="1:10" x14ac:dyDescent="0.2">
      <c r="A11" s="1" t="s">
        <v>67</v>
      </c>
      <c r="B11" s="10"/>
      <c r="C11" s="10"/>
      <c r="D11" s="10"/>
      <c r="G11" s="24"/>
      <c r="I11" t="s">
        <v>64</v>
      </c>
    </row>
    <row r="12" spans="1:10" x14ac:dyDescent="0.2">
      <c r="A12" s="11" t="s">
        <v>70</v>
      </c>
      <c r="B12" s="12">
        <f>B10</f>
        <v>304739</v>
      </c>
      <c r="C12" s="12">
        <f>C10</f>
        <v>288831</v>
      </c>
      <c r="D12" s="12">
        <f>D10</f>
        <v>272344</v>
      </c>
      <c r="G12" s="24"/>
    </row>
    <row r="13" spans="1:10" x14ac:dyDescent="0.2">
      <c r="A13" s="11" t="s">
        <v>11</v>
      </c>
      <c r="B13" s="12">
        <f>B8-B12</f>
        <v>270046</v>
      </c>
      <c r="C13" s="12">
        <f>C8-C10</f>
        <v>225152</v>
      </c>
      <c r="D13" s="12">
        <f>D8-D12</f>
        <v>197478</v>
      </c>
      <c r="F13" s="24"/>
    </row>
    <row r="14" spans="1:10" x14ac:dyDescent="0.2">
      <c r="A14" t="s">
        <v>71</v>
      </c>
      <c r="B14" s="10"/>
      <c r="C14" s="10"/>
    </row>
    <row r="15" spans="1:10" x14ac:dyDescent="0.2">
      <c r="A15" s="1" t="s">
        <v>137</v>
      </c>
      <c r="B15" s="10">
        <f>90619+85622</f>
        <v>176241</v>
      </c>
      <c r="C15" s="10">
        <f>157512</f>
        <v>157512</v>
      </c>
      <c r="D15" s="10">
        <f>75111+56052</f>
        <v>131163</v>
      </c>
      <c r="F15" s="24"/>
    </row>
    <row r="16" spans="1:10" x14ac:dyDescent="0.2">
      <c r="A16" s="1" t="s">
        <v>72</v>
      </c>
      <c r="B16" s="10">
        <f>44370+11816+767</f>
        <v>56953</v>
      </c>
      <c r="C16" s="10">
        <f>55392</f>
        <v>55392</v>
      </c>
      <c r="D16" s="10">
        <f>32551+8823+62</f>
        <v>41436</v>
      </c>
    </row>
    <row r="17" spans="1:7" x14ac:dyDescent="0.2">
      <c r="A17" s="11" t="s">
        <v>73</v>
      </c>
      <c r="B17" s="12">
        <f>B12+B15+B16</f>
        <v>537933</v>
      </c>
      <c r="C17" s="12">
        <f>C12+C15+C16</f>
        <v>501735</v>
      </c>
      <c r="D17" s="12">
        <f>D12+D15+D16</f>
        <v>444943</v>
      </c>
    </row>
    <row r="18" spans="1:7" s="11" customFormat="1" x14ac:dyDescent="0.2">
      <c r="A18" s="11" t="s">
        <v>74</v>
      </c>
      <c r="B18" s="12">
        <f>B8-B17</f>
        <v>36852</v>
      </c>
      <c r="C18" s="12">
        <f>C8-C17</f>
        <v>12248</v>
      </c>
      <c r="D18" s="12">
        <f>D8-D17</f>
        <v>24879</v>
      </c>
    </row>
    <row r="19" spans="1:7" x14ac:dyDescent="0.2">
      <c r="A19" t="s">
        <v>138</v>
      </c>
      <c r="B19" s="10">
        <f>2949-3182+938</f>
        <v>705</v>
      </c>
      <c r="C19" s="10">
        <f>989-2367-16806</f>
        <v>-18184</v>
      </c>
      <c r="D19" s="10">
        <f>448-1809+14633</f>
        <v>13272</v>
      </c>
    </row>
    <row r="20" spans="1:7" x14ac:dyDescent="0.2">
      <c r="A20" s="11" t="s">
        <v>75</v>
      </c>
      <c r="B20" s="12">
        <f>B18+B19</f>
        <v>37557</v>
      </c>
      <c r="C20" s="12">
        <f>C18+C19</f>
        <v>-5936</v>
      </c>
      <c r="D20" s="12">
        <f>D18+D19</f>
        <v>38151</v>
      </c>
    </row>
    <row r="21" spans="1:7" x14ac:dyDescent="0.2">
      <c r="A21" t="s">
        <v>139</v>
      </c>
      <c r="B21" s="10">
        <f>(7120+12)</f>
        <v>7132</v>
      </c>
      <c r="C21" s="10">
        <f>3217-3</f>
        <v>3214</v>
      </c>
      <c r="D21" s="10">
        <f>-4791+4</f>
        <v>-4787</v>
      </c>
    </row>
    <row r="22" spans="1:7" ht="16" thickBot="1" x14ac:dyDescent="0.25">
      <c r="A22" s="13" t="s">
        <v>76</v>
      </c>
      <c r="B22" s="14">
        <f>B20-B21</f>
        <v>30425</v>
      </c>
      <c r="C22" s="14">
        <f>C20+C21</f>
        <v>-2722</v>
      </c>
      <c r="D22" s="14">
        <f>D20+D21</f>
        <v>33364</v>
      </c>
    </row>
    <row r="23" spans="1:7" ht="16" thickTop="1" x14ac:dyDescent="0.2">
      <c r="A23" t="s">
        <v>77</v>
      </c>
    </row>
    <row r="24" spans="1:7" x14ac:dyDescent="0.2">
      <c r="A24" s="1" t="s">
        <v>78</v>
      </c>
      <c r="B24" s="25">
        <f>2.95</f>
        <v>2.95</v>
      </c>
      <c r="C24" s="25">
        <f>(-0.27)</f>
        <v>-0.27</v>
      </c>
      <c r="D24" s="27">
        <f>3.3</f>
        <v>3.3</v>
      </c>
      <c r="G24" s="26"/>
    </row>
    <row r="25" spans="1:7" x14ac:dyDescent="0.2">
      <c r="A25" s="1" t="s">
        <v>79</v>
      </c>
      <c r="B25" s="25">
        <f>2.9</f>
        <v>2.9</v>
      </c>
      <c r="C25" s="25">
        <f>(-0.27)</f>
        <v>-0.27</v>
      </c>
      <c r="D25" s="25">
        <f>3.24</f>
        <v>3.24</v>
      </c>
    </row>
    <row r="26" spans="1:7" x14ac:dyDescent="0.2">
      <c r="A26" t="s">
        <v>80</v>
      </c>
    </row>
    <row r="27" spans="1:7" x14ac:dyDescent="0.2">
      <c r="A27" s="1" t="s">
        <v>78</v>
      </c>
      <c r="B27">
        <f>10304</f>
        <v>10304</v>
      </c>
      <c r="C27" s="15">
        <f>10189</f>
        <v>10189</v>
      </c>
      <c r="D27" s="15">
        <f>10117</f>
        <v>10117</v>
      </c>
    </row>
    <row r="28" spans="1:7" x14ac:dyDescent="0.2">
      <c r="A28" s="1" t="s">
        <v>79</v>
      </c>
      <c r="B28" s="15">
        <f>10492</f>
        <v>10492</v>
      </c>
      <c r="C28" s="15">
        <f>10189</f>
        <v>10189</v>
      </c>
      <c r="D28" s="15">
        <f>10296</f>
        <v>10296</v>
      </c>
    </row>
    <row r="31" spans="1:7" x14ac:dyDescent="0.2">
      <c r="A31" s="34" t="s">
        <v>12</v>
      </c>
      <c r="B31" s="34"/>
      <c r="C31" s="34"/>
      <c r="D31" s="34"/>
    </row>
    <row r="32" spans="1:7" x14ac:dyDescent="0.2">
      <c r="B32" s="33" t="s">
        <v>58</v>
      </c>
      <c r="C32" s="33"/>
      <c r="D32" s="33"/>
    </row>
    <row r="33" spans="1:4" x14ac:dyDescent="0.2">
      <c r="B33" s="9">
        <v>2023</v>
      </c>
      <c r="C33" s="9">
        <v>2022</v>
      </c>
      <c r="D33" s="9">
        <v>2021</v>
      </c>
    </row>
    <row r="35" spans="1:4" x14ac:dyDescent="0.2">
      <c r="A35" t="s">
        <v>81</v>
      </c>
    </row>
    <row r="36" spans="1:4" x14ac:dyDescent="0.2">
      <c r="A36" s="1" t="s">
        <v>82</v>
      </c>
      <c r="B36" s="10">
        <f>73387</f>
        <v>73387</v>
      </c>
      <c r="C36" s="10">
        <f>53888</f>
        <v>53888</v>
      </c>
      <c r="D36" s="10">
        <f>36220</f>
        <v>36220</v>
      </c>
    </row>
    <row r="37" spans="1:4" x14ac:dyDescent="0.2">
      <c r="A37" s="1" t="s">
        <v>83</v>
      </c>
      <c r="B37" s="10">
        <f>13393</f>
        <v>13393</v>
      </c>
      <c r="C37" s="10">
        <f>16138</f>
        <v>16138</v>
      </c>
      <c r="D37" s="10">
        <f>59829</f>
        <v>59829</v>
      </c>
    </row>
    <row r="38" spans="1:4" x14ac:dyDescent="0.2">
      <c r="A38" s="1" t="s">
        <v>84</v>
      </c>
      <c r="B38" s="10">
        <f>52253</f>
        <v>52253</v>
      </c>
      <c r="C38" s="10">
        <f>42360</f>
        <v>42360</v>
      </c>
      <c r="D38" s="10">
        <f>32891</f>
        <v>32891</v>
      </c>
    </row>
    <row r="39" spans="1:4" x14ac:dyDescent="0.2">
      <c r="A39" s="1" t="s">
        <v>85</v>
      </c>
      <c r="B39" s="10">
        <f>33318</f>
        <v>33318</v>
      </c>
      <c r="C39" s="10">
        <f>34405</f>
        <v>34405</v>
      </c>
      <c r="D39" s="10">
        <f>32640</f>
        <v>32640</v>
      </c>
    </row>
    <row r="40" spans="1:4" x14ac:dyDescent="0.2">
      <c r="A40" s="1" t="s">
        <v>86</v>
      </c>
      <c r="B40" s="10"/>
      <c r="C40" s="10"/>
      <c r="D40" s="10"/>
    </row>
    <row r="41" spans="1:4" x14ac:dyDescent="0.2">
      <c r="A41" s="1" t="s">
        <v>87</v>
      </c>
      <c r="B41" s="10"/>
      <c r="C41" s="10"/>
      <c r="D41" s="10"/>
    </row>
    <row r="42" spans="1:4" x14ac:dyDescent="0.2">
      <c r="A42" s="11" t="s">
        <v>88</v>
      </c>
      <c r="B42" s="12">
        <f>B36+B37+B38+B39</f>
        <v>172351</v>
      </c>
      <c r="C42" s="12">
        <f>C36+C37+C39+C38</f>
        <v>146791</v>
      </c>
      <c r="D42" s="12">
        <f>D36+D37+D38+D39</f>
        <v>161580</v>
      </c>
    </row>
    <row r="43" spans="1:4" x14ac:dyDescent="0.2">
      <c r="A43" t="s">
        <v>89</v>
      </c>
      <c r="B43" s="10"/>
      <c r="C43" s="10"/>
      <c r="D43" s="10"/>
    </row>
    <row r="44" spans="1:4" x14ac:dyDescent="0.2">
      <c r="A44" s="1" t="s">
        <v>83</v>
      </c>
      <c r="B44" s="10"/>
      <c r="C44" s="10"/>
      <c r="D44" s="10"/>
    </row>
    <row r="45" spans="1:4" x14ac:dyDescent="0.2">
      <c r="A45" s="1" t="s">
        <v>90</v>
      </c>
      <c r="B45" s="10">
        <f>204177</f>
        <v>204177</v>
      </c>
      <c r="C45" s="10">
        <f>186715</f>
        <v>186715</v>
      </c>
      <c r="D45" s="10">
        <f>160281</f>
        <v>160281</v>
      </c>
    </row>
    <row r="46" spans="1:4" x14ac:dyDescent="0.2">
      <c r="A46" s="1" t="s">
        <v>91</v>
      </c>
      <c r="B46" s="10">
        <f>151326</f>
        <v>151326</v>
      </c>
      <c r="C46" s="10">
        <f>66123+20288+42758</f>
        <v>129169</v>
      </c>
      <c r="D46" s="10">
        <f>56082+15371+27235</f>
        <v>98688</v>
      </c>
    </row>
    <row r="47" spans="1:4" x14ac:dyDescent="0.2">
      <c r="A47" s="11" t="s">
        <v>92</v>
      </c>
      <c r="B47" s="12">
        <f>B45+B46</f>
        <v>355503</v>
      </c>
      <c r="C47" s="12">
        <f>C45+C46</f>
        <v>315884</v>
      </c>
      <c r="D47" s="12">
        <f>D45+D46</f>
        <v>258969</v>
      </c>
    </row>
    <row r="48" spans="1:4" ht="16" thickBot="1" x14ac:dyDescent="0.25">
      <c r="A48" s="13" t="s">
        <v>93</v>
      </c>
      <c r="B48" s="14">
        <f>B47+B42</f>
        <v>527854</v>
      </c>
      <c r="C48" s="14">
        <f>C47+C42</f>
        <v>462675</v>
      </c>
      <c r="D48" s="14">
        <f>D47+D42</f>
        <v>420549</v>
      </c>
    </row>
    <row r="49" spans="1:4" ht="16" thickTop="1" x14ac:dyDescent="0.2"/>
    <row r="50" spans="1:4" x14ac:dyDescent="0.2">
      <c r="A50" t="s">
        <v>94</v>
      </c>
    </row>
    <row r="51" spans="1:4" x14ac:dyDescent="0.2">
      <c r="A51" s="1" t="s">
        <v>95</v>
      </c>
      <c r="B51" s="10">
        <f>84981</f>
        <v>84981</v>
      </c>
      <c r="C51" s="10">
        <f>79600</f>
        <v>79600</v>
      </c>
      <c r="D51" s="10">
        <f>78664</f>
        <v>78664</v>
      </c>
    </row>
    <row r="52" spans="1:4" x14ac:dyDescent="0.2">
      <c r="A52" s="1" t="s">
        <v>96</v>
      </c>
      <c r="B52" s="10"/>
      <c r="C52" s="10"/>
      <c r="D52" s="10"/>
    </row>
    <row r="53" spans="1:4" x14ac:dyDescent="0.2">
      <c r="A53" s="1" t="s">
        <v>97</v>
      </c>
      <c r="B53" s="10">
        <f>15227</f>
        <v>15227</v>
      </c>
      <c r="C53" s="10">
        <f>13227</f>
        <v>13227</v>
      </c>
      <c r="D53" s="10">
        <f>11827</f>
        <v>11827</v>
      </c>
    </row>
    <row r="54" spans="1:4" x14ac:dyDescent="0.2">
      <c r="A54" s="1" t="s">
        <v>98</v>
      </c>
      <c r="B54" s="10"/>
      <c r="C54" s="10"/>
      <c r="D54" s="10"/>
    </row>
    <row r="55" spans="1:4" x14ac:dyDescent="0.2">
      <c r="A55" s="1" t="s">
        <v>99</v>
      </c>
      <c r="B55" s="10">
        <f>64709</f>
        <v>64709</v>
      </c>
      <c r="C55" s="10">
        <f>62566</f>
        <v>62566</v>
      </c>
      <c r="D55" s="10">
        <f>51775</f>
        <v>51775</v>
      </c>
    </row>
    <row r="56" spans="1:4" x14ac:dyDescent="0.2">
      <c r="A56" s="11" t="s">
        <v>100</v>
      </c>
      <c r="B56" s="12">
        <f>B51+B53+B55</f>
        <v>164917</v>
      </c>
      <c r="C56" s="12">
        <f>C51+C53+C55</f>
        <v>155393</v>
      </c>
      <c r="D56" s="12">
        <f>D51+D53+D55</f>
        <v>142266</v>
      </c>
    </row>
    <row r="57" spans="1:4" x14ac:dyDescent="0.2">
      <c r="A57" t="s">
        <v>101</v>
      </c>
      <c r="B57" s="10"/>
      <c r="C57" s="10"/>
      <c r="D57" s="10"/>
    </row>
    <row r="58" spans="1:4" x14ac:dyDescent="0.2">
      <c r="A58" s="1" t="s">
        <v>142</v>
      </c>
      <c r="B58" s="10">
        <f>77297</f>
        <v>77297</v>
      </c>
      <c r="C58" s="10">
        <f>72968</f>
        <v>72968</v>
      </c>
      <c r="D58" s="10">
        <f>67651</f>
        <v>67651</v>
      </c>
    </row>
    <row r="59" spans="1:4" x14ac:dyDescent="0.2">
      <c r="A59" s="1" t="s">
        <v>99</v>
      </c>
      <c r="B59" s="10">
        <f>58314</f>
        <v>58314</v>
      </c>
      <c r="C59" s="10">
        <f>67150</f>
        <v>67150</v>
      </c>
      <c r="D59" s="10">
        <f>48744</f>
        <v>48744</v>
      </c>
    </row>
    <row r="60" spans="1:4" x14ac:dyDescent="0.2">
      <c r="A60" s="1" t="s">
        <v>102</v>
      </c>
      <c r="B60" s="10">
        <f>25451</f>
        <v>25451</v>
      </c>
      <c r="C60" s="10">
        <f>21121</f>
        <v>21121</v>
      </c>
      <c r="D60" s="10">
        <f>23643</f>
        <v>23643</v>
      </c>
    </row>
    <row r="61" spans="1:4" x14ac:dyDescent="0.2">
      <c r="A61" s="23" t="s">
        <v>103</v>
      </c>
      <c r="B61" s="10">
        <f>B58+B59+B60</f>
        <v>161062</v>
      </c>
      <c r="C61" s="10">
        <f>C58+C59+C60</f>
        <v>161239</v>
      </c>
      <c r="D61" s="10">
        <f>D58+D59+D60</f>
        <v>140038</v>
      </c>
    </row>
    <row r="62" spans="1:4" x14ac:dyDescent="0.2">
      <c r="A62" s="11" t="s">
        <v>104</v>
      </c>
      <c r="B62" s="12">
        <f>B61+B56</f>
        <v>325979</v>
      </c>
      <c r="C62" s="12">
        <f>C61+C56</f>
        <v>316632</v>
      </c>
      <c r="D62" s="12">
        <f>D61+D56</f>
        <v>282304</v>
      </c>
    </row>
    <row r="63" spans="1:4" x14ac:dyDescent="0.2">
      <c r="B63" s="10"/>
      <c r="C63" s="10"/>
      <c r="D63" s="10"/>
    </row>
    <row r="64" spans="1:4" x14ac:dyDescent="0.2">
      <c r="A64" t="s">
        <v>105</v>
      </c>
      <c r="B64" s="10"/>
      <c r="C64" s="10"/>
      <c r="D64" s="10"/>
    </row>
    <row r="65" spans="1:10" x14ac:dyDescent="0.2">
      <c r="A65" s="1" t="s">
        <v>143</v>
      </c>
      <c r="B65" s="10">
        <f>109+(-7837)+99025</f>
        <v>91297</v>
      </c>
      <c r="C65" s="10">
        <f>108+(-7837)+75066</f>
        <v>67337</v>
      </c>
      <c r="D65" s="10">
        <f>106+(-1837)+55437</f>
        <v>53706</v>
      </c>
    </row>
    <row r="66" spans="1:10" x14ac:dyDescent="0.2">
      <c r="A66" s="1" t="s">
        <v>106</v>
      </c>
      <c r="B66" s="10">
        <f>113618</f>
        <v>113618</v>
      </c>
      <c r="C66" s="10">
        <f>83193</f>
        <v>83193</v>
      </c>
      <c r="D66" s="10">
        <f>85915</f>
        <v>85915</v>
      </c>
    </row>
    <row r="67" spans="1:10" x14ac:dyDescent="0.2">
      <c r="A67" s="1" t="s">
        <v>107</v>
      </c>
      <c r="B67" s="10">
        <f>(-3040)</f>
        <v>-3040</v>
      </c>
      <c r="C67" s="10">
        <f>-4487</f>
        <v>-4487</v>
      </c>
      <c r="D67" s="10">
        <f>(-1376)</f>
        <v>-1376</v>
      </c>
    </row>
    <row r="68" spans="1:10" x14ac:dyDescent="0.2">
      <c r="A68" s="11" t="s">
        <v>108</v>
      </c>
      <c r="B68" s="12">
        <f>B66+B65+B67</f>
        <v>201875</v>
      </c>
      <c r="C68" s="12">
        <f>C66+C65+C67</f>
        <v>146043</v>
      </c>
      <c r="D68" s="12">
        <f>D66+D65+D67</f>
        <v>138245</v>
      </c>
    </row>
    <row r="69" spans="1:10" ht="16" thickBot="1" x14ac:dyDescent="0.25">
      <c r="A69" s="13" t="s">
        <v>109</v>
      </c>
      <c r="B69" s="14">
        <f>B68+B62</f>
        <v>527854</v>
      </c>
      <c r="C69" s="14">
        <f>C68+C62</f>
        <v>462675</v>
      </c>
      <c r="D69" s="14">
        <f>D68+D62</f>
        <v>420549</v>
      </c>
    </row>
    <row r="70" spans="1:10" ht="16" thickTop="1" x14ac:dyDescent="0.2"/>
    <row r="71" spans="1:10" x14ac:dyDescent="0.2">
      <c r="A71" s="34" t="s">
        <v>13</v>
      </c>
      <c r="B71" s="34"/>
      <c r="C71" s="34"/>
      <c r="D71" s="34"/>
    </row>
    <row r="72" spans="1:10" x14ac:dyDescent="0.2">
      <c r="B72" s="33" t="s">
        <v>57</v>
      </c>
      <c r="C72" s="33"/>
      <c r="D72" s="33"/>
    </row>
    <row r="73" spans="1:10" x14ac:dyDescent="0.2">
      <c r="B73" s="9">
        <v>2023</v>
      </c>
      <c r="C73" s="9">
        <v>2022</v>
      </c>
      <c r="D73" s="9">
        <v>2021</v>
      </c>
    </row>
    <row r="74" spans="1:10" x14ac:dyDescent="0.2">
      <c r="A74" s="9" t="s">
        <v>110</v>
      </c>
      <c r="B74">
        <f>54253</f>
        <v>54253</v>
      </c>
      <c r="C74">
        <f>36477</f>
        <v>36477</v>
      </c>
      <c r="D74">
        <f>42377</f>
        <v>42377</v>
      </c>
      <c r="H74" s="9"/>
      <c r="I74" s="9"/>
      <c r="J74" s="9"/>
    </row>
    <row r="75" spans="1:10" x14ac:dyDescent="0.2">
      <c r="A75" t="s">
        <v>111</v>
      </c>
      <c r="B75" s="16"/>
      <c r="C75" s="16"/>
      <c r="D75" s="16"/>
      <c r="G75" s="9"/>
    </row>
    <row r="76" spans="1:10" x14ac:dyDescent="0.2">
      <c r="A76" s="17" t="s">
        <v>76</v>
      </c>
      <c r="B76" s="10">
        <f>30425</f>
        <v>30425</v>
      </c>
      <c r="C76" s="10">
        <f>(-2722)</f>
        <v>-2722</v>
      </c>
      <c r="D76" s="10">
        <f>33364</f>
        <v>33364</v>
      </c>
      <c r="G76" s="1"/>
    </row>
    <row r="77" spans="1:10" x14ac:dyDescent="0.2">
      <c r="A77" s="1" t="s">
        <v>112</v>
      </c>
      <c r="B77" s="16"/>
      <c r="C77" s="16"/>
      <c r="D77" s="16"/>
      <c r="G77" s="1"/>
    </row>
    <row r="78" spans="1:10" x14ac:dyDescent="0.2">
      <c r="A78" s="18" t="s">
        <v>113</v>
      </c>
      <c r="B78" s="10">
        <f>48663</f>
        <v>48663</v>
      </c>
      <c r="C78" s="10">
        <f>41921</f>
        <v>41921</v>
      </c>
      <c r="D78" s="10">
        <f>34433</f>
        <v>34433</v>
      </c>
      <c r="G78" s="1"/>
    </row>
    <row r="79" spans="1:10" x14ac:dyDescent="0.2">
      <c r="A79" s="18" t="s">
        <v>114</v>
      </c>
      <c r="B79" s="10">
        <f>24023</f>
        <v>24023</v>
      </c>
      <c r="C79" s="10">
        <f>19621</f>
        <v>19621</v>
      </c>
      <c r="D79" s="10">
        <f>12757</f>
        <v>12757</v>
      </c>
      <c r="G79" s="1"/>
    </row>
    <row r="80" spans="1:10" x14ac:dyDescent="0.2">
      <c r="A80" s="18" t="s">
        <v>115</v>
      </c>
      <c r="B80" s="10">
        <f>(-5876)</f>
        <v>-5876</v>
      </c>
      <c r="C80" s="10">
        <f>(-8148)</f>
        <v>-8148</v>
      </c>
      <c r="D80" s="10">
        <f>(-310)</f>
        <v>-310</v>
      </c>
      <c r="G80" s="1"/>
    </row>
    <row r="81" spans="1:7" x14ac:dyDescent="0.2">
      <c r="A81" s="18" t="s">
        <v>116</v>
      </c>
      <c r="B81" s="10">
        <f>748</f>
        <v>748</v>
      </c>
      <c r="C81" s="10">
        <f>(-16966)</f>
        <v>-16966</v>
      </c>
      <c r="D81" s="10">
        <f>14306</f>
        <v>14306</v>
      </c>
      <c r="G81" s="1"/>
    </row>
    <row r="82" spans="1:7" x14ac:dyDescent="0.2">
      <c r="A82" t="s">
        <v>117</v>
      </c>
      <c r="B82" s="10"/>
      <c r="C82" s="10"/>
      <c r="D82" s="10"/>
      <c r="G82" s="1"/>
    </row>
    <row r="83" spans="1:7" x14ac:dyDescent="0.2">
      <c r="A83" s="1" t="s">
        <v>84</v>
      </c>
      <c r="B83" s="10">
        <f>(-8348)</f>
        <v>-8348</v>
      </c>
      <c r="C83" s="10">
        <f>(-8622)</f>
        <v>-8622</v>
      </c>
      <c r="D83" s="10">
        <f>(-9145)</f>
        <v>-9145</v>
      </c>
      <c r="G83" s="1"/>
    </row>
    <row r="84" spans="1:7" x14ac:dyDescent="0.2">
      <c r="A84" s="1" t="s">
        <v>85</v>
      </c>
      <c r="B84" s="10">
        <f>1449</f>
        <v>1449</v>
      </c>
      <c r="C84" s="10">
        <f>(-2592)</f>
        <v>-2592</v>
      </c>
      <c r="D84" s="10">
        <f>(-9487)</f>
        <v>-9487</v>
      </c>
      <c r="G84" s="1"/>
    </row>
    <row r="85" spans="1:7" x14ac:dyDescent="0.2">
      <c r="A85" s="1" t="s">
        <v>86</v>
      </c>
      <c r="B85" s="10"/>
      <c r="C85" s="10"/>
      <c r="D85" s="10"/>
      <c r="G85" s="18"/>
    </row>
    <row r="86" spans="1:7" x14ac:dyDescent="0.2">
      <c r="A86" s="1" t="s">
        <v>118</v>
      </c>
      <c r="B86" s="10">
        <f>(-12265)</f>
        <v>-12265</v>
      </c>
      <c r="C86" s="10">
        <f>(-13275)</f>
        <v>-13275</v>
      </c>
      <c r="D86" s="10">
        <f>(-9018)</f>
        <v>-9018</v>
      </c>
    </row>
    <row r="87" spans="1:7" x14ac:dyDescent="0.2">
      <c r="A87" s="1" t="s">
        <v>95</v>
      </c>
      <c r="B87" s="10">
        <f>5473</f>
        <v>5473</v>
      </c>
      <c r="C87" s="10">
        <f>2945</f>
        <v>2945</v>
      </c>
      <c r="D87" s="10">
        <f>3602</f>
        <v>3602</v>
      </c>
    </row>
    <row r="88" spans="1:7" x14ac:dyDescent="0.2">
      <c r="A88" s="1" t="s">
        <v>97</v>
      </c>
      <c r="B88" s="10">
        <f>4578</f>
        <v>4578</v>
      </c>
      <c r="C88" s="10">
        <f>2216</f>
        <v>2216</v>
      </c>
      <c r="D88" s="10">
        <f>2314</f>
        <v>2314</v>
      </c>
    </row>
    <row r="89" spans="1:7" x14ac:dyDescent="0.2">
      <c r="A89" s="1" t="s">
        <v>144</v>
      </c>
      <c r="B89" s="10">
        <f>(-2428)</f>
        <v>-2428</v>
      </c>
      <c r="C89" s="10">
        <f>(-1558)</f>
        <v>-1558</v>
      </c>
      <c r="D89" s="10">
        <f>2123</f>
        <v>2123</v>
      </c>
    </row>
    <row r="90" spans="1:7" x14ac:dyDescent="0.2">
      <c r="A90" s="11" t="s">
        <v>119</v>
      </c>
      <c r="B90" s="10">
        <f>B76+B78+B79+B80-B81+B83+B84+B86+B87+B88+B89</f>
        <v>84946</v>
      </c>
      <c r="C90" s="10">
        <f>C76+C78+C79+C80-C81+C83+C84+C86+C87+C88+C89</f>
        <v>46752</v>
      </c>
      <c r="D90" s="10">
        <f>D76+D78+D79+D80-D81+D83+D84+D86+D87+D88+D89</f>
        <v>46327</v>
      </c>
    </row>
    <row r="91" spans="1:7" x14ac:dyDescent="0.2">
      <c r="A91" s="9" t="s">
        <v>120</v>
      </c>
      <c r="B91" s="12"/>
      <c r="C91" s="12"/>
      <c r="D91" s="12"/>
    </row>
    <row r="92" spans="1:7" x14ac:dyDescent="0.2">
      <c r="A92" s="1" t="s">
        <v>121</v>
      </c>
      <c r="B92" s="10">
        <f>(-1488)</f>
        <v>-1488</v>
      </c>
      <c r="C92" s="10">
        <f>(-2565)</f>
        <v>-2565</v>
      </c>
      <c r="D92" s="10">
        <f>(-60157)</f>
        <v>-60157</v>
      </c>
    </row>
    <row r="93" spans="1:7" x14ac:dyDescent="0.2">
      <c r="A93" s="1" t="s">
        <v>122</v>
      </c>
      <c r="B93" s="10">
        <f>5627</f>
        <v>5627</v>
      </c>
      <c r="C93" s="10">
        <f>31601</f>
        <v>31601</v>
      </c>
      <c r="D93" s="10">
        <f>59384</f>
        <v>59384</v>
      </c>
    </row>
    <row r="94" spans="1:7" x14ac:dyDescent="0.2">
      <c r="A94" s="1" t="s">
        <v>123</v>
      </c>
      <c r="B94" s="10"/>
      <c r="C94" s="10"/>
      <c r="D94" s="10"/>
    </row>
    <row r="95" spans="1:7" x14ac:dyDescent="0.2">
      <c r="A95" s="1" t="s">
        <v>124</v>
      </c>
      <c r="B95" s="10">
        <f>(-52729)</f>
        <v>-52729</v>
      </c>
      <c r="C95" s="10">
        <f>(-63645)</f>
        <v>-63645</v>
      </c>
      <c r="D95" s="10">
        <f>(-61053)</f>
        <v>-61053</v>
      </c>
    </row>
    <row r="96" spans="1:7" x14ac:dyDescent="0.2">
      <c r="A96" s="1" t="s">
        <v>125</v>
      </c>
      <c r="B96" s="10">
        <f>(-5839)</f>
        <v>-5839</v>
      </c>
      <c r="C96" s="10">
        <f>(-8316)</f>
        <v>-8316</v>
      </c>
      <c r="D96" s="10">
        <f>-1985</f>
        <v>-1985</v>
      </c>
    </row>
    <row r="97" spans="1:4" x14ac:dyDescent="0.2">
      <c r="A97" s="1" t="s">
        <v>145</v>
      </c>
      <c r="B97" s="10">
        <f>4596</f>
        <v>4596</v>
      </c>
      <c r="C97" s="10">
        <f>5324</f>
        <v>5324</v>
      </c>
      <c r="D97" s="10">
        <f>5657</f>
        <v>5657</v>
      </c>
    </row>
    <row r="98" spans="1:4" x14ac:dyDescent="0.2">
      <c r="A98" s="11" t="s">
        <v>126</v>
      </c>
      <c r="B98" s="10">
        <f>B95+B92+B93+B97+B96</f>
        <v>-49833</v>
      </c>
      <c r="C98" s="10">
        <f>C95+C92+C93+C97+C96</f>
        <v>-37601</v>
      </c>
      <c r="D98" s="10">
        <f>D95+D92+D93+D97+D96</f>
        <v>-58154</v>
      </c>
    </row>
    <row r="99" spans="1:4" x14ac:dyDescent="0.2">
      <c r="A99" s="9" t="s">
        <v>127</v>
      </c>
      <c r="B99" s="10"/>
      <c r="C99" s="10"/>
      <c r="D99" s="10"/>
    </row>
    <row r="100" spans="1:4" x14ac:dyDescent="0.2">
      <c r="A100" s="1" t="s">
        <v>128</v>
      </c>
      <c r="B100" s="10"/>
      <c r="C100" s="10"/>
      <c r="D100" s="10"/>
    </row>
    <row r="101" spans="1:4" x14ac:dyDescent="0.2">
      <c r="A101" s="1" t="s">
        <v>148</v>
      </c>
      <c r="B101" s="12">
        <f>(-25677)</f>
        <v>-25677</v>
      </c>
      <c r="C101" s="12">
        <f>(-37554)</f>
        <v>-37554</v>
      </c>
      <c r="D101" s="12">
        <f>-7753</f>
        <v>-7753</v>
      </c>
    </row>
    <row r="102" spans="1:4" x14ac:dyDescent="0.2">
      <c r="A102" s="1" t="s">
        <v>129</v>
      </c>
      <c r="C102" s="10">
        <f>(-6000)</f>
        <v>-6000</v>
      </c>
      <c r="D102" s="10"/>
    </row>
    <row r="103" spans="1:4" x14ac:dyDescent="0.2">
      <c r="A103" s="1" t="s">
        <v>146</v>
      </c>
      <c r="B103" s="10">
        <f>18129</f>
        <v>18129</v>
      </c>
      <c r="C103" s="10">
        <f>41553</f>
        <v>41553</v>
      </c>
      <c r="D103" s="10">
        <f>7956</f>
        <v>7956</v>
      </c>
    </row>
    <row r="104" spans="1:4" x14ac:dyDescent="0.2">
      <c r="A104" s="1" t="s">
        <v>147</v>
      </c>
      <c r="B104" s="10">
        <f>(-3676)</f>
        <v>-3676</v>
      </c>
      <c r="C104" s="10">
        <f>(-1258)</f>
        <v>-1258</v>
      </c>
      <c r="D104" s="10">
        <f>-1590</f>
        <v>-1590</v>
      </c>
    </row>
    <row r="105" spans="1:4" x14ac:dyDescent="0.2">
      <c r="A105" s="1" t="s">
        <v>130</v>
      </c>
      <c r="B105" s="10"/>
      <c r="C105" s="10">
        <f>21166</f>
        <v>21166</v>
      </c>
      <c r="D105" s="10">
        <f>19003</f>
        <v>19003</v>
      </c>
    </row>
    <row r="106" spans="1:4" x14ac:dyDescent="0.2">
      <c r="A106" s="1" t="s">
        <v>116</v>
      </c>
      <c r="B106" s="10">
        <f>(-4384)+(-271)</f>
        <v>-4655</v>
      </c>
      <c r="C106" s="10">
        <f>(-7941)+(-248)</f>
        <v>-8189</v>
      </c>
      <c r="D106" s="10">
        <f>-11163+-162</f>
        <v>-11325</v>
      </c>
    </row>
    <row r="107" spans="1:4" x14ac:dyDescent="0.2">
      <c r="A107" s="11" t="s">
        <v>131</v>
      </c>
      <c r="B107" s="10">
        <f>B101+B103+B104+B106</f>
        <v>-15879</v>
      </c>
      <c r="C107" s="10">
        <f>C101+C102+C103+C104+C105+C106</f>
        <v>9718</v>
      </c>
      <c r="D107" s="10">
        <f>D101+D102+D103+D104+D105+D106</f>
        <v>6291</v>
      </c>
    </row>
    <row r="108" spans="1:4" x14ac:dyDescent="0.2">
      <c r="A108" s="11" t="s">
        <v>132</v>
      </c>
      <c r="B108" s="10"/>
      <c r="C108" s="10"/>
      <c r="D108" s="10"/>
    </row>
    <row r="109" spans="1:4" ht="16" thickBot="1" x14ac:dyDescent="0.25">
      <c r="A109" s="13" t="s">
        <v>133</v>
      </c>
      <c r="B109" s="10">
        <f>B74+B90+B98+B107+B110</f>
        <v>73890</v>
      </c>
      <c r="C109" s="10">
        <f>C74+C90+C98+C107+C110</f>
        <v>54253</v>
      </c>
      <c r="D109" s="10">
        <f>D74+D90+D98+D107+D110</f>
        <v>36477</v>
      </c>
    </row>
    <row r="110" spans="1:4" ht="16" thickTop="1" x14ac:dyDescent="0.2">
      <c r="A110" s="9" t="s">
        <v>149</v>
      </c>
      <c r="B110" s="10">
        <f>403</f>
        <v>403</v>
      </c>
      <c r="C110" s="10">
        <f>(-1093)</f>
        <v>-1093</v>
      </c>
      <c r="D110" s="10">
        <f>-364</f>
        <v>-364</v>
      </c>
    </row>
    <row r="111" spans="1:4" x14ac:dyDescent="0.2">
      <c r="A111" t="s">
        <v>134</v>
      </c>
      <c r="B111" s="12"/>
      <c r="C111" s="12"/>
      <c r="D111" s="12"/>
    </row>
    <row r="112" spans="1:4" x14ac:dyDescent="0.2">
      <c r="A112" t="s">
        <v>135</v>
      </c>
      <c r="B112" s="12"/>
      <c r="C112" s="12"/>
      <c r="D112" s="12"/>
    </row>
    <row r="113" spans="1:4" ht="16" thickBot="1" x14ac:dyDescent="0.25">
      <c r="A113" t="s">
        <v>136</v>
      </c>
      <c r="B113" s="14"/>
      <c r="C113" s="14"/>
      <c r="D113" s="14"/>
    </row>
    <row r="114" spans="1:4" ht="16" thickTop="1" x14ac:dyDescent="0.2">
      <c r="B114" s="10"/>
      <c r="C114" s="10"/>
      <c r="D114" s="10"/>
    </row>
    <row r="115" spans="1:4" x14ac:dyDescent="0.2">
      <c r="B115" s="10"/>
      <c r="C115" s="10"/>
      <c r="D115" s="10"/>
    </row>
    <row r="116" spans="1:4" x14ac:dyDescent="0.2">
      <c r="B116" s="10"/>
      <c r="C116" s="10"/>
      <c r="D116" s="10"/>
    </row>
    <row r="117" spans="1:4" x14ac:dyDescent="0.2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7"/>
  <sheetViews>
    <sheetView tabSelected="1" topLeftCell="A2" workbookViewId="0">
      <selection activeCell="L22" sqref="L22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3.6640625" bestFit="1" customWidth="1"/>
  </cols>
  <sheetData>
    <row r="1" spans="1:20" ht="60" customHeight="1" x14ac:dyDescent="0.3">
      <c r="A1" s="7"/>
      <c r="B1" s="19" t="s">
        <v>59</v>
      </c>
      <c r="C1" s="20"/>
      <c r="D1" s="20"/>
      <c r="E1" s="20"/>
      <c r="F1" s="20"/>
      <c r="G1" s="20"/>
      <c r="H1" s="20"/>
      <c r="I1" s="20"/>
      <c r="J1" s="20"/>
    </row>
    <row r="2" spans="1:20" x14ac:dyDescent="0.2">
      <c r="C2" s="33" t="s">
        <v>60</v>
      </c>
      <c r="D2" s="33"/>
      <c r="E2" s="33"/>
    </row>
    <row r="3" spans="1:20" x14ac:dyDescent="0.2">
      <c r="C3" s="9">
        <v>2023</v>
      </c>
      <c r="D3" s="9">
        <v>2022</v>
      </c>
      <c r="E3" s="9">
        <v>2021</v>
      </c>
    </row>
    <row r="4" spans="1:20" x14ac:dyDescent="0.2">
      <c r="A4" s="21">
        <v>1</v>
      </c>
      <c r="B4" s="9" t="s">
        <v>14</v>
      </c>
    </row>
    <row r="5" spans="1:20" x14ac:dyDescent="0.2">
      <c r="A5" s="21">
        <f>+A4+0.1</f>
        <v>1.1000000000000001</v>
      </c>
      <c r="B5" s="1" t="s">
        <v>15</v>
      </c>
      <c r="C5" s="29">
        <f>'Financial Statements'!B42/'Financial Statements'!B56</f>
        <v>1.0450772206625152</v>
      </c>
      <c r="D5" s="29">
        <f>'Financial Statements'!C42/'Financial Statements'!C56</f>
        <v>0.9446435811136924</v>
      </c>
      <c r="E5" s="29">
        <f>'Financial Statements'!D42/'Financial Statements'!D56</f>
        <v>1.1357597739445826</v>
      </c>
    </row>
    <row r="6" spans="1:20" x14ac:dyDescent="0.2">
      <c r="A6" s="21">
        <f t="shared" ref="A6:A13" si="0">+A5+0.1</f>
        <v>1.2000000000000002</v>
      </c>
      <c r="B6" s="35" t="s">
        <v>16</v>
      </c>
      <c r="C6" s="36">
        <f>('Financial Statements'!B36+'Financial Statements'!B37+'Financial Statements'!B38)/'Financial Statements'!B56</f>
        <v>0.84304832127676343</v>
      </c>
      <c r="D6" s="36">
        <f>('Financial Statements'!C36+'Financial Statements'!C37+'Financial Statements'!C38)/'Financial Statements'!C56</f>
        <v>0.72323721145740161</v>
      </c>
      <c r="E6" s="36">
        <f>('Financial Statements'!D36+'Financial Statements'!D37+'Financial Statements'!D38)/'Financial Statements'!D56</f>
        <v>0.90633039517523517</v>
      </c>
      <c r="F6" s="37"/>
    </row>
    <row r="7" spans="1:20" x14ac:dyDescent="0.2">
      <c r="A7" s="21">
        <f t="shared" si="0"/>
        <v>1.3000000000000003</v>
      </c>
      <c r="B7" s="1" t="s">
        <v>17</v>
      </c>
      <c r="C7" s="29">
        <f>('Financial Statements'!B36+'Financial Statements'!B37)/'Financial Statements'!B56</f>
        <v>0.52620409054251538</v>
      </c>
      <c r="D7" s="29">
        <f>('Financial Statements'!C36+'Financial Statements'!C37)/'Financial Statements'!C56</f>
        <v>0.45063805962945563</v>
      </c>
      <c r="E7" s="29">
        <f>('Financial Statements'!D36+'Financial Statements'!D37)/'Financial Statements'!D56</f>
        <v>0.67513671572968947</v>
      </c>
    </row>
    <row r="8" spans="1:20" x14ac:dyDescent="0.2">
      <c r="A8" s="21">
        <f t="shared" si="0"/>
        <v>1.4000000000000004</v>
      </c>
      <c r="B8" s="1" t="s">
        <v>18</v>
      </c>
      <c r="C8" s="29">
        <f>'Financial Statements'!B42/'Financial Statements'!B17</f>
        <v>0.32039491906984696</v>
      </c>
      <c r="D8" s="29">
        <f>'Financial Statements'!C42/'Financial Statements'!C17</f>
        <v>0.29256679322750057</v>
      </c>
      <c r="E8" s="29">
        <f>'Financial Statements'!D42/'Financial Statements'!D17</f>
        <v>0.36314763913579939</v>
      </c>
    </row>
    <row r="9" spans="1:20" x14ac:dyDescent="0.2">
      <c r="A9" s="21">
        <f t="shared" si="0"/>
        <v>1.5000000000000004</v>
      </c>
      <c r="B9" s="1" t="s">
        <v>19</v>
      </c>
      <c r="C9" s="29">
        <f>('Financial Statements'!B39/'Financial Statements'!B12)*365</f>
        <v>39.906510161154301</v>
      </c>
      <c r="D9" s="29">
        <f>('Financial Statements'!C39/'Financial Statements'!C12)*365</f>
        <v>43.4781065744328</v>
      </c>
      <c r="E9" s="29">
        <f>('Financial Statements'!D39/'Financial Statements'!D12)*365</f>
        <v>43.744675851129458</v>
      </c>
    </row>
    <row r="10" spans="1:20" x14ac:dyDescent="0.2">
      <c r="A10" s="21">
        <f t="shared" si="0"/>
        <v>1.6000000000000005</v>
      </c>
      <c r="B10" s="1" t="s">
        <v>20</v>
      </c>
      <c r="C10" s="29">
        <f>('Financial Statements'!B51*365)/'Financial Statements'!B12</f>
        <v>101.78567561093263</v>
      </c>
      <c r="D10" s="29">
        <f>('Financial Statements'!C51*365)/'Financial Statements'!C12</f>
        <v>100.59169548975007</v>
      </c>
      <c r="E10" s="29">
        <f>('Financial Statements'!D51*365)/'Financial Statements'!D12</f>
        <v>105.42681314807743</v>
      </c>
      <c r="R10" s="9"/>
      <c r="S10" s="9"/>
      <c r="T10" s="9"/>
    </row>
    <row r="11" spans="1:20" x14ac:dyDescent="0.2">
      <c r="A11" s="21">
        <f t="shared" si="0"/>
        <v>1.7000000000000006</v>
      </c>
      <c r="B11" s="1" t="s">
        <v>21</v>
      </c>
      <c r="C11" s="29">
        <f>('Financial Statements'!B38/'Financial Statements'!B8)*365</f>
        <v>33.181702723627097</v>
      </c>
      <c r="D11" s="29">
        <f>('Financial Statements'!C38/'Financial Statements'!C8)*365</f>
        <v>30.081539661817608</v>
      </c>
      <c r="E11" s="29">
        <f>('Financial Statements'!D38/'Financial Statements'!D8)*365</f>
        <v>25.552688039299991</v>
      </c>
      <c r="H11" t="s">
        <v>64</v>
      </c>
      <c r="Q11" s="9"/>
    </row>
    <row r="12" spans="1:20" x14ac:dyDescent="0.2">
      <c r="A12" s="21">
        <f t="shared" si="0"/>
        <v>1.8000000000000007</v>
      </c>
      <c r="B12" s="1" t="s">
        <v>22</v>
      </c>
      <c r="C12" s="29">
        <f>C9+C11-C10</f>
        <v>-28.69746272615123</v>
      </c>
      <c r="D12" s="29">
        <f t="shared" ref="D12:E12" si="1">D9+D11-D10</f>
        <v>-27.03204925349965</v>
      </c>
      <c r="E12" s="29">
        <f t="shared" si="1"/>
        <v>-36.129449257647977</v>
      </c>
      <c r="Q12" s="1"/>
    </row>
    <row r="13" spans="1:20" x14ac:dyDescent="0.2">
      <c r="A13" s="21">
        <f t="shared" si="0"/>
        <v>1.9000000000000008</v>
      </c>
      <c r="B13" s="1" t="s">
        <v>23</v>
      </c>
      <c r="C13" s="31">
        <f>C14/'Financial Statements'!B8</f>
        <v>1.2933531668362953E-2</v>
      </c>
      <c r="D13" s="31">
        <f>D14/'Financial Statements'!C8</f>
        <v>-1.6735962084349094E-2</v>
      </c>
      <c r="E13" s="31">
        <f>E14/'Financial Statements'!D8</f>
        <v>4.1109186032156859E-2</v>
      </c>
      <c r="Q13" s="1"/>
    </row>
    <row r="14" spans="1:20" x14ac:dyDescent="0.2">
      <c r="A14" s="21"/>
      <c r="B14" s="18" t="s">
        <v>24</v>
      </c>
      <c r="C14" s="29">
        <f>'Financial Statements'!B42-'Financial Statements'!B56</f>
        <v>7434</v>
      </c>
      <c r="D14" s="29">
        <f>'Financial Statements'!C42-'Financial Statements'!C56</f>
        <v>-8602</v>
      </c>
      <c r="E14" s="29">
        <f>'Financial Statements'!D42-'Financial Statements'!D56</f>
        <v>19314</v>
      </c>
      <c r="Q14" s="1"/>
    </row>
    <row r="15" spans="1:20" x14ac:dyDescent="0.2">
      <c r="A15" s="21"/>
      <c r="C15" s="29"/>
      <c r="D15" s="29"/>
      <c r="E15" s="29"/>
      <c r="Q15" s="1"/>
    </row>
    <row r="16" spans="1:20" x14ac:dyDescent="0.2">
      <c r="A16" s="21">
        <f>+A4+1</f>
        <v>2</v>
      </c>
      <c r="B16" s="22" t="s">
        <v>25</v>
      </c>
      <c r="C16" s="29"/>
      <c r="D16" s="29"/>
      <c r="E16" s="29"/>
      <c r="Q16" s="1"/>
    </row>
    <row r="17" spans="1:17" x14ac:dyDescent="0.2">
      <c r="A17" s="21">
        <f>+A16+0.1</f>
        <v>2.1</v>
      </c>
      <c r="B17" s="1" t="s">
        <v>11</v>
      </c>
      <c r="C17" s="31">
        <f>('Financial Statements'!B8-'Financial Statements'!B12)/'Financial Statements'!B8</f>
        <v>0.46982088955000567</v>
      </c>
      <c r="D17" s="31">
        <f>('Financial Statements'!C8-'Financial Statements'!C12)/'Financial Statements'!C8</f>
        <v>0.43805339865326287</v>
      </c>
      <c r="E17" s="31">
        <f>('Financial Statements'!D8-'Financial Statements'!D12)/'Financial Statements'!D8</f>
        <v>0.42032514441639601</v>
      </c>
      <c r="Q17" s="1"/>
    </row>
    <row r="18" spans="1:17" x14ac:dyDescent="0.2">
      <c r="A18" s="21">
        <f>+A17+0.1</f>
        <v>2.2000000000000002</v>
      </c>
      <c r="B18" s="1" t="s">
        <v>26</v>
      </c>
      <c r="C18" s="31">
        <f>C19/'Financial Statements'!B8</f>
        <v>0.15000391450716355</v>
      </c>
      <c r="D18" s="31">
        <f>D19/'Financial Statements'!C8</f>
        <v>8.2518293406591267E-2</v>
      </c>
      <c r="E18" s="31">
        <f>E19/'Financial Statements'!D8</f>
        <v>0.13411462213348885</v>
      </c>
      <c r="Q18" s="1"/>
    </row>
    <row r="19" spans="1:17" x14ac:dyDescent="0.2">
      <c r="A19" s="21"/>
      <c r="B19" s="18" t="s">
        <v>27</v>
      </c>
      <c r="C19" s="29">
        <f>'Financial Statements'!B22+'Financial Statements'!B21+'Financial Statements'!B78</f>
        <v>86220</v>
      </c>
      <c r="D19" s="29">
        <f>'Financial Statements'!C22+'Financial Statements'!C21+'Financial Statements'!C78</f>
        <v>42413</v>
      </c>
      <c r="E19" s="29">
        <f>'Financial Statements'!D22+'Financial Statements'!D21+'Financial Statements'!D78</f>
        <v>63010</v>
      </c>
      <c r="Q19" s="1"/>
    </row>
    <row r="20" spans="1:17" x14ac:dyDescent="0.2">
      <c r="A20" s="21">
        <f>+A18+0.1</f>
        <v>2.3000000000000003</v>
      </c>
      <c r="B20" s="1" t="s">
        <v>28</v>
      </c>
      <c r="C20" s="31">
        <f>C21/'Financial Statements'!B8</f>
        <v>-0.46606470245396103</v>
      </c>
      <c r="D20" s="31">
        <f>D21/'Financial Statements'!C8</f>
        <v>-0.53811701943449497</v>
      </c>
      <c r="E20" s="31">
        <f>E21/'Financial Statements'!D8</f>
        <v>-0.52672075807433449</v>
      </c>
      <c r="Q20" s="1"/>
    </row>
    <row r="21" spans="1:17" x14ac:dyDescent="0.2">
      <c r="A21" s="21"/>
      <c r="B21" s="18" t="s">
        <v>29</v>
      </c>
      <c r="C21" s="28">
        <f>'Financial Statements'!B8-'Financial Statements'!B12-'Financial Statements'!B17</f>
        <v>-267887</v>
      </c>
      <c r="D21" s="28">
        <f>'Financial Statements'!C8-'Financial Statements'!C12-'Financial Statements'!C17</f>
        <v>-276583</v>
      </c>
      <c r="E21" s="28">
        <f>'Financial Statements'!D8-'Financial Statements'!D12-'Financial Statements'!D17</f>
        <v>-247465</v>
      </c>
      <c r="Q21" s="18"/>
    </row>
    <row r="22" spans="1:17" x14ac:dyDescent="0.2">
      <c r="A22" s="21">
        <f>+A20+0.1</f>
        <v>2.4000000000000004</v>
      </c>
      <c r="B22" s="1" t="s">
        <v>30</v>
      </c>
      <c r="C22" s="30">
        <f>'Financial Statements'!B22/'Financial Statements'!B8</f>
        <v>5.2932835755978319E-2</v>
      </c>
      <c r="D22" s="30">
        <f>'Financial Statements'!C22/'Financial Statements'!C8</f>
        <v>-5.2958950004183018E-3</v>
      </c>
      <c r="E22" s="30">
        <f>'Financial Statements'!D22/'Financial Statements'!D8</f>
        <v>7.1014128755145567E-2</v>
      </c>
    </row>
    <row r="23" spans="1:17" x14ac:dyDescent="0.2">
      <c r="A23" s="21"/>
      <c r="C23" s="29"/>
      <c r="D23" s="29"/>
      <c r="E23" s="29"/>
    </row>
    <row r="24" spans="1:17" x14ac:dyDescent="0.2">
      <c r="A24" s="21">
        <f>+A16+1</f>
        <v>3</v>
      </c>
      <c r="B24" s="9" t="s">
        <v>31</v>
      </c>
      <c r="C24" s="29"/>
      <c r="D24" s="29"/>
      <c r="E24" s="29"/>
    </row>
    <row r="25" spans="1:17" x14ac:dyDescent="0.2">
      <c r="A25" s="21">
        <f>+A24+0.1</f>
        <v>3.1</v>
      </c>
      <c r="B25" s="1" t="s">
        <v>32</v>
      </c>
      <c r="C25" s="29">
        <f>'Financial Statements'!B62/'Financial Statements'!B68</f>
        <v>1.6147566563467493</v>
      </c>
      <c r="D25" s="29">
        <f>'Financial Statements'!C62/'Financial Statements'!C68</f>
        <v>2.1680737864875415</v>
      </c>
      <c r="E25" s="29">
        <f>'Financial Statements'!D62/'Financial Statements'!D68</f>
        <v>2.0420557705522802</v>
      </c>
    </row>
    <row r="26" spans="1:17" x14ac:dyDescent="0.2">
      <c r="A26" s="21">
        <f t="shared" ref="A26:A30" si="2">+A25+0.1</f>
        <v>3.2</v>
      </c>
      <c r="B26" s="1" t="s">
        <v>33</v>
      </c>
      <c r="C26" s="29">
        <f>'Financial Statements'!B62/'Financial Statements'!B48</f>
        <v>0.61755523307581262</v>
      </c>
      <c r="D26" s="29">
        <f>'Financial Statements'!C62/'Financial Statements'!C48</f>
        <v>0.68435078618900957</v>
      </c>
      <c r="E26" s="29">
        <f>'Financial Statements'!D62/'Financial Statements'!D48</f>
        <v>0.67127492872412009</v>
      </c>
    </row>
    <row r="27" spans="1:17" x14ac:dyDescent="0.2">
      <c r="A27" s="21">
        <f t="shared" si="2"/>
        <v>3.3000000000000003</v>
      </c>
      <c r="B27" s="1" t="s">
        <v>34</v>
      </c>
      <c r="C27" s="29">
        <f>'Financial Statements'!B61/('Financial Statements'!B61+'Financial Statements'!B68)</f>
        <v>0.44377398832304227</v>
      </c>
      <c r="D27" s="29">
        <f>'Financial Statements'!C61/('Financial Statements'!C61+'Financial Statements'!C68)</f>
        <v>0.52472647275141404</v>
      </c>
      <c r="E27" s="29">
        <f>'Financial Statements'!D61/('Financial Statements'!D61+'Financial Statements'!D68)</f>
        <v>0.50322154066184421</v>
      </c>
    </row>
    <row r="28" spans="1:17" x14ac:dyDescent="0.2">
      <c r="A28" s="21">
        <f t="shared" si="2"/>
        <v>3.4000000000000004</v>
      </c>
      <c r="B28" s="1" t="s">
        <v>35</v>
      </c>
      <c r="C28" s="29">
        <f>C21/('Financial Statements'!B55+'Financial Statements'!B59)</f>
        <v>-2.1775359079196575</v>
      </c>
      <c r="D28" s="29">
        <f>D21/('Financial Statements'!C55+'Financial Statements'!C59)</f>
        <v>-2.1322196182429307</v>
      </c>
      <c r="E28" s="29">
        <f>E21/('Financial Statements'!D55+'Financial Statements'!D59)</f>
        <v>-2.4618728797540763</v>
      </c>
    </row>
    <row r="29" spans="1:17" x14ac:dyDescent="0.2">
      <c r="A29" s="21">
        <f t="shared" si="2"/>
        <v>3.5000000000000004</v>
      </c>
      <c r="B29" s="1" t="s">
        <v>36</v>
      </c>
      <c r="C29" s="29">
        <f>'Financial Statements'!B18/'Financial Statements'!B59</f>
        <v>0.63195802037246629</v>
      </c>
      <c r="D29" s="29">
        <f>'Financial Statements'!C18/'Financial Statements'!C59</f>
        <v>0.18239761727475801</v>
      </c>
      <c r="E29" s="29">
        <f>'Financial Statements'!D18/'Financial Statements'!D59</f>
        <v>0.51040128015755781</v>
      </c>
    </row>
    <row r="30" spans="1:17" x14ac:dyDescent="0.2">
      <c r="A30" s="21">
        <f t="shared" si="2"/>
        <v>3.6000000000000005</v>
      </c>
      <c r="B30" s="1" t="s">
        <v>37</v>
      </c>
      <c r="C30" s="29">
        <f>C31/'Financial Statements'!B27</f>
        <v>4.7360248447204967</v>
      </c>
      <c r="D30" s="29">
        <f>D31/'Financial Statements'!C27</f>
        <v>10.068112670527039</v>
      </c>
      <c r="E30" s="29">
        <f>E31/'Financial Statements'!D27</f>
        <v>3.6808342393990312</v>
      </c>
    </row>
    <row r="31" spans="1:17" x14ac:dyDescent="0.2">
      <c r="A31" s="21"/>
      <c r="B31" s="18" t="s">
        <v>38</v>
      </c>
      <c r="C31" s="29">
        <f>'Financial Statements'!B74-'List of Ratios'!C32+'List of Ratios'!C33</f>
        <v>48800</v>
      </c>
      <c r="D31" s="29">
        <f>'Financial Statements'!C74-'List of Ratios'!D32+'List of Ratios'!D33</f>
        <v>102584</v>
      </c>
      <c r="E31" s="29">
        <f>'Financial Statements'!D74-'List of Ratios'!E32+'List of Ratios'!E33</f>
        <v>37239</v>
      </c>
    </row>
    <row r="32" spans="1:17" x14ac:dyDescent="0.2">
      <c r="A32" s="21"/>
      <c r="B32" s="1" t="s">
        <v>153</v>
      </c>
      <c r="C32" s="29">
        <f>'Financial Statements'!B42-'Financial Statements'!C42+'Financial Statements'!B78</f>
        <v>74223</v>
      </c>
      <c r="D32" s="29">
        <f>'Financial Statements'!C42-'Financial Statements'!D42+'Financial Statements'!C78</f>
        <v>27132</v>
      </c>
      <c r="E32" s="29">
        <f>'Financial Statements'!D42-132733+'Financial Statements'!D78</f>
        <v>63280</v>
      </c>
    </row>
    <row r="33" spans="1:6" x14ac:dyDescent="0.2">
      <c r="A33" s="21">
        <f>+A24+1</f>
        <v>4</v>
      </c>
      <c r="B33" s="1" t="s">
        <v>154</v>
      </c>
      <c r="C33" s="29">
        <f>('Financial Statements'!B55+'Financial Statements'!B59)-'Financial Statements'!B74</f>
        <v>68770</v>
      </c>
      <c r="D33" s="29">
        <f>('Financial Statements'!C55+'Financial Statements'!C59)-'Financial Statements'!C74</f>
        <v>93239</v>
      </c>
      <c r="E33" s="29">
        <f>('Financial Statements'!D55+'Financial Statements'!D59)-'Financial Statements'!D74</f>
        <v>58142</v>
      </c>
    </row>
    <row r="34" spans="1:6" x14ac:dyDescent="0.2">
      <c r="A34" s="21"/>
    </row>
    <row r="35" spans="1:6" x14ac:dyDescent="0.2">
      <c r="A35" s="21">
        <f>+A33+0.1</f>
        <v>4.0999999999999996</v>
      </c>
      <c r="B35" s="22" t="s">
        <v>39</v>
      </c>
    </row>
    <row r="36" spans="1:6" x14ac:dyDescent="0.2">
      <c r="A36" s="21">
        <f t="shared" ref="A36:A38" si="3">+A35+0.1</f>
        <v>4.1999999999999993</v>
      </c>
      <c r="B36" s="1" t="s">
        <v>40</v>
      </c>
      <c r="C36" s="29">
        <f>'Financial Statements'!B8/'List of Ratios'!C42</f>
        <v>1.1989505779799721</v>
      </c>
      <c r="D36" s="29">
        <f>'Financial Statements'!C8/'List of Ratios'!D42</f>
        <v>1.4594792979218059</v>
      </c>
      <c r="E36" s="29">
        <f>'Financial Statements'!D8/'List of Ratios'!E42</f>
        <v>3.6284033996347054</v>
      </c>
    </row>
    <row r="37" spans="1:6" x14ac:dyDescent="0.2">
      <c r="A37" s="21">
        <f t="shared" si="3"/>
        <v>4.2999999999999989</v>
      </c>
      <c r="B37" s="1" t="s">
        <v>41</v>
      </c>
      <c r="C37" s="36">
        <f>'Financial Statements'!B8/'List of Ratios'!C38</f>
        <v>1.1194675184294325</v>
      </c>
      <c r="D37" s="36">
        <f>'Financial Statements'!C8/'List of Ratios'!D38</f>
        <v>1.1540623101993068</v>
      </c>
      <c r="E37" s="36">
        <f>'Financial Statements'!D8/'List of Ratios'!E38</f>
        <v>1.8142016998173527</v>
      </c>
      <c r="F37" s="37"/>
    </row>
    <row r="38" spans="1:6" x14ac:dyDescent="0.2">
      <c r="A38" s="21">
        <f t="shared" si="3"/>
        <v>4.3999999999999986</v>
      </c>
      <c r="B38" s="1" t="s">
        <v>150</v>
      </c>
      <c r="C38" s="36">
        <f>'Financial Statements'!B47+'Financial Statements'!C47/2</f>
        <v>513445</v>
      </c>
      <c r="D38" s="36">
        <f>'Financial Statements'!C47+'Financial Statements'!D47/2</f>
        <v>445368.5</v>
      </c>
      <c r="E38" s="36">
        <f>'Financial Statements'!D47+'Financial Statements'!E47/2</f>
        <v>258969</v>
      </c>
      <c r="F38" s="37"/>
    </row>
    <row r="39" spans="1:6" x14ac:dyDescent="0.2">
      <c r="A39" s="21"/>
      <c r="B39" s="1" t="s">
        <v>42</v>
      </c>
      <c r="C39" s="29">
        <f>'Financial Statements'!B12/'Financial Statements'!B39</f>
        <v>9.1463773335734437</v>
      </c>
      <c r="D39" s="29">
        <f>'Financial Statements'!C12/'Financial Statements'!C39</f>
        <v>8.3950297921813686</v>
      </c>
      <c r="E39" s="29">
        <f>'Financial Statements'!D12/'Financial Statements'!D39</f>
        <v>8.3438725490196077</v>
      </c>
    </row>
    <row r="40" spans="1:6" x14ac:dyDescent="0.2">
      <c r="A40" s="21">
        <f>+A33+1</f>
        <v>5</v>
      </c>
      <c r="B40" s="1" t="s">
        <v>43</v>
      </c>
      <c r="C40" s="29">
        <f>'Financial Statements'!B22/'Financial Statements'!B48</f>
        <v>5.7639044129626754E-2</v>
      </c>
      <c r="D40" s="29">
        <f>'Financial Statements'!C22/'Financial Statements'!C48</f>
        <v>-5.8831793375479545E-3</v>
      </c>
      <c r="E40" s="29">
        <f>'Financial Statements'!D22/'Financial Statements'!D48</f>
        <v>7.9334393851846041E-2</v>
      </c>
    </row>
    <row r="41" spans="1:6" x14ac:dyDescent="0.2">
      <c r="A41" s="21"/>
      <c r="B41" s="1" t="s">
        <v>155</v>
      </c>
      <c r="C41" s="31">
        <f>(C38-D38)/D38</f>
        <v>0.15285432175827432</v>
      </c>
      <c r="D41" s="31">
        <f t="shared" ref="D41:E41" si="4">(D38-E38)/E38</f>
        <v>0.71977533990554854</v>
      </c>
      <c r="E41" s="31">
        <f>(E38-95947)/95947</f>
        <v>1.699083869219465</v>
      </c>
    </row>
    <row r="42" spans="1:6" x14ac:dyDescent="0.2">
      <c r="A42" s="21">
        <f>+A40+0.1</f>
        <v>5.0999999999999996</v>
      </c>
      <c r="C42" s="38">
        <f>(C38+D38)/2</f>
        <v>479406.75</v>
      </c>
      <c r="D42" s="38">
        <f t="shared" ref="D42:E42" si="5">(D38+E38)/2</f>
        <v>352168.75</v>
      </c>
      <c r="E42" s="38">
        <f t="shared" si="5"/>
        <v>129484.5</v>
      </c>
    </row>
    <row r="43" spans="1:6" x14ac:dyDescent="0.2">
      <c r="A43" s="21">
        <f t="shared" ref="A43:A46" si="6">+A42+0.1</f>
        <v>5.1999999999999993</v>
      </c>
      <c r="B43" s="22" t="s">
        <v>44</v>
      </c>
    </row>
    <row r="44" spans="1:6" x14ac:dyDescent="0.2">
      <c r="A44" s="21">
        <f t="shared" si="6"/>
        <v>5.2999999999999989</v>
      </c>
      <c r="B44" s="1" t="s">
        <v>45</v>
      </c>
      <c r="C44" s="29">
        <f>C45/C46</f>
        <v>34.915254237288131</v>
      </c>
      <c r="D44" s="29">
        <f t="shared" ref="D44:E44" si="7">D45/D46</f>
        <v>-555.55555555555554</v>
      </c>
      <c r="E44" s="29">
        <f t="shared" si="7"/>
        <v>48.484848484848484</v>
      </c>
    </row>
    <row r="45" spans="1:6" x14ac:dyDescent="0.2">
      <c r="A45" s="21">
        <f t="shared" si="6"/>
        <v>5.3999999999999986</v>
      </c>
      <c r="B45" s="1" t="s">
        <v>151</v>
      </c>
      <c r="C45" s="29">
        <f>103</f>
        <v>103</v>
      </c>
      <c r="D45" s="29">
        <f>150</f>
        <v>150</v>
      </c>
      <c r="E45" s="29">
        <f>160</f>
        <v>160</v>
      </c>
    </row>
    <row r="46" spans="1:6" x14ac:dyDescent="0.2">
      <c r="A46" s="21">
        <f t="shared" si="6"/>
        <v>5.4999999999999982</v>
      </c>
      <c r="B46" s="18" t="s">
        <v>46</v>
      </c>
      <c r="C46" s="29">
        <f>'Financial Statements'!B24</f>
        <v>2.95</v>
      </c>
      <c r="D46" s="29">
        <f>'Financial Statements'!C24</f>
        <v>-0.27</v>
      </c>
      <c r="E46" s="29">
        <f>'Financial Statements'!D24</f>
        <v>3.3</v>
      </c>
    </row>
    <row r="47" spans="1:6" x14ac:dyDescent="0.2">
      <c r="A47" s="21"/>
      <c r="B47" s="18" t="s">
        <v>152</v>
      </c>
      <c r="C47" s="26">
        <f>'Financial Statements'!B27*'List of Ratios'!C45</f>
        <v>1061312</v>
      </c>
      <c r="D47" s="26">
        <f>'Financial Statements'!C27*'List of Ratios'!D45</f>
        <v>1528350</v>
      </c>
      <c r="E47" s="26">
        <f>'Financial Statements'!D27*'List of Ratios'!E45</f>
        <v>1618720</v>
      </c>
    </row>
    <row r="48" spans="1:6" x14ac:dyDescent="0.2">
      <c r="A48" s="21">
        <f>+A46+0.1</f>
        <v>5.5999999999999979</v>
      </c>
      <c r="B48" s="1" t="s">
        <v>47</v>
      </c>
      <c r="C48" s="29">
        <f>C47/('Financial Statements'!B48-'Financial Statements'!B62)</f>
        <v>5.2572730650154798</v>
      </c>
      <c r="D48" s="29">
        <f>D47/('Financial Statements'!C48-'Financial Statements'!C62)</f>
        <v>10.465068507220476</v>
      </c>
      <c r="E48" s="29">
        <f>E47/('Financial Statements'!D48-'Financial Statements'!D62)</f>
        <v>11.709067235704728</v>
      </c>
    </row>
    <row r="49" spans="1:5" x14ac:dyDescent="0.2">
      <c r="A49" s="21">
        <f t="shared" ref="A49:A52" si="8">+A47+0.1</f>
        <v>0.1</v>
      </c>
      <c r="B49" s="18" t="s">
        <v>48</v>
      </c>
      <c r="C49" s="29">
        <f>'Financial Statements'!B68/'Financial Statements'!B27</f>
        <v>19.591906055900623</v>
      </c>
      <c r="D49" s="29">
        <f>'Financial Statements'!C68/'Financial Statements'!C27</f>
        <v>14.333398763372264</v>
      </c>
      <c r="E49" s="29">
        <f>'Financial Statements'!D68/'Financial Statements'!D27</f>
        <v>13.66462390036572</v>
      </c>
    </row>
    <row r="50" spans="1:5" x14ac:dyDescent="0.2">
      <c r="A50" s="21">
        <f t="shared" si="8"/>
        <v>5.6999999999999975</v>
      </c>
      <c r="B50" s="1" t="s">
        <v>49</v>
      </c>
      <c r="C50" s="29">
        <f>'Financial Statements'!B101/'Financial Statements'!B22</f>
        <v>-0.84394412489728843</v>
      </c>
      <c r="D50" s="29">
        <f>'Financial Statements'!C101/'Financial Statements'!C22</f>
        <v>13.796473181484203</v>
      </c>
      <c r="E50" s="29">
        <f>'Financial Statements'!D101/'Financial Statements'!D22</f>
        <v>-0.23237621388322743</v>
      </c>
    </row>
    <row r="51" spans="1:5" x14ac:dyDescent="0.2">
      <c r="A51" s="21">
        <f t="shared" si="8"/>
        <v>0.2</v>
      </c>
      <c r="B51" s="18" t="s">
        <v>50</v>
      </c>
      <c r="C51" s="29">
        <f>'Financial Statements'!B101/'Financial Statements'!B27</f>
        <v>-2.4919448757763973</v>
      </c>
      <c r="D51" s="29">
        <f>'Financial Statements'!C101/'Financial Statements'!C27</f>
        <v>-3.6857395230150161</v>
      </c>
      <c r="E51" s="29">
        <f>'Financial Statements'!D101/'Financial Statements'!D27</f>
        <v>-0.76633389344667391</v>
      </c>
    </row>
    <row r="52" spans="1:5" x14ac:dyDescent="0.2">
      <c r="A52" s="21">
        <f t="shared" si="8"/>
        <v>5.7999999999999972</v>
      </c>
      <c r="B52" s="1" t="s">
        <v>51</v>
      </c>
      <c r="C52" s="31">
        <f>C51/C45</f>
        <v>-2.4193639570644635E-2</v>
      </c>
      <c r="D52" s="31">
        <f t="shared" ref="D52:E52" si="9">D51/D45</f>
        <v>-2.4571596820100107E-2</v>
      </c>
      <c r="E52" s="31">
        <f t="shared" si="9"/>
        <v>-4.7895868340417118E-3</v>
      </c>
    </row>
    <row r="53" spans="1:5" x14ac:dyDescent="0.2">
      <c r="A53" s="21"/>
      <c r="B53" s="1" t="s">
        <v>52</v>
      </c>
      <c r="C53" s="29">
        <f>'Financial Statements'!B22/'Financial Statements'!B68</f>
        <v>0.15071207430340558</v>
      </c>
      <c r="D53" s="29">
        <f>'Financial Statements'!C22/'Financial Statements'!C68</f>
        <v>-1.8638346240490815E-2</v>
      </c>
      <c r="E53" s="29">
        <f>'Financial Statements'!D22/'Financial Statements'!D68</f>
        <v>0.2413396506202756</v>
      </c>
    </row>
    <row r="54" spans="1:5" x14ac:dyDescent="0.2">
      <c r="B54" s="1" t="s">
        <v>53</v>
      </c>
      <c r="C54" s="29">
        <f>C21/('Financial Statements'!B48-'Financial Statements'!B61)</f>
        <v>-0.73035126175052889</v>
      </c>
      <c r="D54" s="29">
        <f>D21/('Financial Statements'!C48-'Financial Statements'!C61)</f>
        <v>-0.91755132101009829</v>
      </c>
      <c r="E54" s="29">
        <f>E21/('Financial Statements'!D48-'Financial Statements'!D61)</f>
        <v>-0.88219356816666727</v>
      </c>
    </row>
    <row r="55" spans="1:5" x14ac:dyDescent="0.2">
      <c r="B55" s="1" t="s">
        <v>43</v>
      </c>
      <c r="C55" s="28">
        <f>'Financial Statements'!B22/'Financial Statements'!B48</f>
        <v>5.7639044129626754E-2</v>
      </c>
      <c r="D55" s="28">
        <f>'Financial Statements'!C22/'Financial Statements'!C48</f>
        <v>-5.8831793375479545E-3</v>
      </c>
      <c r="E55" s="28">
        <f>'Financial Statements'!D22/'Financial Statements'!D48</f>
        <v>7.9334393851846041E-2</v>
      </c>
    </row>
    <row r="56" spans="1:5" x14ac:dyDescent="0.2">
      <c r="B56" s="1" t="s">
        <v>54</v>
      </c>
      <c r="C56" s="32">
        <f>C57/C19</f>
        <v>2.4826026443980513</v>
      </c>
      <c r="D56" s="32">
        <f>D57/D19</f>
        <v>5.4430481220380544</v>
      </c>
      <c r="E56" s="32">
        <f>E57/E19</f>
        <v>3.2742104427868592</v>
      </c>
    </row>
    <row r="57" spans="1:5" x14ac:dyDescent="0.2">
      <c r="B57" s="18" t="s">
        <v>55</v>
      </c>
      <c r="C57">
        <f>'Financial Statements'!B56+('Financial Statements'!B55+'Financial Statements'!B59-'Financial Statements'!B109)</f>
        <v>214050</v>
      </c>
      <c r="D57">
        <f>'Financial Statements'!C56+('Financial Statements'!C55+'Financial Statements'!C59-'Financial Statements'!C109)</f>
        <v>230856</v>
      </c>
      <c r="E57">
        <f>'Financial Statements'!D56+('Financial Statements'!D55+'Financial Statements'!D59-'Financial Statements'!D109)</f>
        <v>206308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Petros Leras</cp:lastModifiedBy>
  <dcterms:created xsi:type="dcterms:W3CDTF">2020-05-19T16:15:53Z</dcterms:created>
  <dcterms:modified xsi:type="dcterms:W3CDTF">2024-10-14T21:43:41Z</dcterms:modified>
</cp:coreProperties>
</file>