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petrosleras/Desktop/QCP/Task 6/"/>
    </mc:Choice>
  </mc:AlternateContent>
  <xr:revisionPtr revIDLastSave="0" documentId="13_ncr:1_{BF79810A-39F7-264B-9127-29C65D48AD8E}" xr6:coauthVersionLast="47" xr6:coauthVersionMax="47" xr10:uidLastSave="{00000000-0000-0000-0000-000000000000}"/>
  <bookViews>
    <workbookView xWindow="44940" yWindow="780" windowWidth="29400" windowHeight="1838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0" i="1" l="1"/>
  <c r="D140" i="1"/>
  <c r="E140" i="1"/>
  <c r="F140" i="1"/>
  <c r="G140" i="1"/>
  <c r="H140" i="1"/>
  <c r="I140" i="1"/>
  <c r="B140" i="1"/>
  <c r="D30" i="1"/>
  <c r="E30" i="1"/>
  <c r="F30" i="1"/>
  <c r="G30" i="1"/>
  <c r="F61" i="1"/>
  <c r="C31" i="1"/>
  <c r="C37" i="1" s="1"/>
  <c r="C61" i="1" s="1"/>
  <c r="C20" i="1"/>
  <c r="D20" i="1"/>
  <c r="E20" i="1"/>
  <c r="F20" i="1"/>
  <c r="G20" i="1"/>
  <c r="H20" i="1"/>
  <c r="I20" i="1"/>
  <c r="B20" i="1"/>
  <c r="F124" i="1"/>
  <c r="F116" i="1"/>
  <c r="E124" i="1"/>
  <c r="E116" i="1"/>
  <c r="B136" i="1"/>
  <c r="C129" i="1"/>
  <c r="D129" i="1"/>
  <c r="G129" i="1"/>
  <c r="H129" i="1"/>
  <c r="I129" i="1"/>
  <c r="B129" i="1"/>
  <c r="B98" i="1"/>
  <c r="C98" i="1"/>
  <c r="D98" i="1"/>
  <c r="E98" i="1"/>
  <c r="F98" i="1"/>
  <c r="G98" i="1"/>
  <c r="H98" i="1"/>
  <c r="I98" i="1"/>
  <c r="D61" i="1"/>
  <c r="E61" i="1"/>
  <c r="G61" i="1"/>
  <c r="B61" i="1"/>
  <c r="B30" i="1"/>
  <c r="B31" i="1"/>
  <c r="B37" i="1" s="1"/>
  <c r="G97" i="1"/>
  <c r="F97" i="1"/>
  <c r="G96" i="1" s="1"/>
  <c r="E97" i="1"/>
  <c r="F96" i="1" s="1"/>
  <c r="D97" i="1"/>
  <c r="C97" i="1"/>
  <c r="D96" i="1" s="1"/>
  <c r="B97" i="1"/>
  <c r="C96" i="1" s="1"/>
  <c r="G94" i="1"/>
  <c r="F94" i="1"/>
  <c r="E94" i="1"/>
  <c r="B94" i="1"/>
  <c r="B95" i="1"/>
  <c r="C94" i="1"/>
  <c r="D94" i="1"/>
  <c r="C93" i="1"/>
  <c r="D93" i="1"/>
  <c r="E93" i="1"/>
  <c r="F93" i="1"/>
  <c r="G93" i="1"/>
  <c r="B93" i="1"/>
  <c r="C84" i="1"/>
  <c r="D84" i="1"/>
  <c r="E84" i="1"/>
  <c r="F84" i="1"/>
  <c r="G84" i="1"/>
  <c r="B84" i="1"/>
  <c r="C77" i="1"/>
  <c r="C95" i="1" s="1"/>
  <c r="D77" i="1"/>
  <c r="D95" i="1" s="1"/>
  <c r="E77" i="1"/>
  <c r="E95" i="1" s="1"/>
  <c r="F77" i="1"/>
  <c r="F95" i="1" s="1"/>
  <c r="G77" i="1"/>
  <c r="G95" i="1" s="1"/>
  <c r="B77" i="1"/>
  <c r="C59" i="1"/>
  <c r="D59" i="1"/>
  <c r="E59" i="1"/>
  <c r="F59" i="1"/>
  <c r="G59" i="1"/>
  <c r="B59" i="1"/>
  <c r="C46" i="1"/>
  <c r="D46" i="1"/>
  <c r="E46" i="1"/>
  <c r="F46" i="1"/>
  <c r="G46" i="1"/>
  <c r="G60" i="1" s="1"/>
  <c r="B46" i="1"/>
  <c r="B60" i="1" s="1"/>
  <c r="G37" i="1"/>
  <c r="D31" i="1"/>
  <c r="D37" i="1" s="1"/>
  <c r="E31" i="1"/>
  <c r="E37" i="1" s="1"/>
  <c r="F31" i="1"/>
  <c r="F37" i="1" s="1"/>
  <c r="G31" i="1"/>
  <c r="E60" i="1" l="1"/>
  <c r="F60" i="1"/>
  <c r="C60" i="1"/>
  <c r="D60" i="1"/>
  <c r="B138" i="1" l="1"/>
  <c r="B137" i="1"/>
  <c r="B139" i="1" s="1"/>
  <c r="B135" i="1"/>
  <c r="B134" i="1"/>
  <c r="B133" i="1"/>
  <c r="B132" i="1"/>
  <c r="B131" i="1"/>
  <c r="C138" i="1"/>
  <c r="C137" i="1"/>
  <c r="C135" i="1"/>
  <c r="C134" i="1"/>
  <c r="C133" i="1"/>
  <c r="C132" i="1"/>
  <c r="C131" i="1"/>
  <c r="C136" i="1" s="1"/>
  <c r="C139" i="1" s="1"/>
  <c r="D138" i="1"/>
  <c r="D137" i="1"/>
  <c r="D135" i="1"/>
  <c r="D134" i="1"/>
  <c r="D133" i="1"/>
  <c r="D132" i="1"/>
  <c r="D131" i="1"/>
  <c r="D136" i="1" s="1"/>
  <c r="D139" i="1" s="1"/>
  <c r="E138" i="1"/>
  <c r="E137" i="1"/>
  <c r="E135" i="1"/>
  <c r="E134" i="1"/>
  <c r="E133" i="1"/>
  <c r="E132" i="1"/>
  <c r="E131" i="1"/>
  <c r="E136" i="1" s="1"/>
  <c r="E139" i="1" s="1"/>
  <c r="F138" i="1"/>
  <c r="F131" i="1"/>
  <c r="F136" i="1" s="1"/>
  <c r="F137" i="1"/>
  <c r="F135" i="1"/>
  <c r="F134" i="1"/>
  <c r="F133" i="1"/>
  <c r="F132" i="1"/>
  <c r="G138" i="1"/>
  <c r="G137" i="1"/>
  <c r="G135" i="1"/>
  <c r="G134" i="1"/>
  <c r="G133" i="1"/>
  <c r="G132" i="1"/>
  <c r="G131" i="1"/>
  <c r="E127" i="1"/>
  <c r="G126" i="1"/>
  <c r="F127" i="1"/>
  <c r="G127" i="1"/>
  <c r="G124" i="1"/>
  <c r="G123" i="1"/>
  <c r="G122" i="1"/>
  <c r="G121" i="1"/>
  <c r="G119" i="1"/>
  <c r="G118" i="1"/>
  <c r="G117" i="1"/>
  <c r="G116" i="1" s="1"/>
  <c r="G115" i="1"/>
  <c r="G114" i="1"/>
  <c r="G113" i="1"/>
  <c r="G111" i="1"/>
  <c r="G110" i="1"/>
  <c r="G109" i="1"/>
  <c r="F126" i="1"/>
  <c r="E126" i="1"/>
  <c r="F123" i="1"/>
  <c r="F122" i="1"/>
  <c r="F121" i="1"/>
  <c r="E123" i="1"/>
  <c r="E122" i="1"/>
  <c r="E121" i="1"/>
  <c r="E120" i="1" s="1"/>
  <c r="E119" i="1"/>
  <c r="F119" i="1"/>
  <c r="F118" i="1"/>
  <c r="E118" i="1"/>
  <c r="E117" i="1"/>
  <c r="F117" i="1"/>
  <c r="F113" i="1"/>
  <c r="F114" i="1"/>
  <c r="F115" i="1"/>
  <c r="E115" i="1"/>
  <c r="E114" i="1"/>
  <c r="E113" i="1"/>
  <c r="F111" i="1"/>
  <c r="F110" i="1"/>
  <c r="F109" i="1"/>
  <c r="E111" i="1"/>
  <c r="E110" i="1"/>
  <c r="E109" i="1"/>
  <c r="C127" i="1"/>
  <c r="D127" i="1"/>
  <c r="B127" i="1"/>
  <c r="B126" i="1"/>
  <c r="C126" i="1"/>
  <c r="D126" i="1"/>
  <c r="D124" i="1"/>
  <c r="C124" i="1"/>
  <c r="D123" i="1"/>
  <c r="D122" i="1"/>
  <c r="D121" i="1"/>
  <c r="C123" i="1"/>
  <c r="C122" i="1"/>
  <c r="C121" i="1"/>
  <c r="C120" i="1" s="1"/>
  <c r="D119" i="1"/>
  <c r="D118" i="1"/>
  <c r="D117" i="1"/>
  <c r="C119" i="1"/>
  <c r="C118" i="1"/>
  <c r="C117" i="1"/>
  <c r="C116" i="1" s="1"/>
  <c r="D115" i="1"/>
  <c r="D114" i="1"/>
  <c r="D113" i="1"/>
  <c r="C115" i="1"/>
  <c r="C114" i="1"/>
  <c r="C113" i="1"/>
  <c r="C111" i="1"/>
  <c r="C110" i="1"/>
  <c r="C109" i="1"/>
  <c r="C108" i="1" s="1"/>
  <c r="D109" i="1"/>
  <c r="D108" i="1" s="1"/>
  <c r="D111" i="1"/>
  <c r="D110" i="1"/>
  <c r="B124" i="1"/>
  <c r="B123" i="1"/>
  <c r="B121" i="1"/>
  <c r="B122" i="1"/>
  <c r="B115" i="1"/>
  <c r="B114" i="1"/>
  <c r="B113" i="1"/>
  <c r="B119" i="1"/>
  <c r="B118" i="1"/>
  <c r="B117" i="1"/>
  <c r="B108" i="1"/>
  <c r="C18" i="1"/>
  <c r="C7" i="1"/>
  <c r="D7" i="1"/>
  <c r="E7" i="1"/>
  <c r="F7" i="1"/>
  <c r="G7" i="1"/>
  <c r="H7" i="1"/>
  <c r="I7" i="1"/>
  <c r="B7" i="1"/>
  <c r="E4" i="1"/>
  <c r="F4" i="1"/>
  <c r="C4" i="1"/>
  <c r="B4" i="1"/>
  <c r="D3" i="1"/>
  <c r="D4" i="1" s="1"/>
  <c r="I120" i="1"/>
  <c r="H120" i="1"/>
  <c r="G120" i="1"/>
  <c r="I116" i="1"/>
  <c r="H116" i="1"/>
  <c r="I112" i="1"/>
  <c r="H112" i="1"/>
  <c r="H108" i="1"/>
  <c r="I108" i="1"/>
  <c r="I136" i="1"/>
  <c r="I139" i="1" s="1"/>
  <c r="H136" i="1"/>
  <c r="H139" i="1" s="1"/>
  <c r="D112" i="1" l="1"/>
  <c r="F139" i="1"/>
  <c r="F112" i="1"/>
  <c r="B120" i="1"/>
  <c r="C112" i="1"/>
  <c r="C125" i="1" s="1"/>
  <c r="C128" i="1" s="1"/>
  <c r="F120" i="1"/>
  <c r="E112" i="1"/>
  <c r="D116" i="1"/>
  <c r="G112" i="1"/>
  <c r="B116" i="1"/>
  <c r="B112" i="1"/>
  <c r="B125" i="1" s="1"/>
  <c r="B128" i="1" s="1"/>
  <c r="D120" i="1"/>
  <c r="G136" i="1"/>
  <c r="G139" i="1" s="1"/>
  <c r="F108" i="1"/>
  <c r="F125" i="1" s="1"/>
  <c r="F128" i="1" s="1"/>
  <c r="F129" i="1" s="1"/>
  <c r="G108" i="1"/>
  <c r="E108" i="1"/>
  <c r="C10" i="1"/>
  <c r="E10" i="1"/>
  <c r="E12" i="1" s="1"/>
  <c r="F10" i="1"/>
  <c r="F12" i="1" s="1"/>
  <c r="D10" i="1"/>
  <c r="H125" i="1"/>
  <c r="H128" i="1" s="1"/>
  <c r="I125" i="1"/>
  <c r="I128" i="1" s="1"/>
  <c r="G125" i="1"/>
  <c r="G128" i="1" s="1"/>
  <c r="E125" i="1" l="1"/>
  <c r="E128" i="1" s="1"/>
  <c r="E129" i="1" s="1"/>
  <c r="D125" i="1"/>
  <c r="D128" i="1" s="1"/>
  <c r="E63" i="1"/>
  <c r="F63" i="1"/>
  <c r="H93" i="1"/>
  <c r="I93" i="1"/>
  <c r="H84" i="1"/>
  <c r="I84" i="1"/>
  <c r="H59" i="1"/>
  <c r="I59" i="1"/>
  <c r="H46" i="1"/>
  <c r="I46" i="1"/>
  <c r="H31" i="1"/>
  <c r="H37" i="1" s="1"/>
  <c r="I31" i="1"/>
  <c r="I37" i="1" s="1"/>
  <c r="H4" i="1"/>
  <c r="H10" i="1" s="1"/>
  <c r="G4" i="1"/>
  <c r="G10" i="1" s="1"/>
  <c r="I4" i="1"/>
  <c r="I10" i="1" s="1"/>
  <c r="D12" i="1" l="1"/>
  <c r="B10" i="1"/>
  <c r="B12" i="1" s="1"/>
  <c r="H12" i="1"/>
  <c r="H60" i="1"/>
  <c r="H61" i="1" s="1"/>
  <c r="I12" i="1"/>
  <c r="C12" i="1"/>
  <c r="I60" i="1"/>
  <c r="I61" i="1" s="1"/>
  <c r="C63" i="1" l="1"/>
  <c r="I63" i="1"/>
  <c r="H63" i="1"/>
  <c r="B63" i="1"/>
  <c r="D63" i="1"/>
  <c r="H65" i="1"/>
  <c r="H77" i="1" s="1"/>
  <c r="H95" i="1" s="1"/>
  <c r="H97" i="1" s="1"/>
  <c r="I96" i="1" s="1"/>
  <c r="I65" i="1"/>
  <c r="I77" i="1" s="1"/>
  <c r="I95" i="1" s="1"/>
  <c r="G12" i="1"/>
  <c r="G63" i="1" l="1"/>
  <c r="I97" i="1"/>
  <c r="H1" i="1"/>
  <c r="G1" i="1" s="1"/>
  <c r="F1" i="1" s="1"/>
  <c r="E1" i="1" s="1"/>
  <c r="D1" i="1" s="1"/>
  <c r="C1" i="1" s="1"/>
  <c r="B1" i="1" s="1"/>
</calcChain>
</file>

<file path=xl/sharedStrings.xml><?xml version="1.0" encoding="utf-8"?>
<sst xmlns="http://schemas.openxmlformats.org/spreadsheetml/2006/main" count="158" uniqueCount="136">
  <si>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</si>
  <si>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</si>
  <si>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</si>
  <si>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</si>
  <si>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</si>
  <si>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</si>
  <si>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</si>
  <si>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</si>
  <si>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</si>
  <si>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</si>
  <si>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</si>
  <si>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</si>
  <si>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</si>
  <si>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</si>
  <si>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</si>
  <si>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</si>
  <si>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</si>
  <si>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</si>
  <si>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</si>
  <si>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</si>
  <si>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</si>
  <si>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</si>
  <si>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</si>
  <si>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</si>
  <si>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</si>
  <si>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</si>
  <si>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</si>
  <si>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</si>
  <si>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</si>
  <si>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</si>
  <si>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</si>
  <si>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</si>
  <si>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</si>
  <si>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</si>
  <si>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</si>
  <si>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</si>
  <si>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</si>
  <si>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</si>
  <si>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</si>
  <si>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</si>
  <si>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</si>
  <si>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</si>
  <si>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</si>
  <si>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</si>
  <si>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</si>
  <si>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</si>
  <si>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</si>
  <si>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</si>
  <si>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</si>
  <si>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</si>
  <si>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</si>
  <si>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</si>
  <si>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</si>
  <si>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</si>
  <si>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</si>
  <si>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</si>
  <si>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</si>
  <si>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</si>
  <si>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</si>
  <si>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</si>
  <si>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</si>
  <si>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</si>
  <si>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</si>
  <si>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</si>
  <si>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</si>
  <si>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</si>
  <si>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</si>
  <si>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</si>
  <si>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</si>
  <si>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</si>
  <si>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</si>
  <si>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</si>
  <si>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</si>
  <si>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</si>
  <si>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</si>
  <si>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</si>
  <si>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</si>
  <si>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</si>
  <si>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</si>
  <si>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</si>
  <si>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</si>
  <si>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</si>
  <si>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</si>
  <si>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</si>
  <si>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</si>
  <si>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</si>
  <si>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</si>
  <si>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</si>
  <si>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</si>
  <si>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</si>
  <si>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</si>
  <si>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</si>
  <si>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</si>
  <si>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</si>
  <si>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</si>
  <si>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</si>
  <si>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</si>
  <si>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</si>
  <si>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</si>
  <si>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</si>
  <si>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</si>
  <si>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</si>
  <si>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</si>
  <si>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</si>
  <si>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</si>
  <si>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</si>
  <si>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</si>
  <si>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</si>
  <si>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</si>
  <si>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</si>
  <si>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</si>
  <si>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</si>
  <si>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</si>
  <si>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</si>
  <si>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</si>
  <si>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</si>
  <si>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</si>
  <si>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</si>
  <si>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</si>
  <si>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</si>
  <si>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</si>
  <si>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</si>
  <si>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</si>
  <si>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</si>
  <si>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</si>
  <si>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</si>
  <si>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</si>
  <si>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</si>
  <si>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</si>
  <si>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$6</t>
  </si>
  <si>
    <t>Effect of exchange rate changes on cash and</t>
  </si>
  <si>
    <t>$3</t>
  </si>
  <si>
    <t xml:space="preserve"> </t>
  </si>
  <si>
    <t xml:space="preserve">  </t>
  </si>
  <si>
    <t xml:space="preserve">                                                                                                         -  </t>
  </si>
  <si>
    <t xml:space="preserve">non recognizable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</si>
</sst>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quot;$&quot;* #,##0_);_(&quot;$&quot;* \(#,##0\);_(&quot;$&quot;* &quot;-&quot;_);_(@_)"/>
    <numFmt numFmtId="166" formatCode="_(&quot;$&quot;* #,##0.00_);_(&quot;$&quot;* \(#,##0.00\);_(&quot;$&quot;* &quot;-&quot;??_);_(@_)"/>
    <numFmt numFmtId="167" formatCode="_([$$-409]* #,##0.00_);_([$$-409]* \(#,##0.00\);_([$$-409]* &quot;-&quot;??_);_(@_)"/>
    <numFmt numFmtId="168" formatCode="_([$$-409]* #,##0_);_([$$-409]* \(#,##0\);_([$$-409]* &quot;-&quot;??_);_(@_)"/>
    <numFmt numFmtId="171"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sz val="10"/>
      <name val="Arial"/>
      <family val="2"/>
    </font>
    <font>
      <sz val="11"/>
      <color rgb="FF000000"/>
      <name val="Calibri"/>
      <family val="2"/>
      <scheme val="minor"/>
    </font>
    <font>
      <sz val="11"/>
      <color rgb="FFFF0000"/>
      <name val="Calibri"/>
      <family val="2"/>
      <scheme val="minor"/>
    </font>
    <font>
      <sz val="11"/>
      <color rgb="FF92D050"/>
      <name val="Calibri"/>
      <family val="2"/>
      <scheme val="minor"/>
    </font>
    <font>
      <sz val="11"/>
      <color rgb="FF00B050"/>
      <name val="Calibri"/>
      <family val="2"/>
      <scheme val="minor"/>
    </font>
    <font>
      <sz val="10"/>
      <color rgb="FF00B050"/>
      <name val="Arial"/>
      <family val="2"/>
    </font>
    <font>
      <b/>
      <sz val="11"/>
      <color rgb="FF00B050"/>
      <name val="Calibri"/>
      <family val="2"/>
      <scheme val="minor"/>
    </font>
    <font>
      <b/>
      <sz val="11"/>
      <color rgb="FF92D05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60">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vertical="top"/>
    </xf>
    <xf numFmtId="0" fontId="0" fillId="0" borderId="0" xfId="0" applyAlignment="1">
      <alignment vertical="top"/>
    </xf>
    <xf numFmtId="165" fontId="10" fillId="0" borderId="0" xfId="0" applyNumberFormat="1" applyFont="1" applyAlignment="1">
      <alignment vertical="top"/>
    </xf>
    <xf numFmtId="37" fontId="10" fillId="0" borderId="0" xfId="0" applyNumberFormat="1" applyFont="1" applyAlignment="1">
      <alignment vertical="top"/>
    </xf>
    <xf numFmtId="166" fontId="10" fillId="0" borderId="0" xfId="0" applyNumberFormat="1" applyFont="1" applyAlignment="1">
      <alignment vertical="top"/>
    </xf>
    <xf numFmtId="43" fontId="10" fillId="0" borderId="0" xfId="0" applyNumberFormat="1" applyFont="1" applyAlignment="1">
      <alignment vertical="top"/>
    </xf>
    <xf numFmtId="39" fontId="10" fillId="0" borderId="0" xfId="0" applyNumberFormat="1" applyFont="1" applyAlignment="1">
      <alignment vertical="top"/>
    </xf>
    <xf numFmtId="167" fontId="10" fillId="0" borderId="0" xfId="0" applyNumberFormat="1" applyFont="1" applyAlignment="1">
      <alignment vertical="top"/>
    </xf>
    <xf numFmtId="167" fontId="0" fillId="0" borderId="0" xfId="0" applyNumberFormat="1"/>
    <xf numFmtId="168" fontId="10" fillId="0" borderId="0" xfId="0" applyNumberFormat="1" applyFont="1" applyAlignment="1">
      <alignment vertical="top"/>
    </xf>
    <xf numFmtId="168" fontId="0" fillId="0" borderId="0" xfId="1" applyNumberFormat="1" applyFont="1"/>
    <xf numFmtId="0" fontId="10" fillId="0" borderId="0" xfId="0" applyFont="1" applyAlignment="1">
      <alignment horizontal="center" vertical="top"/>
    </xf>
    <xf numFmtId="165" fontId="10" fillId="0" borderId="0" xfId="0" applyNumberFormat="1" applyFont="1" applyAlignment="1">
      <alignment horizontal="center" vertical="top"/>
    </xf>
    <xf numFmtId="37" fontId="10" fillId="0" borderId="0" xfId="0" applyNumberFormat="1" applyFont="1" applyAlignment="1">
      <alignment horizontal="center" vertical="top"/>
    </xf>
    <xf numFmtId="0" fontId="0" fillId="0" borderId="0" xfId="0" applyAlignment="1">
      <alignment horizontal="center" vertical="top"/>
    </xf>
    <xf numFmtId="43" fontId="10" fillId="0" borderId="0" xfId="0" applyNumberFormat="1" applyFont="1" applyAlignment="1">
      <alignment horizontal="center" vertical="top"/>
    </xf>
    <xf numFmtId="0" fontId="11" fillId="0" borderId="0" xfId="0" applyFont="1" applyAlignment="1">
      <alignment vertical="top"/>
    </xf>
    <xf numFmtId="165" fontId="0" fillId="0" borderId="0" xfId="0" applyNumberFormat="1"/>
    <xf numFmtId="0" fontId="15" fillId="0" borderId="0" xfId="0" applyFont="1" applyAlignment="1">
      <alignment horizontal="center" vertical="top"/>
    </xf>
    <xf numFmtId="164" fontId="16" fillId="0" borderId="0" xfId="0" applyNumberFormat="1" applyFont="1"/>
    <xf numFmtId="0" fontId="16" fillId="0" borderId="0" xfId="0" applyNumberFormat="1" applyFont="1"/>
    <xf numFmtId="0" fontId="14" fillId="0" borderId="0" xfId="0" applyNumberFormat="1" applyFont="1" applyAlignment="1">
      <alignment vertical="top"/>
    </xf>
    <xf numFmtId="0" fontId="12" fillId="0" borderId="0" xfId="0" applyFont="1" applyAlignment="1">
      <alignment horizontal="left" indent="2"/>
    </xf>
    <xf numFmtId="0" fontId="12" fillId="0" borderId="0" xfId="0" applyFont="1"/>
    <xf numFmtId="0" fontId="17" fillId="0" borderId="0" xfId="0" applyNumberFormat="1" applyFont="1"/>
    <xf numFmtId="0" fontId="17" fillId="0" borderId="0" xfId="0" applyFont="1"/>
    <xf numFmtId="0" fontId="13" fillId="0" borderId="0" xfId="0" applyFont="1"/>
    <xf numFmtId="171" fontId="5" fillId="0" borderId="0" xfId="0" applyNumberFormat="1" applyFont="1"/>
    <xf numFmtId="0" fontId="13" fillId="0" borderId="0" xfId="0" applyNumberFormat="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17"/>
  <sheetViews>
    <sheetView zoomScale="125" workbookViewId="0">
      <selection activeCell="A13" sqref="A1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127</v>
      </c>
    </row>
    <row r="12" spans="1:1" ht="16" x14ac:dyDescent="0.2">
      <c r="A12" s="19" t="s">
        <v>30</v>
      </c>
    </row>
    <row r="13" spans="1:1" ht="16" x14ac:dyDescent="0.2">
      <c r="A13" s="23" t="s">
        <v>126</v>
      </c>
    </row>
    <row r="14" spans="1:1" ht="16" x14ac:dyDescent="0.2">
      <c r="A14" s="19" t="s">
        <v>128</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V143"/>
  <sheetViews>
    <sheetView tabSelected="1" zoomScale="80" zoomScaleNormal="80" workbookViewId="0">
      <pane ySplit="1" topLeftCell="A4" activePane="bottomLeft" state="frozen"/>
      <selection pane="bottomLeft" activeCell="G30" sqref="G30"/>
    </sheetView>
  </sheetViews>
  <sheetFormatPr baseColWidth="10" defaultColWidth="8.83203125" defaultRowHeight="15" x14ac:dyDescent="0.2"/>
  <cols>
    <col min="1" max="1" width="102.33203125" customWidth="1"/>
    <col min="2" max="9" width="12.1640625" bestFit="1" customWidth="1"/>
    <col min="10" max="10" width="68.6640625" customWidth="1"/>
    <col min="12" max="12" width="57.5" customWidth="1"/>
    <col min="13" max="16" width="37.1640625" customWidth="1"/>
    <col min="18" max="18" width="15.83203125" customWidth="1"/>
  </cols>
  <sheetData>
    <row r="1" spans="1:21" ht="60" customHeight="1" x14ac:dyDescent="0.2">
      <c r="A1" s="15" t="s">
        <v>125</v>
      </c>
      <c r="B1" s="16">
        <f t="shared" ref="B1:G1" si="0">+C1-1</f>
        <v>2015</v>
      </c>
      <c r="C1" s="16">
        <f t="shared" si="0"/>
        <v>2016</v>
      </c>
      <c r="D1" s="16">
        <f t="shared" si="0"/>
        <v>2017</v>
      </c>
      <c r="E1" s="16">
        <f t="shared" si="0"/>
        <v>2018</v>
      </c>
      <c r="F1" s="16">
        <f t="shared" si="0"/>
        <v>2019</v>
      </c>
      <c r="G1" s="16">
        <f t="shared" si="0"/>
        <v>2020</v>
      </c>
      <c r="H1" s="16">
        <f>+I1-1</f>
        <v>2021</v>
      </c>
      <c r="I1" s="16">
        <v>2022</v>
      </c>
    </row>
    <row r="2" spans="1:21" x14ac:dyDescent="0.2">
      <c r="A2" t="s">
        <v>37</v>
      </c>
      <c r="B2" s="40">
        <v>30601</v>
      </c>
      <c r="C2" s="40">
        <v>32376</v>
      </c>
      <c r="D2" s="40">
        <v>34350</v>
      </c>
      <c r="E2" s="40">
        <v>36397</v>
      </c>
      <c r="F2" s="40">
        <v>39117</v>
      </c>
      <c r="G2" s="40">
        <v>37403</v>
      </c>
      <c r="H2" s="41">
        <v>44538</v>
      </c>
      <c r="I2" s="41">
        <v>46710</v>
      </c>
      <c r="M2" s="31"/>
      <c r="N2" s="31"/>
      <c r="O2" s="31"/>
      <c r="P2" s="32"/>
      <c r="Q2" s="1"/>
    </row>
    <row r="3" spans="1:21" x14ac:dyDescent="0.2">
      <c r="A3" s="25" t="s">
        <v>38</v>
      </c>
      <c r="B3" s="34">
        <v>16534</v>
      </c>
      <c r="C3" s="34">
        <v>17405</v>
      </c>
      <c r="D3" s="34">
        <f>19038</f>
        <v>19038</v>
      </c>
      <c r="E3" s="34">
        <v>20441</v>
      </c>
      <c r="F3" s="34">
        <v>21643</v>
      </c>
      <c r="G3" s="34">
        <v>21162</v>
      </c>
      <c r="H3" s="26">
        <v>24576</v>
      </c>
      <c r="I3" s="26">
        <v>25231</v>
      </c>
      <c r="M3" s="31"/>
      <c r="N3" s="32"/>
      <c r="O3" s="32"/>
      <c r="P3" s="32"/>
    </row>
    <row r="4" spans="1:21" s="1" customFormat="1" x14ac:dyDescent="0.2">
      <c r="A4" s="1" t="s">
        <v>4</v>
      </c>
      <c r="B4" s="9">
        <f>B2-B3</f>
        <v>14067</v>
      </c>
      <c r="C4" s="9">
        <f>C2-C3</f>
        <v>14971</v>
      </c>
      <c r="D4" s="9">
        <f>D2-D3</f>
        <v>15312</v>
      </c>
      <c r="E4" s="9">
        <f>E2-E3</f>
        <v>15956</v>
      </c>
      <c r="F4" s="9">
        <f t="shared" ref="F4:H4" si="1">+F2-F3</f>
        <v>17474</v>
      </c>
      <c r="G4" s="9">
        <f t="shared" si="1"/>
        <v>16241</v>
      </c>
      <c r="H4" s="9">
        <f t="shared" si="1"/>
        <v>19962</v>
      </c>
      <c r="I4" s="9">
        <f>+I2-I3</f>
        <v>21479</v>
      </c>
      <c r="M4" s="31"/>
      <c r="N4" s="32"/>
      <c r="O4" s="32"/>
      <c r="P4" s="32"/>
      <c r="Q4"/>
    </row>
    <row r="5" spans="1:21" x14ac:dyDescent="0.2">
      <c r="A5" s="11" t="s">
        <v>31</v>
      </c>
      <c r="B5" s="34">
        <v>3213</v>
      </c>
      <c r="C5" s="34">
        <v>3278</v>
      </c>
      <c r="D5" s="34">
        <v>3341</v>
      </c>
      <c r="E5" s="34">
        <v>3577</v>
      </c>
      <c r="F5" s="34">
        <v>3753</v>
      </c>
      <c r="G5" s="34">
        <v>3592</v>
      </c>
      <c r="H5" s="3">
        <v>3114</v>
      </c>
      <c r="I5" s="3">
        <v>3850</v>
      </c>
      <c r="M5" s="31"/>
      <c r="N5" s="33"/>
      <c r="O5" s="33"/>
      <c r="P5" s="32"/>
    </row>
    <row r="6" spans="1:21" x14ac:dyDescent="0.2">
      <c r="A6" s="11" t="s">
        <v>32</v>
      </c>
      <c r="B6" s="34">
        <v>6679</v>
      </c>
      <c r="C6" s="34">
        <v>7191</v>
      </c>
      <c r="D6" s="34">
        <v>7222</v>
      </c>
      <c r="E6" s="34">
        <v>7934</v>
      </c>
      <c r="F6" s="34">
        <v>8949</v>
      </c>
      <c r="G6" s="34">
        <v>9534</v>
      </c>
      <c r="H6" s="3">
        <v>9911</v>
      </c>
      <c r="I6" s="3">
        <v>10954</v>
      </c>
      <c r="M6" s="31"/>
      <c r="N6" s="34"/>
      <c r="O6" s="34"/>
      <c r="P6" s="32"/>
    </row>
    <row r="7" spans="1:21" x14ac:dyDescent="0.2">
      <c r="A7" s="24" t="s">
        <v>33</v>
      </c>
      <c r="B7" s="21">
        <f>B5+B6</f>
        <v>9892</v>
      </c>
      <c r="C7" s="21">
        <f t="shared" ref="C7:I7" si="2">C5+C6</f>
        <v>10469</v>
      </c>
      <c r="D7" s="21">
        <f t="shared" si="2"/>
        <v>10563</v>
      </c>
      <c r="E7" s="21">
        <f t="shared" si="2"/>
        <v>11511</v>
      </c>
      <c r="F7" s="21">
        <f t="shared" si="2"/>
        <v>12702</v>
      </c>
      <c r="G7" s="21">
        <f t="shared" si="2"/>
        <v>13126</v>
      </c>
      <c r="H7" s="21">
        <f t="shared" si="2"/>
        <v>13025</v>
      </c>
      <c r="I7" s="21">
        <f t="shared" si="2"/>
        <v>14804</v>
      </c>
      <c r="M7" s="31"/>
      <c r="N7" s="34"/>
      <c r="O7" s="34"/>
      <c r="P7" s="32"/>
    </row>
    <row r="8" spans="1:21" x14ac:dyDescent="0.2">
      <c r="A8" s="2" t="s">
        <v>34</v>
      </c>
      <c r="B8" s="34">
        <v>28</v>
      </c>
      <c r="C8" s="34">
        <v>19</v>
      </c>
      <c r="D8" s="34">
        <v>59</v>
      </c>
      <c r="E8" s="34">
        <v>54</v>
      </c>
      <c r="F8" s="34">
        <v>49</v>
      </c>
      <c r="G8" s="34">
        <v>89</v>
      </c>
      <c r="H8" s="3">
        <v>262</v>
      </c>
      <c r="I8" s="3">
        <v>205</v>
      </c>
      <c r="M8" s="31"/>
      <c r="N8" s="34"/>
      <c r="O8" s="34"/>
      <c r="P8" s="32"/>
      <c r="Q8" s="32"/>
    </row>
    <row r="9" spans="1:21" x14ac:dyDescent="0.2">
      <c r="A9" s="2" t="s">
        <v>5</v>
      </c>
      <c r="B9" s="34">
        <v>-58</v>
      </c>
      <c r="C9" s="34">
        <v>-140</v>
      </c>
      <c r="D9" s="34">
        <v>-196</v>
      </c>
      <c r="E9" s="34">
        <v>66</v>
      </c>
      <c r="F9" s="34">
        <v>-78</v>
      </c>
      <c r="G9" s="34">
        <v>139</v>
      </c>
      <c r="H9" s="3">
        <v>14</v>
      </c>
      <c r="I9" s="3">
        <v>-181</v>
      </c>
      <c r="M9" s="31"/>
      <c r="N9" s="34"/>
      <c r="O9" s="34"/>
      <c r="P9" s="32"/>
      <c r="Q9" s="32"/>
      <c r="R9" s="31"/>
      <c r="S9" s="32"/>
      <c r="T9" s="32"/>
      <c r="U9" s="32"/>
    </row>
    <row r="10" spans="1:21" x14ac:dyDescent="0.2">
      <c r="A10" s="4" t="s">
        <v>35</v>
      </c>
      <c r="B10" s="5">
        <f>+B4-B7-B8-B9</f>
        <v>4205</v>
      </c>
      <c r="C10" s="5">
        <f t="shared" ref="C10:I10" si="3">+C4-C7-C8-C9</f>
        <v>4623</v>
      </c>
      <c r="D10" s="5">
        <f t="shared" si="3"/>
        <v>4886</v>
      </c>
      <c r="E10" s="5">
        <f t="shared" si="3"/>
        <v>4325</v>
      </c>
      <c r="F10" s="5">
        <f t="shared" si="3"/>
        <v>4801</v>
      </c>
      <c r="G10" s="5">
        <f t="shared" si="3"/>
        <v>2887</v>
      </c>
      <c r="H10" s="5">
        <f t="shared" si="3"/>
        <v>6661</v>
      </c>
      <c r="I10" s="5">
        <f t="shared" si="3"/>
        <v>6651</v>
      </c>
      <c r="M10" s="31"/>
      <c r="N10" s="34"/>
      <c r="O10" s="34"/>
      <c r="P10" s="32"/>
      <c r="Q10" s="32"/>
      <c r="R10" s="31"/>
      <c r="S10" s="32"/>
      <c r="T10" s="32"/>
      <c r="U10" s="32"/>
    </row>
    <row r="11" spans="1:21" x14ac:dyDescent="0.2">
      <c r="A11" s="2" t="s">
        <v>36</v>
      </c>
      <c r="B11" s="34">
        <v>932</v>
      </c>
      <c r="C11" s="34">
        <v>863</v>
      </c>
      <c r="D11" s="34">
        <v>646</v>
      </c>
      <c r="E11" s="34">
        <v>2392</v>
      </c>
      <c r="F11" s="34">
        <v>772</v>
      </c>
      <c r="G11" s="34">
        <v>348</v>
      </c>
      <c r="H11" s="3">
        <v>934</v>
      </c>
      <c r="I11" s="3">
        <v>605</v>
      </c>
      <c r="M11" s="31"/>
      <c r="N11" s="34"/>
      <c r="O11" s="34"/>
      <c r="P11" s="32"/>
      <c r="Q11" s="32"/>
      <c r="R11" s="31"/>
      <c r="S11" s="31"/>
      <c r="T11" s="31"/>
      <c r="U11" s="32"/>
    </row>
    <row r="12" spans="1:21" ht="16" thickBot="1" x14ac:dyDescent="0.2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M12" s="31"/>
      <c r="N12" s="34"/>
      <c r="O12" s="34"/>
      <c r="P12" s="32"/>
      <c r="Q12" s="32"/>
      <c r="R12" s="31"/>
      <c r="S12" s="31"/>
      <c r="T12" s="31"/>
      <c r="U12" s="31"/>
    </row>
    <row r="13" spans="1:21" ht="16" thickTop="1" x14ac:dyDescent="0.2">
      <c r="A13" s="1" t="s">
        <v>8</v>
      </c>
      <c r="M13" s="31"/>
      <c r="N13" s="34"/>
      <c r="O13" s="34"/>
      <c r="P13" s="32"/>
      <c r="Q13" s="32"/>
      <c r="R13" s="31"/>
      <c r="S13" s="33"/>
      <c r="T13" s="33"/>
      <c r="U13" s="33"/>
    </row>
    <row r="14" spans="1:21" x14ac:dyDescent="0.2">
      <c r="A14" s="2" t="s">
        <v>6</v>
      </c>
      <c r="B14" s="38">
        <v>1.9</v>
      </c>
      <c r="C14" s="38">
        <v>2.21</v>
      </c>
      <c r="D14" s="38">
        <v>2.56</v>
      </c>
      <c r="E14" s="38">
        <v>1.19</v>
      </c>
      <c r="F14" s="38">
        <v>2.5499999999999998</v>
      </c>
      <c r="G14" s="38">
        <v>1.63</v>
      </c>
      <c r="H14" s="39">
        <v>3.64</v>
      </c>
      <c r="I14" s="39">
        <v>3.83</v>
      </c>
      <c r="M14" s="31"/>
      <c r="N14" s="34"/>
      <c r="O14" s="34"/>
      <c r="P14" s="32"/>
      <c r="Q14" s="32"/>
      <c r="R14" s="31"/>
      <c r="S14" s="34"/>
      <c r="T14" s="34"/>
      <c r="U14" s="34"/>
    </row>
    <row r="15" spans="1:21" x14ac:dyDescent="0.2">
      <c r="A15" s="2" t="s">
        <v>7</v>
      </c>
      <c r="B15" s="38">
        <v>1.85</v>
      </c>
      <c r="C15" s="38">
        <v>2.16</v>
      </c>
      <c r="D15" s="38">
        <v>2.5099999999999998</v>
      </c>
      <c r="E15" s="38">
        <v>1.17</v>
      </c>
      <c r="F15" s="38">
        <v>2.4900000000000002</v>
      </c>
      <c r="G15" s="38">
        <v>1.6</v>
      </c>
      <c r="H15" s="39">
        <v>3.56</v>
      </c>
      <c r="I15" s="39">
        <v>3.75</v>
      </c>
      <c r="M15" s="31"/>
      <c r="N15" s="33"/>
      <c r="O15" s="33"/>
      <c r="P15" s="32"/>
      <c r="Q15" s="32"/>
      <c r="R15" s="31"/>
      <c r="S15" s="34"/>
      <c r="T15" s="34"/>
      <c r="U15" s="34"/>
    </row>
    <row r="16" spans="1:21" x14ac:dyDescent="0.2">
      <c r="A16" s="1" t="s">
        <v>9</v>
      </c>
      <c r="M16" s="31"/>
      <c r="N16" s="32"/>
      <c r="O16" s="32"/>
      <c r="P16" s="32"/>
      <c r="Q16" s="32"/>
      <c r="R16" s="31"/>
      <c r="S16" s="34"/>
      <c r="T16" s="34"/>
      <c r="U16" s="34"/>
    </row>
    <row r="17" spans="1:22" x14ac:dyDescent="0.2">
      <c r="A17" s="2" t="s">
        <v>6</v>
      </c>
      <c r="B17" s="8">
        <v>1542</v>
      </c>
      <c r="C17" s="8">
        <v>1685</v>
      </c>
      <c r="D17" s="8">
        <v>1652</v>
      </c>
      <c r="E17" s="37">
        <v>1623.8</v>
      </c>
      <c r="F17" s="37">
        <v>1579.7</v>
      </c>
      <c r="G17" s="37">
        <v>1558.8</v>
      </c>
      <c r="H17" s="8">
        <v>1573</v>
      </c>
      <c r="I17" s="8">
        <v>1578.8</v>
      </c>
      <c r="M17" s="31"/>
      <c r="N17" s="31"/>
      <c r="O17" s="32"/>
      <c r="P17" s="32"/>
      <c r="Q17" s="32"/>
      <c r="R17" s="31"/>
      <c r="S17" s="34"/>
      <c r="T17" s="34"/>
      <c r="U17" s="34"/>
    </row>
    <row r="18" spans="1:22" x14ac:dyDescent="0.2">
      <c r="A18" s="2" t="s">
        <v>7</v>
      </c>
      <c r="B18" s="8">
        <v>1768</v>
      </c>
      <c r="C18" s="8">
        <f>1737</f>
        <v>1737</v>
      </c>
      <c r="D18" s="8">
        <v>1624</v>
      </c>
      <c r="E18" s="37">
        <v>1659.1</v>
      </c>
      <c r="F18" s="37">
        <v>1618.4</v>
      </c>
      <c r="G18" s="37">
        <v>1591.6</v>
      </c>
      <c r="H18" s="8">
        <v>1609.4</v>
      </c>
      <c r="I18" s="8">
        <v>1610.8</v>
      </c>
      <c r="M18" s="31"/>
      <c r="N18" s="31"/>
      <c r="O18" s="31"/>
      <c r="P18" s="32"/>
      <c r="Q18" s="32"/>
      <c r="R18" s="31"/>
      <c r="S18" s="34"/>
      <c r="T18" s="34"/>
      <c r="U18" s="34"/>
    </row>
    <row r="19" spans="1:22" x14ac:dyDescent="0.2">
      <c r="M19" s="31"/>
      <c r="N19" s="32"/>
      <c r="O19" s="32"/>
      <c r="P19" s="32"/>
      <c r="Q19" s="32"/>
      <c r="R19" s="31"/>
      <c r="S19" s="34"/>
      <c r="T19" s="34"/>
      <c r="U19" s="34"/>
    </row>
    <row r="20" spans="1:22" s="12" customFormat="1" x14ac:dyDescent="0.2">
      <c r="A20" s="12" t="s">
        <v>2</v>
      </c>
      <c r="B20" s="55">
        <f>+ROUND(((B12/B18)-B15),2)</f>
        <v>0</v>
      </c>
      <c r="C20" s="55">
        <f t="shared" ref="C20:I20" si="5">+ROUND(((C12/C18)-C15),2)</f>
        <v>0</v>
      </c>
      <c r="D20" s="58">
        <f t="shared" si="5"/>
        <v>0.1</v>
      </c>
      <c r="E20" s="55">
        <f t="shared" si="5"/>
        <v>0</v>
      </c>
      <c r="F20" s="55">
        <f t="shared" si="5"/>
        <v>0</v>
      </c>
      <c r="G20" s="55">
        <f t="shared" si="5"/>
        <v>0</v>
      </c>
      <c r="H20" s="55">
        <f t="shared" si="5"/>
        <v>0</v>
      </c>
      <c r="I20" s="55">
        <f t="shared" si="5"/>
        <v>0</v>
      </c>
      <c r="J20" s="56"/>
      <c r="M20" s="31"/>
      <c r="N20" s="32"/>
      <c r="O20" s="32"/>
      <c r="P20" s="32"/>
      <c r="Q20" s="32"/>
      <c r="R20" s="31"/>
      <c r="S20" s="34"/>
      <c r="T20" s="34"/>
      <c r="U20" s="34"/>
      <c r="V20"/>
    </row>
    <row r="21" spans="1:22" x14ac:dyDescent="0.2">
      <c r="E21" s="57"/>
      <c r="F21" s="57"/>
      <c r="G21" s="57"/>
      <c r="H21" s="57"/>
      <c r="I21" s="57"/>
      <c r="J21" s="57"/>
      <c r="M21" s="31"/>
      <c r="N21" s="33"/>
      <c r="O21" s="33"/>
      <c r="P21" s="32"/>
      <c r="Q21" s="32"/>
      <c r="R21" s="31"/>
      <c r="S21" s="34"/>
      <c r="T21" s="34"/>
      <c r="U21" s="34"/>
    </row>
    <row r="22" spans="1:22" x14ac:dyDescent="0.2">
      <c r="A22" s="14" t="s">
        <v>0</v>
      </c>
      <c r="B22" s="14"/>
      <c r="C22" s="14"/>
      <c r="D22" s="14"/>
      <c r="E22" s="14"/>
      <c r="F22" s="14"/>
      <c r="G22" s="14"/>
      <c r="H22" s="14"/>
      <c r="I22" s="14"/>
      <c r="M22" s="31"/>
      <c r="N22" s="34"/>
      <c r="O22" s="34"/>
      <c r="P22" s="32"/>
      <c r="Q22" s="32"/>
      <c r="R22" s="31"/>
      <c r="S22" s="34"/>
      <c r="T22" s="34"/>
      <c r="U22" s="34"/>
    </row>
    <row r="23" spans="1:22" x14ac:dyDescent="0.2">
      <c r="A23" s="1" t="s">
        <v>40</v>
      </c>
      <c r="J23" s="31"/>
      <c r="M23" s="31"/>
      <c r="N23" s="34"/>
      <c r="O23" s="34"/>
      <c r="P23" s="32"/>
      <c r="Q23" s="32"/>
      <c r="R23" s="31"/>
      <c r="S23" s="33"/>
      <c r="T23" s="33"/>
      <c r="U23" s="33"/>
    </row>
    <row r="24" spans="1:22" x14ac:dyDescent="0.2">
      <c r="A24" s="10" t="s">
        <v>41</v>
      </c>
      <c r="B24" s="3"/>
      <c r="D24" s="3"/>
      <c r="E24" s="3"/>
      <c r="F24" s="3"/>
      <c r="G24" s="3"/>
      <c r="H24" s="3"/>
      <c r="I24" s="3"/>
      <c r="J24" s="31"/>
      <c r="M24" s="31"/>
      <c r="N24" s="34"/>
      <c r="O24" s="34"/>
      <c r="P24" s="32"/>
      <c r="Q24" s="32"/>
      <c r="R24" s="31"/>
      <c r="S24" s="32"/>
      <c r="T24" s="32"/>
      <c r="U24" s="32"/>
    </row>
    <row r="25" spans="1:22" x14ac:dyDescent="0.2">
      <c r="A25" s="11" t="s">
        <v>42</v>
      </c>
      <c r="B25" s="42">
        <v>3852</v>
      </c>
      <c r="C25" s="33">
        <v>3138</v>
      </c>
      <c r="D25" s="43">
        <v>3808</v>
      </c>
      <c r="E25" s="33">
        <v>4249</v>
      </c>
      <c r="F25" s="33">
        <v>4466</v>
      </c>
      <c r="G25" s="33">
        <v>8348</v>
      </c>
      <c r="H25" s="3">
        <v>9889</v>
      </c>
      <c r="I25" s="3">
        <v>8574</v>
      </c>
      <c r="J25" s="31"/>
      <c r="K25" s="33"/>
      <c r="L25" s="31"/>
      <c r="M25" s="31"/>
      <c r="N25" s="34"/>
      <c r="O25" s="34"/>
      <c r="P25" s="32"/>
      <c r="Q25" s="32"/>
      <c r="R25" s="31"/>
      <c r="S25" s="35"/>
      <c r="T25" s="35"/>
      <c r="U25" s="35"/>
    </row>
    <row r="26" spans="1:22" x14ac:dyDescent="0.2">
      <c r="A26" s="11" t="s">
        <v>43</v>
      </c>
      <c r="B26" s="42">
        <v>2072</v>
      </c>
      <c r="C26" s="34">
        <v>2319</v>
      </c>
      <c r="D26" s="44">
        <v>2371</v>
      </c>
      <c r="E26" s="34">
        <v>996</v>
      </c>
      <c r="F26" s="34">
        <v>197</v>
      </c>
      <c r="G26" s="34">
        <v>439</v>
      </c>
      <c r="H26" s="3">
        <v>3587</v>
      </c>
      <c r="I26" s="3">
        <v>4423</v>
      </c>
      <c r="J26" s="31"/>
      <c r="K26" s="34"/>
      <c r="L26" s="31"/>
      <c r="M26" s="31"/>
      <c r="N26" s="34"/>
      <c r="O26" s="34"/>
      <c r="P26" s="32"/>
      <c r="Q26" s="32"/>
      <c r="R26" s="31"/>
      <c r="S26" s="35"/>
      <c r="T26" s="35"/>
      <c r="U26" s="35"/>
    </row>
    <row r="27" spans="1:22" x14ac:dyDescent="0.2">
      <c r="A27" s="11" t="s">
        <v>44</v>
      </c>
      <c r="B27" s="42">
        <v>3358</v>
      </c>
      <c r="C27" s="34">
        <v>3241</v>
      </c>
      <c r="D27" s="44">
        <v>3677</v>
      </c>
      <c r="E27" s="34">
        <v>3498</v>
      </c>
      <c r="F27" s="34">
        <v>4272</v>
      </c>
      <c r="G27" s="34">
        <v>2749</v>
      </c>
      <c r="H27" s="3">
        <v>4463</v>
      </c>
      <c r="I27" s="3">
        <v>4667</v>
      </c>
      <c r="J27" s="31"/>
      <c r="K27" s="34"/>
      <c r="L27" s="31"/>
      <c r="M27" s="31"/>
      <c r="N27" s="34"/>
      <c r="O27" s="34"/>
      <c r="P27" s="32"/>
      <c r="Q27" s="32"/>
      <c r="R27" s="31"/>
      <c r="S27" s="32"/>
      <c r="T27" s="32"/>
      <c r="U27" s="32"/>
    </row>
    <row r="28" spans="1:22" x14ac:dyDescent="0.2">
      <c r="A28" s="11" t="s">
        <v>45</v>
      </c>
      <c r="B28" s="42">
        <v>4337</v>
      </c>
      <c r="C28" s="34">
        <v>4838</v>
      </c>
      <c r="D28" s="44">
        <v>5055</v>
      </c>
      <c r="E28" s="34">
        <v>5261</v>
      </c>
      <c r="F28" s="34">
        <v>5622</v>
      </c>
      <c r="G28" s="34">
        <v>7367</v>
      </c>
      <c r="H28" s="3">
        <v>6854</v>
      </c>
      <c r="I28" s="3">
        <v>8420</v>
      </c>
      <c r="J28" s="31"/>
      <c r="K28" s="34"/>
      <c r="L28" s="31"/>
      <c r="M28" s="31"/>
      <c r="N28" s="34"/>
      <c r="O28" s="34"/>
      <c r="P28" s="32"/>
      <c r="R28" s="31"/>
      <c r="S28" s="37"/>
      <c r="T28" s="37"/>
      <c r="U28" s="37"/>
    </row>
    <row r="29" spans="1:22" x14ac:dyDescent="0.2">
      <c r="A29" s="11" t="s">
        <v>46</v>
      </c>
      <c r="B29" s="42">
        <v>1968</v>
      </c>
      <c r="C29" s="34">
        <v>1489</v>
      </c>
      <c r="D29" s="44">
        <v>1150</v>
      </c>
      <c r="E29" s="34">
        <v>1130</v>
      </c>
      <c r="F29" s="34">
        <v>1968</v>
      </c>
      <c r="G29" s="34">
        <v>1653</v>
      </c>
      <c r="H29" s="3">
        <v>1498</v>
      </c>
      <c r="I29" s="3">
        <v>2129</v>
      </c>
      <c r="J29" s="31"/>
      <c r="K29" s="34"/>
      <c r="L29" s="31"/>
      <c r="M29" s="31"/>
      <c r="N29" s="34"/>
      <c r="O29" s="34"/>
      <c r="P29" s="32"/>
      <c r="R29" s="31"/>
      <c r="S29" s="37"/>
      <c r="T29" s="37"/>
      <c r="U29" s="37"/>
    </row>
    <row r="30" spans="1:22" x14ac:dyDescent="0.2">
      <c r="A30" s="53" t="s">
        <v>135</v>
      </c>
      <c r="B30" s="54">
        <f>389</f>
        <v>389</v>
      </c>
      <c r="C30" s="57">
        <v>0</v>
      </c>
      <c r="D30" s="54">
        <f>-6</f>
        <v>-6</v>
      </c>
      <c r="E30" s="54">
        <f>-6</f>
        <v>-6</v>
      </c>
      <c r="F30" s="54">
        <f>-6</f>
        <v>-6</v>
      </c>
      <c r="G30" s="54">
        <f>-3</f>
        <v>-3</v>
      </c>
      <c r="H30" s="57">
        <v>0</v>
      </c>
      <c r="I30" s="57">
        <v>0</v>
      </c>
      <c r="J30" s="31"/>
      <c r="K30" s="32"/>
      <c r="L30" s="31"/>
      <c r="M30" s="31"/>
      <c r="N30" s="34"/>
      <c r="O30" s="34"/>
      <c r="P30" s="32"/>
    </row>
    <row r="31" spans="1:22" x14ac:dyDescent="0.2">
      <c r="A31" s="4" t="s">
        <v>10</v>
      </c>
      <c r="B31" s="42">
        <f>SUM(B25:B29)</f>
        <v>15587</v>
      </c>
      <c r="C31" s="42">
        <f>SUM(C25:C30)</f>
        <v>15025</v>
      </c>
      <c r="D31" s="42">
        <f>SUM(D25:D29)</f>
        <v>16061</v>
      </c>
      <c r="E31" s="42">
        <f>SUM(E25:E29)</f>
        <v>15134</v>
      </c>
      <c r="F31" s="42">
        <f>SUM(F25:F29)</f>
        <v>16525</v>
      </c>
      <c r="G31" s="42">
        <f>SUM(G25:G29)</f>
        <v>20556</v>
      </c>
      <c r="H31" s="5">
        <f>+SUM(H25:H29)</f>
        <v>26291</v>
      </c>
      <c r="I31" s="5">
        <f>+SUM(I25:I29)</f>
        <v>28213</v>
      </c>
      <c r="J31" s="31"/>
      <c r="K31" s="34"/>
      <c r="L31" s="31"/>
      <c r="M31" s="31"/>
      <c r="N31" s="33"/>
      <c r="O31" s="33"/>
      <c r="P31" s="32"/>
    </row>
    <row r="32" spans="1:22" x14ac:dyDescent="0.2">
      <c r="A32" s="2" t="s">
        <v>47</v>
      </c>
      <c r="B32" s="42">
        <v>3011</v>
      </c>
      <c r="C32" s="34">
        <v>3520</v>
      </c>
      <c r="D32" s="44">
        <v>3989</v>
      </c>
      <c r="E32" s="34">
        <v>4454</v>
      </c>
      <c r="F32" s="34">
        <v>4744</v>
      </c>
      <c r="G32" s="34">
        <v>4866</v>
      </c>
      <c r="H32" s="3">
        <v>4904</v>
      </c>
      <c r="I32" s="3">
        <v>4791</v>
      </c>
      <c r="J32" s="31"/>
      <c r="K32" s="34"/>
      <c r="L32" s="31"/>
      <c r="M32" s="31"/>
      <c r="N32" s="32"/>
      <c r="O32" s="32"/>
      <c r="P32" s="32"/>
    </row>
    <row r="33" spans="1:16" x14ac:dyDescent="0.2">
      <c r="A33" s="2" t="s">
        <v>48</v>
      </c>
      <c r="B33" s="42"/>
      <c r="C33" s="34"/>
      <c r="D33" s="44"/>
      <c r="E33" s="34"/>
      <c r="F33" s="36">
        <v>0</v>
      </c>
      <c r="G33" s="34">
        <v>3097</v>
      </c>
      <c r="H33" s="3">
        <v>3113</v>
      </c>
      <c r="I33" s="3">
        <v>2926</v>
      </c>
      <c r="J33" s="31"/>
      <c r="K33" s="34"/>
      <c r="L33" s="31"/>
      <c r="M33" s="31"/>
      <c r="N33" s="32"/>
      <c r="O33" s="32"/>
      <c r="P33" s="32"/>
    </row>
    <row r="34" spans="1:16" x14ac:dyDescent="0.2">
      <c r="A34" s="2" t="s">
        <v>49</v>
      </c>
      <c r="B34" s="42">
        <v>281</v>
      </c>
      <c r="C34" s="34">
        <v>281</v>
      </c>
      <c r="D34" s="44">
        <v>283</v>
      </c>
      <c r="E34" s="34">
        <v>285</v>
      </c>
      <c r="F34" s="34">
        <v>283</v>
      </c>
      <c r="G34" s="34">
        <v>274</v>
      </c>
      <c r="H34" s="3">
        <v>269</v>
      </c>
      <c r="I34" s="3">
        <v>286</v>
      </c>
      <c r="J34" s="31"/>
      <c r="K34" s="34"/>
      <c r="L34" s="31"/>
      <c r="M34" s="31"/>
      <c r="N34" s="31"/>
      <c r="O34" s="33"/>
      <c r="P34" s="32"/>
    </row>
    <row r="35" spans="1:16" x14ac:dyDescent="0.2">
      <c r="A35" s="2" t="s">
        <v>50</v>
      </c>
      <c r="B35" s="42">
        <v>131</v>
      </c>
      <c r="C35" s="34">
        <v>131</v>
      </c>
      <c r="D35" s="44">
        <v>139</v>
      </c>
      <c r="E35" s="34">
        <v>154</v>
      </c>
      <c r="F35" s="34">
        <v>154</v>
      </c>
      <c r="G35" s="34">
        <v>223</v>
      </c>
      <c r="H35" s="3">
        <v>242</v>
      </c>
      <c r="I35" s="3">
        <v>284</v>
      </c>
      <c r="J35" s="31"/>
      <c r="K35" s="34"/>
      <c r="L35" s="31"/>
      <c r="M35" s="31"/>
      <c r="N35" s="34"/>
      <c r="O35" s="34"/>
      <c r="P35" s="32"/>
    </row>
    <row r="36" spans="1:16" x14ac:dyDescent="0.2">
      <c r="A36" s="2" t="s">
        <v>51</v>
      </c>
      <c r="B36" s="42">
        <v>2201</v>
      </c>
      <c r="C36" s="34">
        <v>2422</v>
      </c>
      <c r="D36" s="44">
        <v>2787</v>
      </c>
      <c r="E36" s="34">
        <v>2509</v>
      </c>
      <c r="F36" s="34">
        <v>2011</v>
      </c>
      <c r="G36" s="34">
        <v>2326</v>
      </c>
      <c r="H36" s="3">
        <v>2921</v>
      </c>
      <c r="I36" s="3">
        <v>3821</v>
      </c>
      <c r="J36" s="31"/>
      <c r="K36" s="34"/>
      <c r="L36" s="31"/>
      <c r="M36" s="31"/>
      <c r="N36" s="34"/>
      <c r="O36" s="34"/>
      <c r="P36" s="32"/>
    </row>
    <row r="37" spans="1:16" ht="16" thickBot="1" x14ac:dyDescent="0.25">
      <c r="A37" s="6" t="s">
        <v>52</v>
      </c>
      <c r="B37" s="42">
        <f>SUM(B31:B36)</f>
        <v>21211</v>
      </c>
      <c r="C37" s="42">
        <f t="shared" ref="C37:G37" si="6">SUM(C31:C36)</f>
        <v>21379</v>
      </c>
      <c r="D37" s="42">
        <f t="shared" si="6"/>
        <v>23259</v>
      </c>
      <c r="E37" s="42">
        <f t="shared" si="6"/>
        <v>22536</v>
      </c>
      <c r="F37" s="42">
        <f t="shared" si="6"/>
        <v>23717</v>
      </c>
      <c r="G37" s="42">
        <f t="shared" si="6"/>
        <v>31342</v>
      </c>
      <c r="H37" s="7">
        <f t="shared" ref="H37" si="7">+SUM(H31:H36)</f>
        <v>37740</v>
      </c>
      <c r="I37" s="7">
        <f>+SUM(I31:I36)</f>
        <v>40321</v>
      </c>
      <c r="J37" s="31"/>
      <c r="K37" s="32"/>
      <c r="L37" s="31"/>
      <c r="M37" s="31"/>
      <c r="N37" s="34"/>
      <c r="O37" s="34"/>
      <c r="P37" s="32"/>
    </row>
    <row r="38" spans="1:16" ht="16" thickTop="1" x14ac:dyDescent="0.2">
      <c r="A38" s="1" t="s">
        <v>53</v>
      </c>
      <c r="B38" s="45"/>
      <c r="C38" s="32"/>
      <c r="D38" s="45"/>
      <c r="E38" s="32"/>
      <c r="F38" s="32"/>
      <c r="G38" s="32"/>
      <c r="H38" s="3"/>
      <c r="I38" s="3"/>
      <c r="J38" s="31"/>
      <c r="K38" s="34"/>
      <c r="L38" s="31"/>
      <c r="M38" s="31"/>
      <c r="N38" s="34"/>
      <c r="O38" s="34"/>
      <c r="P38" s="32"/>
    </row>
    <row r="39" spans="1:16" x14ac:dyDescent="0.2">
      <c r="A39" s="2" t="s">
        <v>54</v>
      </c>
      <c r="B39" s="45"/>
      <c r="C39" s="32"/>
      <c r="D39" s="45"/>
      <c r="E39" s="32"/>
      <c r="F39" s="32"/>
      <c r="G39" s="32"/>
      <c r="H39" s="3"/>
      <c r="I39" s="3"/>
      <c r="J39" s="31"/>
      <c r="K39" s="33"/>
      <c r="L39" s="31"/>
      <c r="M39" s="31"/>
      <c r="N39" s="34"/>
      <c r="O39" s="34"/>
      <c r="P39" s="32"/>
    </row>
    <row r="40" spans="1:16" x14ac:dyDescent="0.2">
      <c r="A40" s="11" t="s">
        <v>55</v>
      </c>
      <c r="B40" s="42">
        <v>107</v>
      </c>
      <c r="C40" s="33">
        <v>44</v>
      </c>
      <c r="D40" s="42" t="s">
        <v>129</v>
      </c>
      <c r="E40" s="31" t="s">
        <v>129</v>
      </c>
      <c r="F40" s="31" t="s">
        <v>129</v>
      </c>
      <c r="G40" s="31" t="s">
        <v>131</v>
      </c>
      <c r="H40" s="3">
        <v>0</v>
      </c>
      <c r="I40" s="3">
        <v>500</v>
      </c>
      <c r="J40" s="31"/>
      <c r="K40" s="32"/>
      <c r="L40" s="31"/>
      <c r="M40" s="31"/>
      <c r="N40" s="34"/>
      <c r="O40" s="34"/>
      <c r="P40" s="32"/>
    </row>
    <row r="41" spans="1:16" x14ac:dyDescent="0.2">
      <c r="A41" s="11" t="s">
        <v>56</v>
      </c>
      <c r="B41" s="42">
        <v>74</v>
      </c>
      <c r="C41" s="34">
        <v>1</v>
      </c>
      <c r="D41" s="44">
        <v>325</v>
      </c>
      <c r="E41" s="34">
        <v>336</v>
      </c>
      <c r="F41" s="34">
        <v>9</v>
      </c>
      <c r="G41" s="34">
        <v>248</v>
      </c>
      <c r="H41" s="3">
        <v>2</v>
      </c>
      <c r="I41" s="3">
        <v>10</v>
      </c>
      <c r="J41" s="31"/>
      <c r="K41" s="32"/>
      <c r="L41" s="31"/>
      <c r="M41" s="31"/>
      <c r="N41" s="34"/>
      <c r="O41" s="34"/>
      <c r="P41" s="32"/>
    </row>
    <row r="42" spans="1:16" x14ac:dyDescent="0.2">
      <c r="A42" s="11" t="s">
        <v>11</v>
      </c>
      <c r="B42" s="42">
        <v>2131</v>
      </c>
      <c r="C42" s="34">
        <v>2191</v>
      </c>
      <c r="D42" s="44">
        <v>2048</v>
      </c>
      <c r="E42" s="34">
        <v>2279</v>
      </c>
      <c r="F42" s="34">
        <v>2612</v>
      </c>
      <c r="G42" s="34">
        <v>2248</v>
      </c>
      <c r="H42" s="3">
        <v>2836</v>
      </c>
      <c r="I42" s="3">
        <v>3358</v>
      </c>
      <c r="J42" s="31"/>
      <c r="K42" s="32"/>
      <c r="L42" s="31"/>
      <c r="M42" s="31"/>
      <c r="N42" s="32"/>
      <c r="O42" s="32"/>
      <c r="P42" s="32"/>
    </row>
    <row r="43" spans="1:16" x14ac:dyDescent="0.2">
      <c r="A43" s="11" t="s">
        <v>57</v>
      </c>
      <c r="B43" s="42"/>
      <c r="C43" s="34"/>
      <c r="D43" s="44"/>
      <c r="E43" s="34"/>
      <c r="F43" s="36">
        <v>0</v>
      </c>
      <c r="G43" s="34">
        <v>445</v>
      </c>
      <c r="H43" s="3">
        <v>467</v>
      </c>
      <c r="I43" s="3">
        <v>420</v>
      </c>
      <c r="J43" s="31"/>
      <c r="K43" s="33"/>
      <c r="L43" s="31"/>
      <c r="M43" s="31"/>
      <c r="N43" s="36"/>
      <c r="O43" s="36"/>
      <c r="P43" s="32"/>
    </row>
    <row r="44" spans="1:16" x14ac:dyDescent="0.2">
      <c r="A44" s="11" t="s">
        <v>12</v>
      </c>
      <c r="B44" s="42">
        <v>3951</v>
      </c>
      <c r="C44" s="34">
        <v>3037</v>
      </c>
      <c r="D44" s="44">
        <v>3011</v>
      </c>
      <c r="E44" s="34">
        <v>3269</v>
      </c>
      <c r="F44" s="34">
        <v>5010</v>
      </c>
      <c r="G44" s="34">
        <v>5184</v>
      </c>
      <c r="H44" s="3">
        <v>6063</v>
      </c>
      <c r="I44" s="3">
        <v>6220</v>
      </c>
      <c r="J44" s="31"/>
      <c r="K44" s="34"/>
      <c r="L44" s="31"/>
      <c r="M44" s="31"/>
      <c r="N44" s="32"/>
      <c r="O44" s="32"/>
      <c r="P44" s="32"/>
    </row>
    <row r="45" spans="1:16" x14ac:dyDescent="0.2">
      <c r="A45" s="11" t="s">
        <v>58</v>
      </c>
      <c r="B45" s="42">
        <v>71</v>
      </c>
      <c r="C45" s="34">
        <v>85</v>
      </c>
      <c r="D45" s="44">
        <v>84</v>
      </c>
      <c r="E45" s="34">
        <v>150</v>
      </c>
      <c r="F45" s="34">
        <v>229</v>
      </c>
      <c r="G45" s="34">
        <v>156</v>
      </c>
      <c r="H45" s="3">
        <v>306</v>
      </c>
      <c r="I45" s="3">
        <v>222</v>
      </c>
      <c r="J45" s="31"/>
      <c r="K45" s="34"/>
      <c r="L45" s="31"/>
      <c r="M45" s="31"/>
      <c r="N45" s="32"/>
      <c r="O45" s="32"/>
      <c r="P45" s="32"/>
    </row>
    <row r="46" spans="1:16" x14ac:dyDescent="0.2">
      <c r="A46" s="4" t="s">
        <v>13</v>
      </c>
      <c r="B46" s="42">
        <f>SUM(B40:B45)</f>
        <v>6334</v>
      </c>
      <c r="C46" s="42">
        <f t="shared" ref="C46:G46" si="8">SUM(C40:C45)</f>
        <v>5358</v>
      </c>
      <c r="D46" s="42">
        <f t="shared" si="8"/>
        <v>5468</v>
      </c>
      <c r="E46" s="42">
        <f t="shared" si="8"/>
        <v>6034</v>
      </c>
      <c r="F46" s="42">
        <f t="shared" si="8"/>
        <v>7860</v>
      </c>
      <c r="G46" s="42">
        <f t="shared" si="8"/>
        <v>8281</v>
      </c>
      <c r="H46" s="5">
        <f t="shared" ref="H46" si="9">+SUM(H40:H45)</f>
        <v>9674</v>
      </c>
      <c r="I46" s="5">
        <f>+SUM(I40:I45)</f>
        <v>10730</v>
      </c>
      <c r="J46" s="31"/>
      <c r="K46" s="34"/>
      <c r="L46" s="31"/>
      <c r="M46" s="31"/>
      <c r="N46" s="36"/>
      <c r="O46" s="36"/>
      <c r="P46" s="32"/>
    </row>
    <row r="47" spans="1:16" x14ac:dyDescent="0.2">
      <c r="A47" s="2" t="s">
        <v>59</v>
      </c>
      <c r="B47" s="42">
        <v>1079</v>
      </c>
      <c r="C47" s="34">
        <v>1993</v>
      </c>
      <c r="D47" s="44">
        <v>3471</v>
      </c>
      <c r="E47" s="34">
        <v>3468</v>
      </c>
      <c r="F47" s="34">
        <v>3464</v>
      </c>
      <c r="G47" s="34">
        <v>9406</v>
      </c>
      <c r="H47" s="3">
        <v>9413</v>
      </c>
      <c r="I47" s="3">
        <v>8920</v>
      </c>
      <c r="J47" s="31"/>
      <c r="K47" s="34"/>
      <c r="L47" s="31"/>
      <c r="M47" s="31"/>
      <c r="N47" s="34"/>
      <c r="O47" s="34"/>
      <c r="P47" s="32"/>
    </row>
    <row r="48" spans="1:16" x14ac:dyDescent="0.2">
      <c r="A48" s="2" t="s">
        <v>60</v>
      </c>
      <c r="B48" s="42"/>
      <c r="C48" s="34"/>
      <c r="D48" s="44"/>
      <c r="E48" s="34"/>
      <c r="F48" s="36">
        <v>0</v>
      </c>
      <c r="G48" s="34">
        <v>2913</v>
      </c>
      <c r="H48" s="3">
        <v>2931</v>
      </c>
      <c r="I48" s="3">
        <v>2777</v>
      </c>
      <c r="J48" s="31"/>
      <c r="K48" s="34"/>
      <c r="L48" s="31"/>
      <c r="M48" s="31"/>
      <c r="N48" s="34"/>
      <c r="O48" s="34"/>
      <c r="P48" s="32"/>
    </row>
    <row r="49" spans="1:16" x14ac:dyDescent="0.2">
      <c r="A49" s="2" t="s">
        <v>61</v>
      </c>
      <c r="B49" s="42">
        <v>1480</v>
      </c>
      <c r="C49" s="34">
        <v>1770</v>
      </c>
      <c r="D49" s="44">
        <v>1907</v>
      </c>
      <c r="E49" s="34">
        <v>3216</v>
      </c>
      <c r="F49" s="34">
        <v>3347</v>
      </c>
      <c r="G49" s="34">
        <v>2684</v>
      </c>
      <c r="H49" s="3">
        <v>2955</v>
      </c>
      <c r="I49" s="3">
        <v>2613</v>
      </c>
      <c r="J49" s="31"/>
      <c r="K49" s="34"/>
      <c r="L49" s="31"/>
      <c r="M49" s="31"/>
      <c r="N49" s="34"/>
      <c r="O49" s="34"/>
      <c r="P49" s="32"/>
    </row>
    <row r="50" spans="1:16" x14ac:dyDescent="0.2">
      <c r="A50" s="2" t="s">
        <v>62</v>
      </c>
      <c r="B50" s="45"/>
      <c r="C50" s="32"/>
      <c r="D50" s="45"/>
      <c r="E50" s="32"/>
      <c r="F50" s="32"/>
      <c r="G50" s="32"/>
      <c r="H50" s="3"/>
      <c r="I50" s="3"/>
      <c r="J50" s="31"/>
      <c r="K50" s="34"/>
      <c r="L50" s="31"/>
      <c r="M50" s="31"/>
      <c r="N50" s="34"/>
      <c r="O50" s="34"/>
      <c r="P50" s="32"/>
    </row>
    <row r="51" spans="1:16" x14ac:dyDescent="0.2">
      <c r="A51" s="11" t="s">
        <v>63</v>
      </c>
      <c r="B51" s="45"/>
      <c r="C51" s="36">
        <v>0</v>
      </c>
      <c r="D51" s="46">
        <v>0</v>
      </c>
      <c r="E51" s="36">
        <v>0</v>
      </c>
      <c r="F51" s="36">
        <v>0</v>
      </c>
      <c r="G51" s="36">
        <v>0</v>
      </c>
      <c r="H51" s="3">
        <v>0</v>
      </c>
      <c r="I51" s="3">
        <v>0</v>
      </c>
      <c r="J51" s="31"/>
      <c r="K51" s="32"/>
      <c r="L51" s="31"/>
      <c r="M51" s="31"/>
      <c r="N51" s="34"/>
      <c r="O51" s="34"/>
      <c r="P51" s="32"/>
    </row>
    <row r="52" spans="1:16" x14ac:dyDescent="0.2">
      <c r="A52" s="2" t="s">
        <v>64</v>
      </c>
      <c r="B52" s="45"/>
      <c r="C52" s="32"/>
      <c r="D52" s="45"/>
      <c r="E52" s="32"/>
      <c r="F52" s="32"/>
      <c r="G52" s="32"/>
      <c r="H52" s="3"/>
      <c r="I52" s="3"/>
      <c r="J52" s="31"/>
      <c r="K52" s="34"/>
      <c r="L52" s="31"/>
      <c r="M52" s="31"/>
      <c r="N52" s="33"/>
      <c r="O52" s="33"/>
      <c r="P52" s="32"/>
    </row>
    <row r="53" spans="1:16" x14ac:dyDescent="0.2">
      <c r="A53" s="11" t="s">
        <v>65</v>
      </c>
      <c r="B53" s="45"/>
      <c r="C53" s="32"/>
      <c r="D53" s="45"/>
      <c r="E53" s="32"/>
      <c r="F53" s="32"/>
      <c r="G53" s="32"/>
      <c r="H53" s="3"/>
      <c r="I53" s="3"/>
      <c r="J53" s="31"/>
      <c r="K53" s="32"/>
      <c r="L53" s="31"/>
      <c r="M53" s="31"/>
      <c r="N53" s="32"/>
      <c r="O53" s="32"/>
      <c r="P53" s="32"/>
    </row>
    <row r="54" spans="1:16" x14ac:dyDescent="0.2">
      <c r="A54" s="17" t="s">
        <v>66</v>
      </c>
      <c r="B54" s="45"/>
      <c r="C54" s="36">
        <v>0</v>
      </c>
      <c r="D54" s="46">
        <v>0</v>
      </c>
      <c r="E54" s="36">
        <v>0</v>
      </c>
      <c r="F54" s="36">
        <v>0</v>
      </c>
      <c r="G54" s="36">
        <v>0</v>
      </c>
      <c r="H54" s="3"/>
      <c r="I54" s="3"/>
      <c r="J54" s="31"/>
      <c r="K54" s="36"/>
      <c r="L54" s="31"/>
      <c r="M54" s="31"/>
      <c r="N54" s="33"/>
      <c r="O54" s="33"/>
      <c r="P54" s="32"/>
    </row>
    <row r="55" spans="1:16" x14ac:dyDescent="0.2">
      <c r="A55" s="17" t="s">
        <v>67</v>
      </c>
      <c r="B55" s="42">
        <v>3</v>
      </c>
      <c r="C55" s="34">
        <v>3</v>
      </c>
      <c r="D55" s="44">
        <v>3</v>
      </c>
      <c r="E55" s="34">
        <v>3</v>
      </c>
      <c r="F55" s="34">
        <v>3</v>
      </c>
      <c r="G55" s="34">
        <v>3</v>
      </c>
      <c r="H55" s="3">
        <v>3</v>
      </c>
      <c r="I55" s="3">
        <v>3</v>
      </c>
      <c r="J55" s="31"/>
      <c r="K55" s="32"/>
      <c r="L55" s="31"/>
      <c r="M55" s="31"/>
      <c r="N55" s="34"/>
      <c r="O55" s="34"/>
      <c r="P55" s="32"/>
    </row>
    <row r="56" spans="1:16" x14ac:dyDescent="0.2">
      <c r="A56" s="17" t="s">
        <v>68</v>
      </c>
      <c r="B56" s="42">
        <v>6773</v>
      </c>
      <c r="C56" s="34">
        <v>7786</v>
      </c>
      <c r="D56" s="44">
        <v>8638</v>
      </c>
      <c r="E56" s="34">
        <v>6384</v>
      </c>
      <c r="F56" s="34">
        <v>7163</v>
      </c>
      <c r="G56" s="34">
        <v>8299</v>
      </c>
      <c r="H56" s="3">
        <v>9965</v>
      </c>
      <c r="I56" s="3">
        <v>11484</v>
      </c>
      <c r="J56" s="31"/>
      <c r="K56" s="32"/>
      <c r="L56" s="31"/>
      <c r="M56" s="31"/>
      <c r="N56" s="34"/>
      <c r="O56" s="34"/>
      <c r="P56" s="32"/>
    </row>
    <row r="57" spans="1:16" x14ac:dyDescent="0.2">
      <c r="A57" s="17" t="s">
        <v>69</v>
      </c>
      <c r="B57" s="42">
        <v>1246</v>
      </c>
      <c r="C57" s="34">
        <v>318</v>
      </c>
      <c r="D57" s="44">
        <v>-213</v>
      </c>
      <c r="E57" s="34">
        <v>-92</v>
      </c>
      <c r="F57" s="34">
        <v>231</v>
      </c>
      <c r="G57" s="34">
        <v>-56</v>
      </c>
      <c r="H57" s="3">
        <v>-380</v>
      </c>
      <c r="I57" s="3">
        <v>318</v>
      </c>
      <c r="J57" s="31"/>
      <c r="K57" s="36"/>
      <c r="L57" s="31"/>
      <c r="M57" s="31"/>
      <c r="N57" s="34"/>
      <c r="O57" s="34"/>
      <c r="P57" s="32"/>
    </row>
    <row r="58" spans="1:16" x14ac:dyDescent="0.2">
      <c r="A58" s="17" t="s">
        <v>70</v>
      </c>
      <c r="B58" s="42">
        <v>4685</v>
      </c>
      <c r="C58" s="34">
        <v>4151</v>
      </c>
      <c r="D58" s="44">
        <v>3979</v>
      </c>
      <c r="E58" s="34">
        <v>3517</v>
      </c>
      <c r="F58" s="34">
        <v>1643</v>
      </c>
      <c r="G58" s="34">
        <v>-191</v>
      </c>
      <c r="H58" s="3">
        <v>3179</v>
      </c>
      <c r="I58" s="3">
        <v>3476</v>
      </c>
      <c r="J58" s="31"/>
      <c r="K58" s="34"/>
      <c r="L58" s="31"/>
      <c r="M58" s="31"/>
      <c r="N58" s="34"/>
      <c r="O58" s="34"/>
      <c r="P58" s="32"/>
    </row>
    <row r="59" spans="1:16" x14ac:dyDescent="0.2">
      <c r="A59" s="4" t="s">
        <v>71</v>
      </c>
      <c r="B59" s="42">
        <f>SUM(B54:B58)</f>
        <v>12707</v>
      </c>
      <c r="C59" s="42">
        <f t="shared" ref="C59:G59" si="10">SUM(C54:C58)</f>
        <v>12258</v>
      </c>
      <c r="D59" s="42">
        <f t="shared" si="10"/>
        <v>12407</v>
      </c>
      <c r="E59" s="42">
        <f t="shared" si="10"/>
        <v>9812</v>
      </c>
      <c r="F59" s="42">
        <f t="shared" si="10"/>
        <v>9040</v>
      </c>
      <c r="G59" s="42">
        <f t="shared" si="10"/>
        <v>8055</v>
      </c>
      <c r="H59" s="5">
        <f t="shared" ref="H59" si="11">+SUM(H54:H58)</f>
        <v>12767</v>
      </c>
      <c r="I59" s="5">
        <f>+SUM(I54:I58)</f>
        <v>15281</v>
      </c>
      <c r="J59" s="31"/>
      <c r="K59" s="34"/>
      <c r="L59" s="31"/>
      <c r="M59" s="31"/>
      <c r="N59" s="34"/>
      <c r="O59" s="34"/>
      <c r="P59" s="32"/>
    </row>
    <row r="60" spans="1:16" s="12" customFormat="1" ht="16" thickBot="1" x14ac:dyDescent="0.25">
      <c r="A60" s="6" t="s">
        <v>72</v>
      </c>
      <c r="B60" s="42">
        <f>SUM(B46:B51)+B59</f>
        <v>21600</v>
      </c>
      <c r="C60" s="42">
        <f t="shared" ref="C60:G60" si="12">SUM(C46:C51)+C59</f>
        <v>21379</v>
      </c>
      <c r="D60" s="42">
        <f t="shared" si="12"/>
        <v>23253</v>
      </c>
      <c r="E60" s="42">
        <f t="shared" si="12"/>
        <v>22530</v>
      </c>
      <c r="F60" s="42">
        <f t="shared" si="12"/>
        <v>23711</v>
      </c>
      <c r="G60" s="42">
        <f t="shared" si="12"/>
        <v>31339</v>
      </c>
      <c r="H60" s="7">
        <f t="shared" ref="H60" si="13">+SUM(H46:H51)+H59</f>
        <v>37740</v>
      </c>
      <c r="I60" s="7">
        <f>+SUM(I46:I51)+I59</f>
        <v>40321</v>
      </c>
      <c r="J60" s="31"/>
      <c r="K60" s="34"/>
      <c r="L60" s="31"/>
      <c r="M60" s="31"/>
      <c r="N60" s="34"/>
      <c r="O60" s="34"/>
      <c r="P60" s="32"/>
    </row>
    <row r="61" spans="1:16" ht="16" thickTop="1" x14ac:dyDescent="0.2">
      <c r="A61" s="12" t="s">
        <v>3</v>
      </c>
      <c r="B61" s="49">
        <f>B60-B37-B30</f>
        <v>0</v>
      </c>
      <c r="C61" s="49">
        <f t="shared" ref="C61:G61" si="14">C60-C37-C30</f>
        <v>0</v>
      </c>
      <c r="D61" s="49">
        <f t="shared" si="14"/>
        <v>0</v>
      </c>
      <c r="E61" s="49">
        <f t="shared" si="14"/>
        <v>0</v>
      </c>
      <c r="F61" s="49">
        <f t="shared" si="14"/>
        <v>0</v>
      </c>
      <c r="G61" s="49">
        <f t="shared" si="14"/>
        <v>0</v>
      </c>
      <c r="H61" s="49">
        <f t="shared" ref="C61:I61" si="15">H60-H37</f>
        <v>0</v>
      </c>
      <c r="I61" s="49">
        <f t="shared" si="15"/>
        <v>0</v>
      </c>
      <c r="K61" s="34"/>
      <c r="M61" s="31"/>
      <c r="N61" s="34"/>
      <c r="O61" s="34"/>
      <c r="P61" s="32"/>
    </row>
    <row r="62" spans="1:16" x14ac:dyDescent="0.2">
      <c r="A62" s="14" t="s">
        <v>1</v>
      </c>
      <c r="B62" s="14"/>
      <c r="C62" s="14"/>
      <c r="D62" s="14"/>
      <c r="E62" s="14"/>
      <c r="F62" s="9"/>
      <c r="G62" s="14"/>
      <c r="H62" s="14"/>
      <c r="I62" s="14"/>
      <c r="M62" s="31"/>
      <c r="N62" s="34"/>
      <c r="O62" s="34"/>
      <c r="P62" s="32"/>
    </row>
    <row r="63" spans="1:16" x14ac:dyDescent="0.2">
      <c r="A63" t="s">
        <v>15</v>
      </c>
      <c r="B63" s="34">
        <f>B12</f>
        <v>3273</v>
      </c>
      <c r="C63" s="34">
        <f>C12</f>
        <v>3760</v>
      </c>
      <c r="D63" s="34">
        <f>D12</f>
        <v>4240</v>
      </c>
      <c r="E63" s="34">
        <f>E12</f>
        <v>1933</v>
      </c>
      <c r="F63" s="34">
        <f>F12</f>
        <v>4029</v>
      </c>
      <c r="G63" s="34">
        <f>G12</f>
        <v>2539</v>
      </c>
      <c r="H63" s="34">
        <f>H12</f>
        <v>5727</v>
      </c>
      <c r="I63" s="34">
        <f>I12</f>
        <v>6046</v>
      </c>
      <c r="K63" s="33"/>
      <c r="M63" s="31"/>
      <c r="N63" s="34"/>
      <c r="O63" s="34"/>
      <c r="P63" s="32"/>
    </row>
    <row r="64" spans="1:16" s="1" customFormat="1" x14ac:dyDescent="0.2">
      <c r="A64" s="1" t="s">
        <v>73</v>
      </c>
      <c r="B64" s="33"/>
      <c r="C64" s="13"/>
      <c r="D64" s="13"/>
      <c r="E64" s="13"/>
      <c r="F64"/>
      <c r="G64"/>
      <c r="H64"/>
      <c r="I64"/>
      <c r="J64"/>
      <c r="K64"/>
      <c r="L64" s="33"/>
      <c r="M64" s="31"/>
      <c r="N64" s="33"/>
      <c r="O64" s="33"/>
      <c r="P64" s="32"/>
    </row>
    <row r="65" spans="1:16" s="1" customFormat="1" x14ac:dyDescent="0.2">
      <c r="A65" s="10" t="s">
        <v>74</v>
      </c>
      <c r="B65" s="1">
        <v>3273</v>
      </c>
      <c r="C65" s="1">
        <v>3760</v>
      </c>
      <c r="D65" s="1">
        <v>4240</v>
      </c>
      <c r="E65" s="1">
        <v>1933</v>
      </c>
      <c r="F65" s="1">
        <v>4029</v>
      </c>
      <c r="G65" s="9">
        <v>2539</v>
      </c>
      <c r="H65" s="9">
        <f>+H12</f>
        <v>5727</v>
      </c>
      <c r="I65" s="9">
        <f>+I12</f>
        <v>6046</v>
      </c>
      <c r="K65"/>
      <c r="L65" s="47"/>
      <c r="M65" s="31"/>
      <c r="N65" s="32"/>
      <c r="O65" s="32"/>
      <c r="P65" s="32"/>
    </row>
    <row r="66" spans="1:16" x14ac:dyDescent="0.2">
      <c r="A66" s="2" t="s">
        <v>75</v>
      </c>
      <c r="B66" t="s">
        <v>132</v>
      </c>
      <c r="F66" s="3"/>
      <c r="G66" s="3"/>
      <c r="H66" s="3"/>
      <c r="I66" s="3"/>
      <c r="J66" s="1"/>
      <c r="L66" s="34"/>
      <c r="M66" s="34"/>
      <c r="N66" s="32"/>
      <c r="O66" s="32"/>
      <c r="P66" s="32"/>
    </row>
    <row r="67" spans="1:16" x14ac:dyDescent="0.2">
      <c r="A67" s="11" t="s">
        <v>76</v>
      </c>
      <c r="B67" s="34">
        <v>606</v>
      </c>
      <c r="C67" s="34">
        <v>649</v>
      </c>
      <c r="D67" s="44">
        <v>706</v>
      </c>
      <c r="E67" s="34">
        <v>747</v>
      </c>
      <c r="F67" s="34">
        <v>705</v>
      </c>
      <c r="G67" s="34">
        <v>721</v>
      </c>
      <c r="H67" s="3">
        <v>744</v>
      </c>
      <c r="I67" s="3">
        <v>717</v>
      </c>
      <c r="J67" s="31"/>
      <c r="K67" s="1"/>
      <c r="L67" s="34"/>
      <c r="M67" s="34"/>
      <c r="N67" s="31"/>
      <c r="O67" s="33"/>
      <c r="P67" s="32"/>
    </row>
    <row r="68" spans="1:16" x14ac:dyDescent="0.2">
      <c r="A68" s="11" t="s">
        <v>77</v>
      </c>
      <c r="B68" s="34">
        <v>-113</v>
      </c>
      <c r="C68" s="34">
        <v>-80</v>
      </c>
      <c r="D68" s="44">
        <v>-273</v>
      </c>
      <c r="E68" s="34">
        <v>647</v>
      </c>
      <c r="F68" s="34">
        <v>34</v>
      </c>
      <c r="G68" s="34">
        <v>-380</v>
      </c>
      <c r="H68" s="3">
        <v>-385</v>
      </c>
      <c r="I68" s="3">
        <v>-650</v>
      </c>
      <c r="J68" s="31"/>
      <c r="K68" s="1"/>
      <c r="L68" s="34"/>
      <c r="M68" s="34"/>
      <c r="N68" s="34"/>
      <c r="O68" s="34"/>
      <c r="P68" s="32"/>
    </row>
    <row r="69" spans="1:16" x14ac:dyDescent="0.2">
      <c r="A69" s="11" t="s">
        <v>78</v>
      </c>
      <c r="B69" s="34">
        <v>191</v>
      </c>
      <c r="C69" s="34">
        <v>236</v>
      </c>
      <c r="D69" s="44">
        <v>215</v>
      </c>
      <c r="E69" s="34">
        <v>218</v>
      </c>
      <c r="F69" s="34">
        <v>325</v>
      </c>
      <c r="G69" s="34">
        <v>429</v>
      </c>
      <c r="H69" s="3">
        <v>611</v>
      </c>
      <c r="I69" s="3">
        <v>638</v>
      </c>
      <c r="J69" s="31"/>
      <c r="L69" s="34"/>
      <c r="M69" s="34"/>
      <c r="N69" s="34"/>
      <c r="O69" s="34"/>
      <c r="P69" s="32"/>
    </row>
    <row r="70" spans="1:16" x14ac:dyDescent="0.2">
      <c r="A70" s="11" t="s">
        <v>79</v>
      </c>
      <c r="B70" s="34">
        <v>43</v>
      </c>
      <c r="C70" s="34">
        <v>13</v>
      </c>
      <c r="D70" s="44">
        <v>10</v>
      </c>
      <c r="E70" s="34">
        <v>27</v>
      </c>
      <c r="F70" s="34">
        <v>15</v>
      </c>
      <c r="G70" s="34">
        <v>398</v>
      </c>
      <c r="H70" s="3">
        <v>53</v>
      </c>
      <c r="I70" s="3">
        <v>123</v>
      </c>
      <c r="J70" s="31"/>
      <c r="L70" s="34"/>
      <c r="M70" s="34"/>
      <c r="N70" s="34"/>
      <c r="O70" s="34"/>
      <c r="P70" s="32"/>
    </row>
    <row r="71" spans="1:16" x14ac:dyDescent="0.2">
      <c r="A71" s="11" t="s">
        <v>80</v>
      </c>
      <c r="B71" s="34">
        <v>424</v>
      </c>
      <c r="C71" s="34">
        <v>98</v>
      </c>
      <c r="D71" s="44">
        <v>-117</v>
      </c>
      <c r="E71" s="34">
        <v>-99</v>
      </c>
      <c r="F71" s="34">
        <v>233</v>
      </c>
      <c r="G71" s="34">
        <v>23</v>
      </c>
      <c r="H71" s="3">
        <v>-138</v>
      </c>
      <c r="I71" s="3">
        <v>-26</v>
      </c>
      <c r="J71" s="31"/>
      <c r="L71" s="47"/>
      <c r="M71" s="32"/>
      <c r="N71" s="34"/>
      <c r="O71" s="34"/>
      <c r="P71" s="32"/>
    </row>
    <row r="72" spans="1:16" x14ac:dyDescent="0.2">
      <c r="A72" s="2" t="s">
        <v>81</v>
      </c>
      <c r="B72" s="47"/>
      <c r="C72" s="3"/>
      <c r="D72" s="3"/>
      <c r="E72" s="32"/>
      <c r="F72" s="3"/>
      <c r="G72" s="3"/>
      <c r="H72" s="3"/>
      <c r="I72" s="3"/>
      <c r="J72" s="31"/>
      <c r="L72" s="34"/>
      <c r="M72" s="32"/>
      <c r="N72" s="34"/>
      <c r="O72" s="34"/>
      <c r="P72" s="32"/>
    </row>
    <row r="73" spans="1:16" x14ac:dyDescent="0.2">
      <c r="A73" s="11" t="s">
        <v>82</v>
      </c>
      <c r="B73" s="34">
        <v>-216</v>
      </c>
      <c r="C73" s="34">
        <v>-590</v>
      </c>
      <c r="D73" s="44">
        <v>-231</v>
      </c>
      <c r="E73" s="34">
        <v>187</v>
      </c>
      <c r="F73" s="34">
        <v>-270</v>
      </c>
      <c r="G73" s="34">
        <v>1239</v>
      </c>
      <c r="H73" s="3">
        <v>-1606</v>
      </c>
      <c r="I73" s="3">
        <v>-504</v>
      </c>
      <c r="J73" s="31"/>
      <c r="L73" s="34"/>
      <c r="M73" s="34"/>
      <c r="N73" s="34"/>
      <c r="O73" s="34"/>
      <c r="P73" s="32"/>
    </row>
    <row r="74" spans="1:16" x14ac:dyDescent="0.2">
      <c r="A74" s="11" t="s">
        <v>83</v>
      </c>
      <c r="B74" s="34">
        <v>-621</v>
      </c>
      <c r="C74" s="34"/>
      <c r="D74" s="3"/>
      <c r="E74" s="34">
        <v>-255</v>
      </c>
      <c r="F74" s="34">
        <v>-490</v>
      </c>
      <c r="G74" s="34">
        <v>-1854</v>
      </c>
      <c r="H74" s="3">
        <v>507</v>
      </c>
      <c r="I74" s="3">
        <v>-1676</v>
      </c>
      <c r="J74" s="31"/>
      <c r="L74" s="34"/>
      <c r="M74" s="34"/>
      <c r="N74" s="34"/>
      <c r="O74" s="34"/>
      <c r="P74" s="32"/>
    </row>
    <row r="75" spans="1:16" x14ac:dyDescent="0.2">
      <c r="A75" s="11" t="s">
        <v>107</v>
      </c>
      <c r="B75" s="34">
        <v>-144</v>
      </c>
      <c r="C75" s="34">
        <v>-161</v>
      </c>
      <c r="D75" s="44">
        <v>-120</v>
      </c>
      <c r="E75" s="34">
        <v>35</v>
      </c>
      <c r="F75" s="34">
        <v>-203</v>
      </c>
      <c r="G75" s="34">
        <v>-654</v>
      </c>
      <c r="H75" s="3">
        <v>-182</v>
      </c>
      <c r="I75" s="3">
        <v>-845</v>
      </c>
      <c r="J75" s="31"/>
      <c r="L75" s="34"/>
      <c r="M75" s="32"/>
      <c r="N75" s="32"/>
      <c r="O75" s="32"/>
      <c r="P75" s="32"/>
    </row>
    <row r="76" spans="1:16" x14ac:dyDescent="0.2">
      <c r="A76" s="11" t="s">
        <v>106</v>
      </c>
      <c r="B76" s="34">
        <v>1237</v>
      </c>
      <c r="C76" s="34">
        <v>-889</v>
      </c>
      <c r="D76" s="44">
        <v>-364</v>
      </c>
      <c r="E76" s="34">
        <v>1515</v>
      </c>
      <c r="F76" s="34">
        <v>1525</v>
      </c>
      <c r="G76" s="34">
        <v>24</v>
      </c>
      <c r="H76" s="3">
        <v>1326</v>
      </c>
      <c r="I76" s="3">
        <v>1365</v>
      </c>
      <c r="J76" s="31"/>
      <c r="L76" s="34"/>
      <c r="M76" s="34"/>
      <c r="N76" s="36"/>
      <c r="O76" s="36"/>
      <c r="P76" s="32"/>
    </row>
    <row r="77" spans="1:16" x14ac:dyDescent="0.2">
      <c r="A77" s="27" t="s">
        <v>84</v>
      </c>
      <c r="B77" s="34">
        <f>SUM(B65:B76)</f>
        <v>4680</v>
      </c>
      <c r="C77" s="34">
        <f t="shared" ref="C77:G77" si="16">SUM(C65:C76)</f>
        <v>3036</v>
      </c>
      <c r="D77" s="34">
        <f t="shared" si="16"/>
        <v>4066</v>
      </c>
      <c r="E77" s="34">
        <f t="shared" si="16"/>
        <v>4955</v>
      </c>
      <c r="F77" s="34">
        <f t="shared" si="16"/>
        <v>5903</v>
      </c>
      <c r="G77" s="34">
        <f t="shared" si="16"/>
        <v>2485</v>
      </c>
      <c r="H77" s="28">
        <f t="shared" ref="H77" si="17">+SUM(H65:H76)</f>
        <v>6657</v>
      </c>
      <c r="I77" s="28">
        <f>+SUM(I65:I76)</f>
        <v>5188</v>
      </c>
      <c r="J77" s="31"/>
      <c r="L77" s="47"/>
      <c r="M77" s="32"/>
      <c r="N77" s="32"/>
      <c r="O77" s="32"/>
      <c r="P77" s="32"/>
    </row>
    <row r="78" spans="1:16" x14ac:dyDescent="0.2">
      <c r="A78" s="1" t="s">
        <v>85</v>
      </c>
      <c r="B78" s="47"/>
      <c r="C78" s="3"/>
      <c r="D78" s="3"/>
      <c r="E78" s="34"/>
      <c r="F78" s="3"/>
      <c r="G78" s="3"/>
      <c r="H78" s="3"/>
      <c r="I78" s="3"/>
      <c r="J78" s="31"/>
      <c r="L78" s="34"/>
      <c r="M78" s="34"/>
      <c r="N78" s="32"/>
      <c r="O78" s="32"/>
      <c r="P78" s="32"/>
    </row>
    <row r="79" spans="1:16" x14ac:dyDescent="0.2">
      <c r="A79" s="2" t="s">
        <v>86</v>
      </c>
      <c r="B79" s="34">
        <v>-4936</v>
      </c>
      <c r="C79" s="34">
        <v>-5367</v>
      </c>
      <c r="D79" s="44">
        <v>-5928</v>
      </c>
      <c r="E79" s="34">
        <v>-4783</v>
      </c>
      <c r="F79" s="34">
        <v>-2937</v>
      </c>
      <c r="G79" s="34">
        <v>-2426</v>
      </c>
      <c r="H79" s="3">
        <v>-9961</v>
      </c>
      <c r="I79" s="3">
        <v>-12913</v>
      </c>
      <c r="J79" s="31"/>
      <c r="L79" s="34"/>
      <c r="M79" s="34"/>
      <c r="N79" s="36"/>
      <c r="O79" s="36"/>
      <c r="P79" s="32"/>
    </row>
    <row r="80" spans="1:16" x14ac:dyDescent="0.2">
      <c r="A80" s="2" t="s">
        <v>87</v>
      </c>
      <c r="B80" s="34">
        <v>3655</v>
      </c>
      <c r="C80" s="34">
        <v>2924</v>
      </c>
      <c r="D80" s="44">
        <v>3623</v>
      </c>
      <c r="E80" s="34">
        <v>3613</v>
      </c>
      <c r="F80" s="34">
        <v>1715</v>
      </c>
      <c r="G80" s="34">
        <v>74</v>
      </c>
      <c r="H80" s="3">
        <v>4236</v>
      </c>
      <c r="I80" s="3">
        <v>8199</v>
      </c>
      <c r="J80" s="31"/>
      <c r="L80" s="34"/>
      <c r="M80" s="32"/>
      <c r="N80" s="34"/>
      <c r="O80" s="34"/>
      <c r="P80" s="32"/>
    </row>
    <row r="81" spans="1:16" x14ac:dyDescent="0.2">
      <c r="A81" s="2" t="s">
        <v>88</v>
      </c>
      <c r="B81" s="34">
        <v>2216</v>
      </c>
      <c r="C81" s="34">
        <v>2386</v>
      </c>
      <c r="D81" s="44">
        <v>2423</v>
      </c>
      <c r="E81" s="34">
        <v>2496</v>
      </c>
      <c r="F81" s="34">
        <v>2072</v>
      </c>
      <c r="G81" s="34">
        <v>2379</v>
      </c>
      <c r="H81" s="3">
        <v>2449</v>
      </c>
      <c r="I81" s="3">
        <v>3967</v>
      </c>
      <c r="J81" s="31"/>
      <c r="L81" s="34"/>
      <c r="M81" s="34"/>
      <c r="N81" s="34"/>
      <c r="O81" s="34"/>
      <c r="P81" s="32"/>
    </row>
    <row r="82" spans="1:16" x14ac:dyDescent="0.2">
      <c r="A82" s="2" t="s">
        <v>14</v>
      </c>
      <c r="B82" s="34">
        <v>-963</v>
      </c>
      <c r="C82" s="34">
        <v>-1143</v>
      </c>
      <c r="D82" s="44">
        <v>-1105</v>
      </c>
      <c r="E82" s="34">
        <v>-1028</v>
      </c>
      <c r="F82" s="34">
        <v>-1119</v>
      </c>
      <c r="G82" s="34">
        <v>-1086</v>
      </c>
      <c r="H82" s="3">
        <v>-695</v>
      </c>
      <c r="I82" s="3">
        <v>-758</v>
      </c>
      <c r="J82" s="31"/>
      <c r="L82" s="34" t="s">
        <v>133</v>
      </c>
      <c r="M82" s="34"/>
      <c r="N82" s="34"/>
      <c r="O82" s="34"/>
      <c r="P82" s="32"/>
    </row>
    <row r="83" spans="1:16" x14ac:dyDescent="0.2">
      <c r="A83" s="2" t="s">
        <v>89</v>
      </c>
      <c r="B83" s="34">
        <v>-150</v>
      </c>
      <c r="C83" s="34">
        <v>6</v>
      </c>
      <c r="D83" s="34">
        <v>6</v>
      </c>
      <c r="E83" s="32"/>
      <c r="F83" s="3"/>
      <c r="G83" s="3"/>
      <c r="H83" s="3">
        <v>171</v>
      </c>
      <c r="I83" s="3">
        <v>-19</v>
      </c>
      <c r="J83" s="31"/>
      <c r="L83" s="34"/>
      <c r="M83" s="34"/>
      <c r="N83" s="34"/>
      <c r="O83" s="34"/>
      <c r="P83" s="32"/>
    </row>
    <row r="84" spans="1:16" x14ac:dyDescent="0.2">
      <c r="A84" s="29" t="s">
        <v>90</v>
      </c>
      <c r="B84" s="34">
        <f>SUM(B79:B83)</f>
        <v>-178</v>
      </c>
      <c r="C84" s="34">
        <f t="shared" ref="C84:G84" si="18">SUM(C79:C83)</f>
        <v>-1194</v>
      </c>
      <c r="D84" s="34">
        <f t="shared" si="18"/>
        <v>-981</v>
      </c>
      <c r="E84" s="34">
        <f t="shared" si="18"/>
        <v>298</v>
      </c>
      <c r="F84" s="34">
        <f t="shared" si="18"/>
        <v>-269</v>
      </c>
      <c r="G84" s="34">
        <f t="shared" si="18"/>
        <v>-1059</v>
      </c>
      <c r="H84" s="28">
        <f t="shared" ref="H84" si="19">+SUM(H79:H83)</f>
        <v>-3800</v>
      </c>
      <c r="I84" s="28">
        <f>+SUM(I79:I83)</f>
        <v>-1524</v>
      </c>
      <c r="J84" s="31"/>
      <c r="L84" s="47"/>
      <c r="M84" s="34"/>
      <c r="N84" s="34"/>
      <c r="O84" s="34"/>
      <c r="P84" s="32"/>
    </row>
    <row r="85" spans="1:16" x14ac:dyDescent="0.2">
      <c r="A85" s="1" t="s">
        <v>91</v>
      </c>
      <c r="B85" s="47"/>
      <c r="C85" s="3"/>
      <c r="D85" s="3"/>
      <c r="E85" s="34"/>
      <c r="F85" s="3"/>
      <c r="G85" s="3"/>
      <c r="H85" s="3"/>
      <c r="I85" s="3"/>
      <c r="J85" s="31"/>
      <c r="L85" s="36"/>
      <c r="M85" s="34"/>
      <c r="N85" s="33"/>
      <c r="O85" s="33"/>
      <c r="P85" s="32"/>
    </row>
    <row r="86" spans="1:16" x14ac:dyDescent="0.2">
      <c r="A86" s="2" t="s">
        <v>92</v>
      </c>
      <c r="B86" s="36" t="s">
        <v>134</v>
      </c>
      <c r="C86" s="3"/>
      <c r="D86" s="3"/>
      <c r="E86" s="34"/>
      <c r="F86" s="3"/>
      <c r="G86" s="34">
        <v>6134</v>
      </c>
      <c r="H86" s="3">
        <v>0</v>
      </c>
      <c r="I86" s="3">
        <v>0</v>
      </c>
      <c r="J86" s="31"/>
      <c r="L86" s="34"/>
      <c r="M86" s="34"/>
    </row>
    <row r="87" spans="1:16" x14ac:dyDescent="0.2">
      <c r="A87" s="2" t="s">
        <v>93</v>
      </c>
      <c r="B87" s="34">
        <v>-63</v>
      </c>
      <c r="C87" s="34">
        <v>-67</v>
      </c>
      <c r="D87" s="44">
        <v>327</v>
      </c>
      <c r="E87" s="34">
        <v>13</v>
      </c>
      <c r="F87" s="34">
        <v>-325</v>
      </c>
      <c r="G87" s="34">
        <v>49</v>
      </c>
      <c r="H87" s="3">
        <v>-52</v>
      </c>
      <c r="I87" s="3">
        <v>15</v>
      </c>
      <c r="J87" s="31"/>
      <c r="L87" s="34"/>
      <c r="M87" s="34"/>
    </row>
    <row r="88" spans="1:16" x14ac:dyDescent="0.2">
      <c r="A88" s="2" t="s">
        <v>94</v>
      </c>
      <c r="B88" s="34">
        <v>-7</v>
      </c>
      <c r="C88" s="34">
        <v>-106</v>
      </c>
      <c r="D88" s="44">
        <v>-44</v>
      </c>
      <c r="E88" s="34"/>
      <c r="F88" s="3"/>
      <c r="G88" s="3"/>
      <c r="H88" s="3">
        <v>-197</v>
      </c>
      <c r="I88" s="3">
        <v>0</v>
      </c>
      <c r="J88" s="31"/>
      <c r="L88" s="34"/>
      <c r="M88" s="34"/>
    </row>
    <row r="89" spans="1:16" x14ac:dyDescent="0.2">
      <c r="A89" s="2" t="s">
        <v>95</v>
      </c>
      <c r="B89" s="34">
        <v>514</v>
      </c>
      <c r="C89" s="34">
        <v>507</v>
      </c>
      <c r="D89" s="44">
        <v>489</v>
      </c>
      <c r="E89" s="34">
        <v>733</v>
      </c>
      <c r="F89" s="34">
        <v>700</v>
      </c>
      <c r="G89" s="34">
        <v>885</v>
      </c>
      <c r="H89" s="3">
        <v>1172</v>
      </c>
      <c r="I89" s="3">
        <v>1151</v>
      </c>
      <c r="J89" s="31"/>
      <c r="K89" s="12"/>
      <c r="L89" s="34"/>
      <c r="M89" s="32"/>
    </row>
    <row r="90" spans="1:16" x14ac:dyDescent="0.2">
      <c r="A90" s="2" t="s">
        <v>16</v>
      </c>
      <c r="B90" s="34">
        <v>-2534</v>
      </c>
      <c r="C90" s="34">
        <v>-3238</v>
      </c>
      <c r="D90" s="44">
        <v>-3223</v>
      </c>
      <c r="E90" s="34">
        <v>-4254</v>
      </c>
      <c r="F90" s="34">
        <v>-4286</v>
      </c>
      <c r="G90" s="34">
        <v>-3067</v>
      </c>
      <c r="H90" s="3">
        <v>-608</v>
      </c>
      <c r="I90" s="3">
        <v>-4014</v>
      </c>
      <c r="J90" s="31"/>
      <c r="L90" s="34"/>
      <c r="M90" s="34"/>
    </row>
    <row r="91" spans="1:16" x14ac:dyDescent="0.2">
      <c r="A91" s="2" t="s">
        <v>96</v>
      </c>
      <c r="B91" s="34">
        <v>-899</v>
      </c>
      <c r="C91" s="34">
        <v>-1022</v>
      </c>
      <c r="D91" s="44">
        <v>-1133</v>
      </c>
      <c r="E91" s="34">
        <v>-1243</v>
      </c>
      <c r="F91" s="34">
        <v>-1332</v>
      </c>
      <c r="G91" s="34">
        <v>-1452</v>
      </c>
      <c r="H91" s="3">
        <v>-1638</v>
      </c>
      <c r="I91" s="3">
        <v>-1837</v>
      </c>
      <c r="J91" s="31"/>
      <c r="M91" s="32"/>
    </row>
    <row r="92" spans="1:16" x14ac:dyDescent="0.2">
      <c r="A92" s="2" t="s">
        <v>97</v>
      </c>
      <c r="C92" s="3"/>
      <c r="D92" s="3"/>
      <c r="E92" s="34"/>
      <c r="F92" s="3"/>
      <c r="G92" s="3"/>
      <c r="H92" s="3">
        <v>-136</v>
      </c>
      <c r="I92" s="3">
        <v>-151</v>
      </c>
      <c r="L92" s="34"/>
      <c r="M92" s="34"/>
    </row>
    <row r="93" spans="1:16" x14ac:dyDescent="0.2">
      <c r="A93" s="29" t="s">
        <v>98</v>
      </c>
      <c r="B93" s="34">
        <f>SUM(B86:B92)</f>
        <v>-2989</v>
      </c>
      <c r="C93" s="34">
        <f t="shared" ref="C93:G93" si="20">SUM(C86:C92)</f>
        <v>-3926</v>
      </c>
      <c r="D93" s="34">
        <f t="shared" si="20"/>
        <v>-3584</v>
      </c>
      <c r="E93" s="34">
        <f t="shared" si="20"/>
        <v>-4751</v>
      </c>
      <c r="F93" s="34">
        <f t="shared" si="20"/>
        <v>-5243</v>
      </c>
      <c r="G93" s="34">
        <f t="shared" si="20"/>
        <v>2549</v>
      </c>
      <c r="H93" s="28">
        <f t="shared" ref="H93" si="21">+SUM(H86:H92)</f>
        <v>-1459</v>
      </c>
      <c r="I93" s="28">
        <f>+SUM(I86:I92)</f>
        <v>-4836</v>
      </c>
      <c r="J93" s="31"/>
      <c r="L93" s="34"/>
      <c r="M93" s="34"/>
    </row>
    <row r="94" spans="1:16" x14ac:dyDescent="0.2">
      <c r="A94" s="31" t="s">
        <v>130</v>
      </c>
      <c r="B94" s="34">
        <f>-83</f>
        <v>-83</v>
      </c>
      <c r="C94" s="3">
        <f>-105</f>
        <v>-105</v>
      </c>
      <c r="D94" s="3">
        <f>-20</f>
        <v>-20</v>
      </c>
      <c r="E94" s="34">
        <f>45</f>
        <v>45</v>
      </c>
      <c r="F94" s="3">
        <f>-129</f>
        <v>-129</v>
      </c>
      <c r="G94" s="3">
        <f>-66</f>
        <v>-66</v>
      </c>
      <c r="H94" s="3">
        <v>143</v>
      </c>
      <c r="I94" s="3">
        <v>-143</v>
      </c>
      <c r="J94" s="31"/>
      <c r="L94" s="34"/>
      <c r="M94" s="32"/>
    </row>
    <row r="95" spans="1:16" x14ac:dyDescent="0.2">
      <c r="A95" s="29" t="s">
        <v>99</v>
      </c>
      <c r="B95" s="34">
        <f>B77+B84+B93+B94</f>
        <v>1430</v>
      </c>
      <c r="C95" s="34">
        <f t="shared" ref="C95:G95" si="22">C77+C84+C93+C94</f>
        <v>-2189</v>
      </c>
      <c r="D95" s="34">
        <f t="shared" si="22"/>
        <v>-519</v>
      </c>
      <c r="E95" s="34">
        <f t="shared" si="22"/>
        <v>547</v>
      </c>
      <c r="F95" s="34">
        <f t="shared" si="22"/>
        <v>262</v>
      </c>
      <c r="G95" s="34">
        <f t="shared" si="22"/>
        <v>3909</v>
      </c>
      <c r="H95" s="28">
        <f t="shared" ref="H95" si="23">+H77+H84+H93+H94</f>
        <v>1541</v>
      </c>
      <c r="I95" s="28">
        <f>+I77+I84+I93+I94</f>
        <v>-1315</v>
      </c>
      <c r="J95" s="31"/>
      <c r="L95" s="34"/>
      <c r="M95" s="34"/>
    </row>
    <row r="96" spans="1:16" x14ac:dyDescent="0.2">
      <c r="A96" t="s">
        <v>100</v>
      </c>
      <c r="B96" s="34">
        <v>2220</v>
      </c>
      <c r="C96" s="28">
        <f>B97</f>
        <v>3852</v>
      </c>
      <c r="D96" s="28">
        <f>C97</f>
        <v>3138</v>
      </c>
      <c r="E96" s="34">
        <v>3808</v>
      </c>
      <c r="F96" s="34">
        <f>E97</f>
        <v>4249</v>
      </c>
      <c r="G96" s="34">
        <f>F97</f>
        <v>4466</v>
      </c>
      <c r="H96" s="3">
        <v>8348</v>
      </c>
      <c r="I96" s="3">
        <f>+H97</f>
        <v>9889</v>
      </c>
      <c r="J96" s="31"/>
      <c r="L96" s="33"/>
      <c r="M96" s="32"/>
    </row>
    <row r="97" spans="1:13" s="12" customFormat="1" ht="16" thickBot="1" x14ac:dyDescent="0.25">
      <c r="A97" s="6" t="s">
        <v>101</v>
      </c>
      <c r="B97" s="33">
        <f>3852</f>
        <v>3852</v>
      </c>
      <c r="C97" s="33">
        <f>3138</f>
        <v>3138</v>
      </c>
      <c r="D97" s="33">
        <f>3808</f>
        <v>3808</v>
      </c>
      <c r="E97" s="33">
        <f>4249</f>
        <v>4249</v>
      </c>
      <c r="F97" s="33">
        <f>4466</f>
        <v>4466</v>
      </c>
      <c r="G97" s="33">
        <f>8348</f>
        <v>8348</v>
      </c>
      <c r="H97" s="7">
        <f>+H95+H96</f>
        <v>9889</v>
      </c>
      <c r="I97" s="7">
        <f>+I95+I96</f>
        <v>8574</v>
      </c>
      <c r="J97" s="31"/>
      <c r="M97" s="34"/>
    </row>
    <row r="98" spans="1:13" ht="16" thickTop="1" x14ac:dyDescent="0.2">
      <c r="A98" s="12" t="s">
        <v>19</v>
      </c>
      <c r="B98" s="52">
        <f>B97-B25</f>
        <v>0</v>
      </c>
      <c r="C98" s="52">
        <f t="shared" ref="C98:I98" si="24">C97-C25</f>
        <v>0</v>
      </c>
      <c r="D98" s="52">
        <f t="shared" si="24"/>
        <v>0</v>
      </c>
      <c r="E98" s="52">
        <f t="shared" si="24"/>
        <v>0</v>
      </c>
      <c r="F98" s="52">
        <f t="shared" si="24"/>
        <v>0</v>
      </c>
      <c r="G98" s="52">
        <f t="shared" si="24"/>
        <v>0</v>
      </c>
      <c r="H98" s="52">
        <f t="shared" si="24"/>
        <v>0</v>
      </c>
      <c r="I98" s="52">
        <f t="shared" si="24"/>
        <v>0</v>
      </c>
      <c r="J98" s="12"/>
      <c r="L98" s="47"/>
      <c r="M98" s="32"/>
    </row>
    <row r="99" spans="1:13" x14ac:dyDescent="0.2">
      <c r="A99" t="s">
        <v>102</v>
      </c>
      <c r="C99" s="3"/>
      <c r="D99" s="3"/>
      <c r="E99" s="34"/>
      <c r="F99" s="3"/>
      <c r="G99" s="3"/>
      <c r="H99" s="3"/>
      <c r="I99" s="3"/>
      <c r="J99" s="31"/>
      <c r="L99" s="47"/>
      <c r="M99" s="34"/>
    </row>
    <row r="100" spans="1:13" x14ac:dyDescent="0.2">
      <c r="A100" s="2" t="s">
        <v>17</v>
      </c>
      <c r="B100" s="47"/>
      <c r="E100" s="34"/>
      <c r="F100" s="3"/>
      <c r="G100" s="3"/>
      <c r="H100" s="3"/>
      <c r="I100" s="3"/>
      <c r="J100" s="31"/>
      <c r="L100" s="33"/>
      <c r="M100" s="34"/>
    </row>
    <row r="101" spans="1:13" x14ac:dyDescent="0.2">
      <c r="A101" s="11" t="s">
        <v>103</v>
      </c>
      <c r="B101">
        <v>53</v>
      </c>
      <c r="C101" s="33">
        <v>70</v>
      </c>
      <c r="D101" s="43">
        <v>98</v>
      </c>
      <c r="E101" s="33">
        <v>125</v>
      </c>
      <c r="F101" s="33">
        <v>153</v>
      </c>
      <c r="G101" s="33">
        <v>140</v>
      </c>
      <c r="H101" s="3">
        <v>293</v>
      </c>
      <c r="I101" s="3">
        <v>290</v>
      </c>
      <c r="J101" s="31"/>
      <c r="L101" s="34"/>
      <c r="M101" s="34"/>
    </row>
    <row r="102" spans="1:13" x14ac:dyDescent="0.2">
      <c r="A102" s="11" t="s">
        <v>18</v>
      </c>
      <c r="B102" s="34">
        <v>1262</v>
      </c>
      <c r="C102" s="34">
        <v>748</v>
      </c>
      <c r="D102" s="44">
        <v>703</v>
      </c>
      <c r="E102" s="34">
        <v>529</v>
      </c>
      <c r="F102" s="34">
        <v>757</v>
      </c>
      <c r="G102" s="34">
        <v>1028</v>
      </c>
      <c r="H102" s="3">
        <v>1177</v>
      </c>
      <c r="I102" s="3">
        <v>1231</v>
      </c>
      <c r="J102" s="31"/>
      <c r="L102" s="34"/>
      <c r="M102" s="34"/>
    </row>
    <row r="103" spans="1:13" x14ac:dyDescent="0.2">
      <c r="A103" s="11" t="s">
        <v>104</v>
      </c>
      <c r="B103" s="34">
        <v>206</v>
      </c>
      <c r="C103" s="34">
        <v>252</v>
      </c>
      <c r="D103" s="44">
        <v>266</v>
      </c>
      <c r="E103" s="34">
        <v>294</v>
      </c>
      <c r="F103" s="34">
        <v>160</v>
      </c>
      <c r="G103" s="34">
        <v>121</v>
      </c>
      <c r="H103" s="3">
        <v>179</v>
      </c>
      <c r="I103" s="3">
        <v>160</v>
      </c>
      <c r="J103" s="31"/>
      <c r="L103" s="34"/>
      <c r="M103" s="32"/>
    </row>
    <row r="104" spans="1:13" x14ac:dyDescent="0.2">
      <c r="A104" s="11" t="s">
        <v>105</v>
      </c>
      <c r="B104" s="34">
        <v>240</v>
      </c>
      <c r="C104" s="34">
        <v>271</v>
      </c>
      <c r="D104" s="44">
        <v>300</v>
      </c>
      <c r="E104" s="34">
        <v>320</v>
      </c>
      <c r="F104" s="34">
        <v>347</v>
      </c>
      <c r="G104" s="34">
        <v>385</v>
      </c>
      <c r="H104" s="3">
        <v>438</v>
      </c>
      <c r="I104" s="3">
        <v>480</v>
      </c>
      <c r="J104" s="31"/>
      <c r="M104" s="34"/>
    </row>
    <row r="105" spans="1:13" x14ac:dyDescent="0.2">
      <c r="B105" s="34"/>
      <c r="C105" s="3"/>
      <c r="D105" s="3"/>
      <c r="E105" s="33"/>
      <c r="M105" s="34"/>
    </row>
    <row r="106" spans="1:13" x14ac:dyDescent="0.2">
      <c r="A106" s="14" t="s">
        <v>108</v>
      </c>
      <c r="B106" s="34"/>
      <c r="C106" s="14"/>
      <c r="D106" s="14"/>
      <c r="E106" s="34"/>
      <c r="F106" s="14"/>
      <c r="G106" s="14"/>
      <c r="H106" s="14"/>
      <c r="I106" s="14"/>
      <c r="M106" s="34"/>
    </row>
    <row r="107" spans="1:13" x14ac:dyDescent="0.2">
      <c r="A107" s="30" t="s">
        <v>118</v>
      </c>
      <c r="B107" s="34"/>
      <c r="C107" s="3"/>
      <c r="D107" s="3"/>
      <c r="E107" s="34"/>
      <c r="F107" s="3"/>
      <c r="G107" s="3"/>
      <c r="H107" s="3"/>
      <c r="I107" s="3"/>
      <c r="M107" s="33"/>
    </row>
    <row r="108" spans="1:13" x14ac:dyDescent="0.2">
      <c r="A108" s="2" t="s">
        <v>109</v>
      </c>
      <c r="B108" s="33">
        <f>SUM(B109:B111)</f>
        <v>13740</v>
      </c>
      <c r="C108">
        <f>SUM(C109:C111)</f>
        <v>14764</v>
      </c>
      <c r="D108">
        <f>SUM(D109:D111)</f>
        <v>15216</v>
      </c>
      <c r="E108" s="34">
        <f>SUM(E109:E111)</f>
        <v>14855</v>
      </c>
      <c r="F108" s="34">
        <f>SUM(F109:F111)</f>
        <v>15902</v>
      </c>
      <c r="G108" s="3">
        <f t="shared" ref="G108:H108" si="25">+SUM(G109:G111)</f>
        <v>14484</v>
      </c>
      <c r="H108" s="3">
        <f t="shared" si="25"/>
        <v>17179</v>
      </c>
      <c r="I108" s="3">
        <f>+SUM(I109:I111)</f>
        <v>18353</v>
      </c>
      <c r="M108" s="32"/>
    </row>
    <row r="109" spans="1:13" x14ac:dyDescent="0.2">
      <c r="A109" s="11" t="s">
        <v>122</v>
      </c>
      <c r="B109" s="32">
        <v>8506</v>
      </c>
      <c r="C109">
        <f>9299</f>
        <v>9299</v>
      </c>
      <c r="D109">
        <f>9684</f>
        <v>9684</v>
      </c>
      <c r="E109">
        <f>9322</f>
        <v>9322</v>
      </c>
      <c r="F109">
        <f>10045</f>
        <v>10045</v>
      </c>
      <c r="G109">
        <f>9329</f>
        <v>9329</v>
      </c>
      <c r="H109" s="8">
        <v>11644</v>
      </c>
      <c r="I109" s="8">
        <v>12228</v>
      </c>
      <c r="M109" s="32"/>
    </row>
    <row r="110" spans="1:13" x14ac:dyDescent="0.2">
      <c r="A110" s="11" t="s">
        <v>123</v>
      </c>
      <c r="B110" s="32">
        <v>4410</v>
      </c>
      <c r="C110" s="3">
        <f>4746</f>
        <v>4746</v>
      </c>
      <c r="D110" s="3">
        <f>4886</f>
        <v>4886</v>
      </c>
      <c r="E110" s="3">
        <f>4938</f>
        <v>4938</v>
      </c>
      <c r="F110">
        <f>5260</f>
        <v>5260</v>
      </c>
      <c r="G110">
        <f>4639</f>
        <v>4639</v>
      </c>
      <c r="H110" s="8">
        <v>5028</v>
      </c>
      <c r="I110" s="8">
        <v>5492</v>
      </c>
      <c r="M110" s="32"/>
    </row>
    <row r="111" spans="1:13" x14ac:dyDescent="0.2">
      <c r="A111" s="11" t="s">
        <v>124</v>
      </c>
      <c r="B111" s="32">
        <v>824</v>
      </c>
      <c r="C111" s="3">
        <f>719</f>
        <v>719</v>
      </c>
      <c r="D111" s="3">
        <f>646</f>
        <v>646</v>
      </c>
      <c r="E111" s="3">
        <f>595</f>
        <v>595</v>
      </c>
      <c r="F111">
        <f>597</f>
        <v>597</v>
      </c>
      <c r="G111">
        <f>516</f>
        <v>516</v>
      </c>
      <c r="H111">
        <v>507</v>
      </c>
      <c r="I111">
        <v>633</v>
      </c>
      <c r="M111" s="33"/>
    </row>
    <row r="112" spans="1:13" x14ac:dyDescent="0.2">
      <c r="A112" s="2" t="s">
        <v>110</v>
      </c>
      <c r="B112" s="33">
        <f>SUM(B113:B115)</f>
        <v>7126</v>
      </c>
      <c r="C112">
        <f>SUM(C113:C115)</f>
        <v>7315</v>
      </c>
      <c r="D112">
        <f>SUM(D113:D115)</f>
        <v>7698</v>
      </c>
      <c r="E112">
        <f>SUM(E113:E115)</f>
        <v>9242</v>
      </c>
      <c r="F112" s="3">
        <f t="shared" ref="F112" si="26">+SUM(F113:F115)</f>
        <v>9812</v>
      </c>
      <c r="G112" s="3">
        <f t="shared" ref="G112" si="27">+SUM(G113:G115)</f>
        <v>9347</v>
      </c>
      <c r="H112" s="3">
        <f t="shared" ref="H112" si="28">+SUM(H113:H115)</f>
        <v>11456</v>
      </c>
      <c r="I112" s="3">
        <f>+SUM(I113:I115)</f>
        <v>12479</v>
      </c>
      <c r="M112" s="34"/>
    </row>
    <row r="113" spans="1:13" x14ac:dyDescent="0.2">
      <c r="A113" s="11" t="s">
        <v>122</v>
      </c>
      <c r="B113" s="34">
        <f>3876+827</f>
        <v>4703</v>
      </c>
      <c r="C113">
        <f>882+3985</f>
        <v>4867</v>
      </c>
      <c r="D113">
        <f>4068+927</f>
        <v>4995</v>
      </c>
      <c r="E113">
        <f>5875</f>
        <v>5875</v>
      </c>
      <c r="F113">
        <f>6293</f>
        <v>6293</v>
      </c>
      <c r="G113">
        <f>5892</f>
        <v>5892</v>
      </c>
      <c r="H113" s="8">
        <v>6970</v>
      </c>
      <c r="I113" s="8">
        <v>7388</v>
      </c>
      <c r="M113" s="32"/>
    </row>
    <row r="114" spans="1:13" x14ac:dyDescent="0.2">
      <c r="A114" s="11" t="s">
        <v>123</v>
      </c>
      <c r="B114" s="32">
        <f>495+1555</f>
        <v>2050</v>
      </c>
      <c r="C114">
        <f>463+1628</f>
        <v>2091</v>
      </c>
      <c r="D114">
        <f>1868+471</f>
        <v>2339</v>
      </c>
      <c r="E114">
        <f>2940</f>
        <v>2940</v>
      </c>
      <c r="F114">
        <f>3087</f>
        <v>3087</v>
      </c>
      <c r="G114">
        <f>3053</f>
        <v>3053</v>
      </c>
      <c r="H114" s="8">
        <v>3996</v>
      </c>
      <c r="I114" s="8">
        <v>4527</v>
      </c>
      <c r="M114" s="34"/>
    </row>
    <row r="115" spans="1:13" x14ac:dyDescent="0.2">
      <c r="A115" s="11" t="s">
        <v>124</v>
      </c>
      <c r="B115" s="34">
        <f>278+95</f>
        <v>373</v>
      </c>
      <c r="C115" s="3">
        <f>271+86</f>
        <v>357</v>
      </c>
      <c r="D115" s="3">
        <f>89+275</f>
        <v>364</v>
      </c>
      <c r="E115" s="3">
        <f>427</f>
        <v>427</v>
      </c>
      <c r="F115">
        <f>432</f>
        <v>432</v>
      </c>
      <c r="G115">
        <f>402</f>
        <v>402</v>
      </c>
      <c r="H115">
        <v>490</v>
      </c>
      <c r="I115">
        <v>564</v>
      </c>
      <c r="M115" s="34"/>
    </row>
    <row r="116" spans="1:13" x14ac:dyDescent="0.2">
      <c r="A116" s="2" t="s">
        <v>111</v>
      </c>
      <c r="B116" s="34">
        <f>SUM(B117:B119)</f>
        <v>3067</v>
      </c>
      <c r="C116">
        <f>SUM(C117:C119)</f>
        <v>3785</v>
      </c>
      <c r="D116">
        <f>SUM(D117:D119)</f>
        <v>4237</v>
      </c>
      <c r="E116">
        <f>5134</f>
        <v>5134</v>
      </c>
      <c r="F116">
        <f>6208</f>
        <v>6208</v>
      </c>
      <c r="G116" s="3">
        <f t="shared" ref="G116" si="29">+SUM(G117:G119)</f>
        <v>6679</v>
      </c>
      <c r="H116" s="3">
        <f t="shared" ref="H116" si="30">+SUM(H117:H119)</f>
        <v>8290</v>
      </c>
      <c r="I116" s="3">
        <f>+SUM(I117:I119)</f>
        <v>7547</v>
      </c>
    </row>
    <row r="117" spans="1:13" x14ac:dyDescent="0.2">
      <c r="A117" s="11" t="s">
        <v>122</v>
      </c>
      <c r="B117" s="32">
        <f>2016</f>
        <v>2016</v>
      </c>
      <c r="C117">
        <f>2599</f>
        <v>2599</v>
      </c>
      <c r="D117">
        <f>2920</f>
        <v>2920</v>
      </c>
      <c r="E117">
        <f>4262</f>
        <v>4262</v>
      </c>
      <c r="F117">
        <f>3496</f>
        <v>3496</v>
      </c>
      <c r="G117">
        <f>4635</f>
        <v>4635</v>
      </c>
      <c r="H117" s="8">
        <v>5748</v>
      </c>
      <c r="I117" s="8">
        <v>5416</v>
      </c>
    </row>
    <row r="118" spans="1:13" x14ac:dyDescent="0.2">
      <c r="A118" s="11" t="s">
        <v>123</v>
      </c>
      <c r="B118">
        <f>925</f>
        <v>925</v>
      </c>
      <c r="C118">
        <f>1055</f>
        <v>1055</v>
      </c>
      <c r="D118">
        <f>1188</f>
        <v>1188</v>
      </c>
      <c r="E118">
        <f>1808</f>
        <v>1808</v>
      </c>
      <c r="F118">
        <f>1508</f>
        <v>1508</v>
      </c>
      <c r="G118">
        <f>1896</f>
        <v>1896</v>
      </c>
      <c r="H118" s="8">
        <v>2347</v>
      </c>
      <c r="I118" s="8">
        <v>1938</v>
      </c>
    </row>
    <row r="119" spans="1:13" x14ac:dyDescent="0.2">
      <c r="A119" s="11" t="s">
        <v>124</v>
      </c>
      <c r="B119" s="3">
        <f>126</f>
        <v>126</v>
      </c>
      <c r="C119" s="3">
        <f>131</f>
        <v>131</v>
      </c>
      <c r="D119" s="3">
        <f>129</f>
        <v>129</v>
      </c>
      <c r="E119" s="3">
        <f>138</f>
        <v>138</v>
      </c>
      <c r="F119">
        <f>130</f>
        <v>130</v>
      </c>
      <c r="G119">
        <f>148</f>
        <v>148</v>
      </c>
      <c r="H119">
        <v>195</v>
      </c>
      <c r="I119">
        <v>193</v>
      </c>
    </row>
    <row r="120" spans="1:13" x14ac:dyDescent="0.2">
      <c r="A120" s="2" t="s">
        <v>115</v>
      </c>
      <c r="B120">
        <f>SUM(B121:B123)</f>
        <v>4653</v>
      </c>
      <c r="C120">
        <f t="shared" ref="C120:D120" si="31">SUM(C121:C123)</f>
        <v>4570</v>
      </c>
      <c r="D120">
        <f t="shared" si="31"/>
        <v>5009</v>
      </c>
      <c r="E120">
        <f>SUM(E121:E123)</f>
        <v>5166</v>
      </c>
      <c r="F120">
        <f>SUM(F121:F123)</f>
        <v>5254</v>
      </c>
      <c r="G120" s="3">
        <f t="shared" ref="G120" si="32">+SUM(G121:G123)</f>
        <v>5028</v>
      </c>
      <c r="H120" s="3">
        <f t="shared" ref="H120" si="33">+SUM(H121:H123)</f>
        <v>5343</v>
      </c>
      <c r="I120" s="3">
        <f>+SUM(I121:I123)</f>
        <v>5955</v>
      </c>
    </row>
    <row r="121" spans="1:13" x14ac:dyDescent="0.2">
      <c r="A121" s="11" t="s">
        <v>122</v>
      </c>
      <c r="B121">
        <f>452+2641</f>
        <v>3093</v>
      </c>
      <c r="C121">
        <f>570+2536</f>
        <v>3106</v>
      </c>
      <c r="D121">
        <f>666+2816</f>
        <v>3482</v>
      </c>
      <c r="E121">
        <f>3575</f>
        <v>3575</v>
      </c>
      <c r="F121">
        <f>3622</f>
        <v>3622</v>
      </c>
      <c r="G121">
        <f>3449</f>
        <v>3449</v>
      </c>
      <c r="H121" s="8">
        <v>3659</v>
      </c>
      <c r="I121" s="8">
        <v>4111</v>
      </c>
    </row>
    <row r="122" spans="1:13" x14ac:dyDescent="0.2">
      <c r="A122" s="11" t="s">
        <v>123</v>
      </c>
      <c r="B122">
        <f>230+1021</f>
        <v>1251</v>
      </c>
      <c r="C122">
        <f>228+947</f>
        <v>1175</v>
      </c>
      <c r="D122">
        <f>275+966</f>
        <v>1241</v>
      </c>
      <c r="E122">
        <f>1347</f>
        <v>1347</v>
      </c>
      <c r="F122">
        <f>1395</f>
        <v>1395</v>
      </c>
      <c r="G122">
        <f>1365</f>
        <v>1365</v>
      </c>
      <c r="H122" s="8">
        <v>1494</v>
      </c>
      <c r="I122" s="8">
        <v>1610</v>
      </c>
    </row>
    <row r="123" spans="1:13" x14ac:dyDescent="0.2">
      <c r="A123" s="11" t="s">
        <v>124</v>
      </c>
      <c r="B123" s="3">
        <f>236+73</f>
        <v>309</v>
      </c>
      <c r="C123" s="3">
        <f>71+218</f>
        <v>289</v>
      </c>
      <c r="D123" s="3">
        <f>213+73</f>
        <v>286</v>
      </c>
      <c r="E123" s="3">
        <f>244</f>
        <v>244</v>
      </c>
      <c r="F123">
        <f>237</f>
        <v>237</v>
      </c>
      <c r="G123">
        <f>214</f>
        <v>214</v>
      </c>
      <c r="H123">
        <v>190</v>
      </c>
      <c r="I123">
        <v>234</v>
      </c>
    </row>
    <row r="124" spans="1:13" x14ac:dyDescent="0.2">
      <c r="A124" s="2" t="s">
        <v>116</v>
      </c>
      <c r="B124">
        <f>115</f>
        <v>115</v>
      </c>
      <c r="C124">
        <f>73</f>
        <v>73</v>
      </c>
      <c r="D124">
        <f>73</f>
        <v>73</v>
      </c>
      <c r="E124">
        <f>88</f>
        <v>88</v>
      </c>
      <c r="F124" s="3">
        <f>42</f>
        <v>42</v>
      </c>
      <c r="G124" s="3">
        <f>30</f>
        <v>30</v>
      </c>
      <c r="H124" s="3">
        <v>25</v>
      </c>
      <c r="I124" s="3">
        <v>102</v>
      </c>
    </row>
    <row r="125" spans="1:13" x14ac:dyDescent="0.2">
      <c r="A125" s="4" t="s">
        <v>112</v>
      </c>
      <c r="B125" s="48">
        <f>B108+B112+B116+B120+B124</f>
        <v>28701</v>
      </c>
      <c r="C125" s="48">
        <f t="shared" ref="C125:E125" si="34">C108+C112+C116+C120+C124</f>
        <v>30507</v>
      </c>
      <c r="D125" s="48">
        <f t="shared" si="34"/>
        <v>32233</v>
      </c>
      <c r="E125" s="48">
        <f t="shared" si="34"/>
        <v>34485</v>
      </c>
      <c r="F125" s="5">
        <f t="shared" ref="F125:I125" si="35">+F108+F112+F116+F120+F124</f>
        <v>37218</v>
      </c>
      <c r="G125" s="5">
        <f t="shared" si="35"/>
        <v>35568</v>
      </c>
      <c r="H125" s="5">
        <f t="shared" si="35"/>
        <v>42293</v>
      </c>
      <c r="I125" s="5">
        <f t="shared" si="35"/>
        <v>44436</v>
      </c>
    </row>
    <row r="126" spans="1:13" x14ac:dyDescent="0.2">
      <c r="A126" s="2" t="s">
        <v>113</v>
      </c>
      <c r="B126">
        <f>1982</f>
        <v>1982</v>
      </c>
      <c r="C126" s="3">
        <f>1955</f>
        <v>1955</v>
      </c>
      <c r="D126" s="3">
        <f>2042</f>
        <v>2042</v>
      </c>
      <c r="E126">
        <f>1886</f>
        <v>1886</v>
      </c>
      <c r="F126" s="3">
        <f>1906</f>
        <v>1906</v>
      </c>
      <c r="G126">
        <f>1846</f>
        <v>1846</v>
      </c>
      <c r="H126" s="3">
        <v>2205</v>
      </c>
      <c r="I126" s="3">
        <v>2346</v>
      </c>
    </row>
    <row r="127" spans="1:13" x14ac:dyDescent="0.2">
      <c r="A127" s="2" t="s">
        <v>117</v>
      </c>
      <c r="B127" s="3">
        <f>-82</f>
        <v>-82</v>
      </c>
      <c r="C127">
        <f>-86</f>
        <v>-86</v>
      </c>
      <c r="D127">
        <f>75</f>
        <v>75</v>
      </c>
      <c r="E127" s="3">
        <f>26</f>
        <v>26</v>
      </c>
      <c r="F127" s="3">
        <f>-7</f>
        <v>-7</v>
      </c>
      <c r="G127" s="3">
        <f>-11</f>
        <v>-11</v>
      </c>
      <c r="H127" s="3">
        <v>40</v>
      </c>
      <c r="I127" s="3">
        <v>-72</v>
      </c>
    </row>
    <row r="128" spans="1:13" s="12" customFormat="1" ht="16" thickBot="1" x14ac:dyDescent="0.25">
      <c r="A128" s="6" t="s">
        <v>114</v>
      </c>
      <c r="B128" s="7">
        <f>SUM(B125+B126+B127)</f>
        <v>30601</v>
      </c>
      <c r="C128" s="7">
        <f t="shared" ref="C128:E128" si="36">SUM(C125+C126+C127)</f>
        <v>32376</v>
      </c>
      <c r="D128" s="7">
        <f t="shared" si="36"/>
        <v>34350</v>
      </c>
      <c r="E128" s="7">
        <f>SUM(E125:E127)</f>
        <v>36397</v>
      </c>
      <c r="F128" s="7">
        <f t="shared" ref="F128:H128" si="37">+SUM(F125:F127)</f>
        <v>39117</v>
      </c>
      <c r="G128" s="7">
        <f>+SUM(G125:G127)</f>
        <v>37403</v>
      </c>
      <c r="H128" s="7">
        <f t="shared" si="37"/>
        <v>44538</v>
      </c>
      <c r="I128" s="7">
        <f>+SUM(I125:I127)</f>
        <v>46710</v>
      </c>
      <c r="J128"/>
      <c r="K128"/>
    </row>
    <row r="129" spans="1:11" ht="16" thickTop="1" x14ac:dyDescent="0.2">
      <c r="A129" s="12" t="s">
        <v>120</v>
      </c>
      <c r="B129" s="55">
        <f>B128-B2</f>
        <v>0</v>
      </c>
      <c r="C129" s="55">
        <f t="shared" ref="C129:I129" si="38">C128-C2</f>
        <v>0</v>
      </c>
      <c r="D129" s="55">
        <f t="shared" si="38"/>
        <v>0</v>
      </c>
      <c r="E129" s="55">
        <f t="shared" si="38"/>
        <v>0</v>
      </c>
      <c r="F129" s="55">
        <f t="shared" si="38"/>
        <v>0</v>
      </c>
      <c r="G129" s="55">
        <f t="shared" si="38"/>
        <v>0</v>
      </c>
      <c r="H129" s="55">
        <f t="shared" si="38"/>
        <v>0</v>
      </c>
      <c r="I129" s="55">
        <f t="shared" si="38"/>
        <v>0</v>
      </c>
    </row>
    <row r="130" spans="1:11" x14ac:dyDescent="0.2">
      <c r="A130" s="1" t="s">
        <v>119</v>
      </c>
      <c r="B130" s="3"/>
      <c r="C130" s="3"/>
      <c r="D130" s="3"/>
      <c r="E130" s="3"/>
    </row>
    <row r="131" spans="1:11" x14ac:dyDescent="0.2">
      <c r="A131" s="2" t="s">
        <v>109</v>
      </c>
      <c r="B131">
        <f>3645</f>
        <v>3645</v>
      </c>
      <c r="C131">
        <f>3763</f>
        <v>3763</v>
      </c>
      <c r="D131">
        <f>3875</f>
        <v>3875</v>
      </c>
      <c r="E131">
        <f>3600</f>
        <v>3600</v>
      </c>
      <c r="F131" s="3">
        <f>3925</f>
        <v>3925</v>
      </c>
      <c r="G131" s="3">
        <f>2899</f>
        <v>2899</v>
      </c>
      <c r="H131" s="3">
        <v>5089</v>
      </c>
      <c r="I131" s="3">
        <v>5114</v>
      </c>
      <c r="K131" s="12"/>
    </row>
    <row r="132" spans="1:11" x14ac:dyDescent="0.2">
      <c r="A132" s="2" t="s">
        <v>110</v>
      </c>
      <c r="B132">
        <f>1275+249</f>
        <v>1524</v>
      </c>
      <c r="C132">
        <f>1434+289</f>
        <v>1723</v>
      </c>
      <c r="D132">
        <f>1203+244</f>
        <v>1447</v>
      </c>
      <c r="E132">
        <f>1587</f>
        <v>1587</v>
      </c>
      <c r="F132" s="3">
        <f>1995</f>
        <v>1995</v>
      </c>
      <c r="G132" s="3">
        <f>1541</f>
        <v>1541</v>
      </c>
      <c r="H132" s="3">
        <v>2435</v>
      </c>
      <c r="I132" s="3">
        <v>3293</v>
      </c>
      <c r="J132" s="12"/>
    </row>
    <row r="133" spans="1:11" x14ac:dyDescent="0.2">
      <c r="A133" s="2" t="s">
        <v>111</v>
      </c>
      <c r="B133">
        <f>993</f>
        <v>993</v>
      </c>
      <c r="C133">
        <f>1372</f>
        <v>1372</v>
      </c>
      <c r="D133">
        <f>1507</f>
        <v>1507</v>
      </c>
      <c r="E133">
        <f>1807</f>
        <v>1807</v>
      </c>
      <c r="F133" s="3">
        <f>2376</f>
        <v>2376</v>
      </c>
      <c r="G133" s="3">
        <f>2490</f>
        <v>2490</v>
      </c>
      <c r="H133" s="3">
        <v>3243</v>
      </c>
      <c r="I133" s="3">
        <v>2365</v>
      </c>
    </row>
    <row r="134" spans="1:11" x14ac:dyDescent="0.2">
      <c r="A134" s="2" t="s">
        <v>115</v>
      </c>
      <c r="B134" s="3">
        <f>100+818</f>
        <v>918</v>
      </c>
      <c r="C134" s="3">
        <f>174+892</f>
        <v>1066</v>
      </c>
      <c r="D134" s="3">
        <f>224+816</f>
        <v>1040</v>
      </c>
      <c r="E134" s="3">
        <f>1189</f>
        <v>1189</v>
      </c>
      <c r="F134" s="3">
        <f>1323</f>
        <v>1323</v>
      </c>
      <c r="G134" s="3">
        <f>1184</f>
        <v>1184</v>
      </c>
      <c r="H134" s="3">
        <v>1530</v>
      </c>
      <c r="I134" s="3">
        <v>1896</v>
      </c>
    </row>
    <row r="135" spans="1:11" x14ac:dyDescent="0.2">
      <c r="A135" s="2" t="s">
        <v>116</v>
      </c>
      <c r="B135" s="3">
        <f>-2267</f>
        <v>-2267</v>
      </c>
      <c r="C135" s="3">
        <f>-2596</f>
        <v>-2596</v>
      </c>
      <c r="D135" s="3">
        <f>-2677</f>
        <v>-2677</v>
      </c>
      <c r="E135" s="3">
        <f>-2658</f>
        <v>-2658</v>
      </c>
      <c r="F135" s="3">
        <f>-3262</f>
        <v>-3262</v>
      </c>
      <c r="G135" s="3">
        <f>-3468</f>
        <v>-3468</v>
      </c>
      <c r="H135" s="3">
        <v>-3656</v>
      </c>
      <c r="I135" s="3">
        <v>-4262</v>
      </c>
    </row>
    <row r="136" spans="1:11" x14ac:dyDescent="0.2">
      <c r="A136" s="4" t="s">
        <v>112</v>
      </c>
      <c r="B136" s="3">
        <f>SUM(B131:B135)</f>
        <v>4813</v>
      </c>
      <c r="C136" s="3">
        <f>SUM(C131:C135)</f>
        <v>5328</v>
      </c>
      <c r="D136" s="3">
        <f>SUM(D131:D135)</f>
        <v>5192</v>
      </c>
      <c r="E136" s="3">
        <f>SUM(E131:E135)</f>
        <v>5525</v>
      </c>
      <c r="F136" s="5">
        <f t="shared" ref="F136:I136" si="39">+SUM(F131:F135)</f>
        <v>6357</v>
      </c>
      <c r="G136" s="5">
        <f t="shared" si="39"/>
        <v>4646</v>
      </c>
      <c r="H136" s="5">
        <f t="shared" si="39"/>
        <v>8641</v>
      </c>
      <c r="I136" s="5">
        <f t="shared" si="39"/>
        <v>8406</v>
      </c>
    </row>
    <row r="137" spans="1:11" x14ac:dyDescent="0.2">
      <c r="A137" s="2" t="s">
        <v>113</v>
      </c>
      <c r="B137" s="3">
        <f>517</f>
        <v>517</v>
      </c>
      <c r="C137" s="3">
        <f>487</f>
        <v>487</v>
      </c>
      <c r="D137" s="3">
        <f>477</f>
        <v>477</v>
      </c>
      <c r="E137" s="3">
        <f>310</f>
        <v>310</v>
      </c>
      <c r="F137" s="3">
        <f>303</f>
        <v>303</v>
      </c>
      <c r="G137" s="3">
        <f>297</f>
        <v>297</v>
      </c>
      <c r="H137" s="3">
        <v>543</v>
      </c>
      <c r="I137" s="3">
        <v>669</v>
      </c>
    </row>
    <row r="138" spans="1:11" x14ac:dyDescent="0.2">
      <c r="A138" s="2" t="s">
        <v>117</v>
      </c>
      <c r="B138" s="3">
        <f>-1097</f>
        <v>-1097</v>
      </c>
      <c r="C138" s="3">
        <f>-1173</f>
        <v>-1173</v>
      </c>
      <c r="D138" s="3">
        <f>-724</f>
        <v>-724</v>
      </c>
      <c r="E138" s="3">
        <f>-1456</f>
        <v>-1456</v>
      </c>
      <c r="F138" s="3">
        <f>-1810</f>
        <v>-1810</v>
      </c>
      <c r="G138" s="3">
        <f>-1967</f>
        <v>-1967</v>
      </c>
      <c r="H138" s="3">
        <v>-2261</v>
      </c>
      <c r="I138" s="3">
        <v>-2219</v>
      </c>
    </row>
    <row r="139" spans="1:11" s="12" customFormat="1" ht="16" thickBot="1" x14ac:dyDescent="0.25">
      <c r="A139" s="6" t="s">
        <v>121</v>
      </c>
      <c r="B139" s="7">
        <f>SUM(B136:B138)</f>
        <v>4233</v>
      </c>
      <c r="C139" s="7">
        <f t="shared" ref="C139:E139" si="40">SUM(C136:C138)</f>
        <v>4642</v>
      </c>
      <c r="D139" s="7">
        <f t="shared" si="40"/>
        <v>4945</v>
      </c>
      <c r="E139" s="7">
        <f t="shared" si="40"/>
        <v>4379</v>
      </c>
      <c r="F139" s="7">
        <f t="shared" ref="F139" si="41">+SUM(F136:F138)</f>
        <v>4850</v>
      </c>
      <c r="G139" s="7">
        <f t="shared" ref="G139" si="42">+SUM(G136:G138)</f>
        <v>2976</v>
      </c>
      <c r="H139" s="7">
        <f t="shared" ref="H139" si="43">+SUM(H136:H138)</f>
        <v>6923</v>
      </c>
      <c r="I139" s="7">
        <f>+SUM(I136:I138)</f>
        <v>6856</v>
      </c>
      <c r="J139"/>
      <c r="K139"/>
    </row>
    <row r="140" spans="1:11" ht="16" thickTop="1" x14ac:dyDescent="0.2">
      <c r="A140" s="12" t="s">
        <v>120</v>
      </c>
      <c r="B140" s="59">
        <f>B139-B10-B8</f>
        <v>0</v>
      </c>
      <c r="C140" s="59">
        <f t="shared" ref="C140:I140" si="44">C139-C10-C8</f>
        <v>0</v>
      </c>
      <c r="D140" s="59">
        <f t="shared" si="44"/>
        <v>0</v>
      </c>
      <c r="E140" s="59">
        <f t="shared" si="44"/>
        <v>0</v>
      </c>
      <c r="F140" s="59">
        <f t="shared" si="44"/>
        <v>0</v>
      </c>
      <c r="G140" s="59">
        <f t="shared" si="44"/>
        <v>0</v>
      </c>
      <c r="H140" s="59">
        <f t="shared" si="44"/>
        <v>0</v>
      </c>
      <c r="I140" s="59">
        <f t="shared" si="44"/>
        <v>0</v>
      </c>
      <c r="J140" s="59"/>
    </row>
    <row r="141" spans="1:11" x14ac:dyDescent="0.2">
      <c r="B141" s="50"/>
      <c r="C141" s="51"/>
      <c r="D141" s="51"/>
      <c r="E141" s="51"/>
      <c r="F141" s="51"/>
      <c r="G141" s="51"/>
      <c r="H141" s="51"/>
      <c r="I141" s="51"/>
    </row>
    <row r="142" spans="1:11" x14ac:dyDescent="0.2">
      <c r="K142" s="12"/>
    </row>
    <row r="143" spans="1:11" x14ac:dyDescent="0.2">
      <c r="J143"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Petros Leras</cp:lastModifiedBy>
  <dcterms:created xsi:type="dcterms:W3CDTF">2020-05-20T17:26:08Z</dcterms:created>
  <dcterms:modified xsi:type="dcterms:W3CDTF">2024-11-04T10:00:51Z</dcterms:modified>
</cp:coreProperties>
</file>