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petrosleras/Desktop/QCP/Task9/"/>
    </mc:Choice>
  </mc:AlternateContent>
  <xr:revisionPtr revIDLastSave="0" documentId="13_ncr:1_{8F9AE514-2355-6043-BBDD-869588DB198E}" xr6:coauthVersionLast="47" xr6:coauthVersionMax="47" xr10:uidLastSave="{00000000-0000-0000-0000-000000000000}"/>
  <bookViews>
    <workbookView xWindow="29400" yWindow="5640" windowWidth="38400" windowHeight="211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3" l="1"/>
  <c r="L50" i="3"/>
  <c r="M50" i="3"/>
  <c r="N50" i="3"/>
  <c r="J50" i="3"/>
  <c r="K49" i="3"/>
  <c r="L49" i="3"/>
  <c r="M49" i="3"/>
  <c r="N49" i="3"/>
  <c r="J49" i="3"/>
  <c r="K48" i="3"/>
  <c r="L48" i="3" s="1"/>
  <c r="M48" i="3" s="1"/>
  <c r="N48" i="3" s="1"/>
  <c r="J48" i="3"/>
  <c r="K47" i="3"/>
  <c r="L47" i="3"/>
  <c r="M47" i="3"/>
  <c r="N47" i="3"/>
  <c r="J47" i="3"/>
  <c r="K46" i="3"/>
  <c r="L46" i="3"/>
  <c r="M46" i="3"/>
  <c r="N46" i="3"/>
  <c r="J46" i="3"/>
  <c r="K45" i="3"/>
  <c r="L45" i="3" s="1"/>
  <c r="M45" i="3" s="1"/>
  <c r="N45" i="3" s="1"/>
  <c r="J45" i="3"/>
  <c r="K44" i="3"/>
  <c r="L44" i="3"/>
  <c r="M44" i="3"/>
  <c r="N44" i="3"/>
  <c r="J44" i="3"/>
  <c r="K43" i="3"/>
  <c r="L43" i="3"/>
  <c r="M43" i="3"/>
  <c r="N43" i="3"/>
  <c r="J43" i="3"/>
  <c r="K42" i="3"/>
  <c r="L42" i="3" s="1"/>
  <c r="M42" i="3" s="1"/>
  <c r="N42" i="3" s="1"/>
  <c r="J42" i="3"/>
  <c r="K41" i="3"/>
  <c r="L41" i="3"/>
  <c r="M41" i="3"/>
  <c r="N41" i="3"/>
  <c r="J41" i="3"/>
  <c r="K40" i="3"/>
  <c r="L40" i="3"/>
  <c r="M40" i="3"/>
  <c r="N40" i="3"/>
  <c r="J40" i="3"/>
  <c r="K39" i="3"/>
  <c r="L39" i="3"/>
  <c r="M39" i="3"/>
  <c r="N39" i="3"/>
  <c r="J39" i="3"/>
  <c r="K38" i="3"/>
  <c r="L38" i="3" s="1"/>
  <c r="M38" i="3" s="1"/>
  <c r="N38" i="3" s="1"/>
  <c r="J38" i="3"/>
  <c r="K37" i="3"/>
  <c r="L37" i="3"/>
  <c r="M37" i="3"/>
  <c r="N37" i="3"/>
  <c r="J37" i="3"/>
  <c r="K36" i="3"/>
  <c r="L36" i="3"/>
  <c r="M36" i="3"/>
  <c r="N36" i="3"/>
  <c r="J36" i="3"/>
  <c r="K35" i="3"/>
  <c r="L35" i="3" s="1"/>
  <c r="M35" i="3" s="1"/>
  <c r="N35" i="3" s="1"/>
  <c r="J35" i="3"/>
  <c r="J30" i="3"/>
  <c r="K30" i="3"/>
  <c r="L30" i="3"/>
  <c r="M30" i="3"/>
  <c r="N30" i="3"/>
  <c r="J34" i="3"/>
  <c r="K34" i="3"/>
  <c r="L34" i="3"/>
  <c r="M34" i="3"/>
  <c r="N34" i="3"/>
  <c r="K33" i="3"/>
  <c r="L33" i="3"/>
  <c r="M33" i="3"/>
  <c r="N33" i="3"/>
  <c r="J33" i="3"/>
  <c r="K32" i="3"/>
  <c r="L32" i="3"/>
  <c r="M32" i="3"/>
  <c r="N32" i="3"/>
  <c r="J32" i="3"/>
  <c r="N31" i="3"/>
  <c r="K31" i="3"/>
  <c r="L31" i="3" s="1"/>
  <c r="M31" i="3" s="1"/>
  <c r="J31" i="3"/>
  <c r="K29" i="3"/>
  <c r="L29" i="3"/>
  <c r="M29" i="3"/>
  <c r="N29" i="3"/>
  <c r="J29" i="3"/>
  <c r="K28" i="3"/>
  <c r="L28" i="3"/>
  <c r="M28" i="3"/>
  <c r="N28" i="3"/>
  <c r="J28" i="3"/>
  <c r="C17" i="3"/>
  <c r="C18" i="3" s="1"/>
  <c r="D17" i="3"/>
  <c r="E18" i="3" s="1"/>
  <c r="E17" i="3"/>
  <c r="F17" i="3"/>
  <c r="F18" i="3" s="1"/>
  <c r="G17" i="3"/>
  <c r="G18" i="3" s="1"/>
  <c r="H17" i="3"/>
  <c r="H18" i="3" s="1"/>
  <c r="I17" i="3"/>
  <c r="I18" i="3" s="1"/>
  <c r="B17" i="3"/>
  <c r="B18" i="3" s="1"/>
  <c r="B54" i="3"/>
  <c r="K14" i="3"/>
  <c r="L14" i="3"/>
  <c r="M14" i="3"/>
  <c r="N14" i="3"/>
  <c r="J14" i="3"/>
  <c r="J11" i="3"/>
  <c r="K11" i="3" s="1"/>
  <c r="L11" i="3" s="1"/>
  <c r="M11" i="3" s="1"/>
  <c r="N11" i="3" s="1"/>
  <c r="J9" i="3"/>
  <c r="J8" i="3"/>
  <c r="K8" i="3" s="1"/>
  <c r="J3" i="3"/>
  <c r="K3" i="3" s="1"/>
  <c r="B15" i="3"/>
  <c r="L3" i="3" l="1"/>
  <c r="K4" i="3"/>
  <c r="L8" i="3"/>
  <c r="K9" i="3"/>
  <c r="K10" i="3"/>
  <c r="D18" i="3"/>
  <c r="B19" i="3"/>
  <c r="J4" i="3"/>
  <c r="J10" i="3"/>
  <c r="J17" i="3"/>
  <c r="M8" i="3" l="1"/>
  <c r="L10" i="3"/>
  <c r="L9" i="3"/>
  <c r="J19" i="3"/>
  <c r="J18" i="3"/>
  <c r="K17" i="3"/>
  <c r="M3" i="3"/>
  <c r="L4" i="3"/>
  <c r="L17" i="3" l="1"/>
  <c r="K19" i="3"/>
  <c r="K18" i="3"/>
  <c r="N3" i="3"/>
  <c r="N4" i="3" s="1"/>
  <c r="M4" i="3"/>
  <c r="N8" i="3"/>
  <c r="M10" i="3"/>
  <c r="M9" i="3"/>
  <c r="N10" i="3" l="1"/>
  <c r="N9" i="3"/>
  <c r="M17" i="3"/>
  <c r="L18" i="3"/>
  <c r="L19" i="3"/>
  <c r="N17" i="3" l="1"/>
  <c r="M19" i="3"/>
  <c r="M18" i="3"/>
  <c r="N18" i="3" l="1"/>
  <c r="N19" i="3"/>
  <c r="I14" i="3" l="1"/>
  <c r="I16" i="3" s="1"/>
  <c r="H14" i="3"/>
  <c r="H16" i="3" s="1"/>
  <c r="G14" i="3"/>
  <c r="G16" i="3" s="1"/>
  <c r="F14" i="3"/>
  <c r="E14" i="3"/>
  <c r="D14" i="3"/>
  <c r="D15" i="3" s="1"/>
  <c r="C14" i="3"/>
  <c r="C16" i="3" s="1"/>
  <c r="B14" i="3"/>
  <c r="B16" i="3" s="1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5" i="3"/>
  <c r="H5" i="3"/>
  <c r="H7" i="3" s="1"/>
  <c r="G5" i="3"/>
  <c r="G7" i="3" s="1"/>
  <c r="F5" i="3"/>
  <c r="F7" i="3" s="1"/>
  <c r="E5" i="3"/>
  <c r="E7" i="3" s="1"/>
  <c r="D5" i="3"/>
  <c r="D7" i="3" s="1"/>
  <c r="C5" i="3"/>
  <c r="C7" i="3" s="1"/>
  <c r="B5" i="3"/>
  <c r="B7" i="3" s="1"/>
  <c r="I4" i="3"/>
  <c r="H4" i="3"/>
  <c r="G4" i="3"/>
  <c r="F4" i="3"/>
  <c r="E4" i="3"/>
  <c r="D4" i="3"/>
  <c r="C4" i="3"/>
  <c r="B4" i="3"/>
  <c r="G202" i="1"/>
  <c r="F202" i="1"/>
  <c r="E202" i="1"/>
  <c r="D202" i="1"/>
  <c r="C202" i="1"/>
  <c r="B200" i="1"/>
  <c r="B199" i="1"/>
  <c r="B198" i="1"/>
  <c r="E197" i="1"/>
  <c r="D197" i="1"/>
  <c r="C197" i="1"/>
  <c r="B197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93" i="1"/>
  <c r="F193" i="1"/>
  <c r="E193" i="1"/>
  <c r="D193" i="1"/>
  <c r="C193" i="1"/>
  <c r="B193" i="1"/>
  <c r="G192" i="1"/>
  <c r="F192" i="1"/>
  <c r="E192" i="1"/>
  <c r="D192" i="1"/>
  <c r="C192" i="1"/>
  <c r="B192" i="1"/>
  <c r="G191" i="1"/>
  <c r="D191" i="1"/>
  <c r="G190" i="1"/>
  <c r="F190" i="1"/>
  <c r="E190" i="1"/>
  <c r="D190" i="1"/>
  <c r="C190" i="1"/>
  <c r="B190" i="1"/>
  <c r="G189" i="1"/>
  <c r="F189" i="1"/>
  <c r="E189" i="1"/>
  <c r="D189" i="1"/>
  <c r="C189" i="1"/>
  <c r="B189" i="1"/>
  <c r="G188" i="1"/>
  <c r="F188" i="1"/>
  <c r="E188" i="1"/>
  <c r="D188" i="1"/>
  <c r="C188" i="1"/>
  <c r="B188" i="1"/>
  <c r="G187" i="1"/>
  <c r="E187" i="1"/>
  <c r="D187" i="1"/>
  <c r="G186" i="1"/>
  <c r="F186" i="1"/>
  <c r="E186" i="1"/>
  <c r="D186" i="1"/>
  <c r="C186" i="1"/>
  <c r="B186" i="1"/>
  <c r="G185" i="1"/>
  <c r="F185" i="1"/>
  <c r="E185" i="1"/>
  <c r="D185" i="1"/>
  <c r="C185" i="1"/>
  <c r="B185" i="1"/>
  <c r="G184" i="1"/>
  <c r="F184" i="1"/>
  <c r="E184" i="1"/>
  <c r="D184" i="1"/>
  <c r="C184" i="1"/>
  <c r="B184" i="1"/>
  <c r="E183" i="1"/>
  <c r="D183" i="1"/>
  <c r="G182" i="1"/>
  <c r="F182" i="1"/>
  <c r="E182" i="1"/>
  <c r="D182" i="1"/>
  <c r="C182" i="1"/>
  <c r="B182" i="1"/>
  <c r="G181" i="1"/>
  <c r="F181" i="1"/>
  <c r="E181" i="1"/>
  <c r="D181" i="1"/>
  <c r="C181" i="1"/>
  <c r="B181" i="1"/>
  <c r="G180" i="1"/>
  <c r="F180" i="1"/>
  <c r="E180" i="1"/>
  <c r="D180" i="1"/>
  <c r="C180" i="1"/>
  <c r="B180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G172" i="1" s="1"/>
  <c r="G175" i="1" s="1"/>
  <c r="G176" i="1" s="1"/>
  <c r="F168" i="1"/>
  <c r="F172" i="1" s="1"/>
  <c r="F175" i="1" s="1"/>
  <c r="F176" i="1" s="1"/>
  <c r="E168" i="1"/>
  <c r="E172" i="1" s="1"/>
  <c r="E175" i="1" s="1"/>
  <c r="E176" i="1" s="1"/>
  <c r="D168" i="1"/>
  <c r="D172" i="1" s="1"/>
  <c r="D175" i="1" s="1"/>
  <c r="D176" i="1" s="1"/>
  <c r="C168" i="1"/>
  <c r="C172" i="1" s="1"/>
  <c r="C175" i="1" s="1"/>
  <c r="C176" i="1" s="1"/>
  <c r="B168" i="1"/>
  <c r="B172" i="1" s="1"/>
  <c r="B175" i="1" s="1"/>
  <c r="B176" i="1" s="1"/>
  <c r="G167" i="1"/>
  <c r="F167" i="1"/>
  <c r="E167" i="1"/>
  <c r="D167" i="1"/>
  <c r="C167" i="1"/>
  <c r="B167" i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E161" i="1" s="1"/>
  <c r="E164" i="1" s="1"/>
  <c r="D157" i="1"/>
  <c r="D161" i="1" s="1"/>
  <c r="D164" i="1" s="1"/>
  <c r="C157" i="1"/>
  <c r="C161" i="1" s="1"/>
  <c r="C164" i="1" s="1"/>
  <c r="B157" i="1"/>
  <c r="B161" i="1" s="1"/>
  <c r="B164" i="1" s="1"/>
  <c r="G156" i="1"/>
  <c r="G161" i="1" s="1"/>
  <c r="G164" i="1" s="1"/>
  <c r="F156" i="1"/>
  <c r="F161" i="1" s="1"/>
  <c r="F164" i="1" s="1"/>
  <c r="E156" i="1"/>
  <c r="D156" i="1"/>
  <c r="C156" i="1"/>
  <c r="B156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F150" i="1"/>
  <c r="F153" i="1" s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G150" i="1" s="1"/>
  <c r="G153" i="1" s="1"/>
  <c r="F146" i="1"/>
  <c r="E146" i="1"/>
  <c r="D146" i="1"/>
  <c r="C146" i="1"/>
  <c r="C150" i="1" s="1"/>
  <c r="C153" i="1" s="1"/>
  <c r="B146" i="1"/>
  <c r="B150" i="1" s="1"/>
  <c r="B153" i="1" s="1"/>
  <c r="G145" i="1"/>
  <c r="F145" i="1"/>
  <c r="E145" i="1"/>
  <c r="E150" i="1" s="1"/>
  <c r="E153" i="1" s="1"/>
  <c r="D145" i="1"/>
  <c r="D150" i="1" s="1"/>
  <c r="D153" i="1" s="1"/>
  <c r="C145" i="1"/>
  <c r="B145" i="1"/>
  <c r="G142" i="1"/>
  <c r="F142" i="1"/>
  <c r="E142" i="1"/>
  <c r="D142" i="1"/>
  <c r="C142" i="1"/>
  <c r="B142" i="1"/>
  <c r="G139" i="1"/>
  <c r="F139" i="1"/>
  <c r="E139" i="1"/>
  <c r="D139" i="1"/>
  <c r="C139" i="1"/>
  <c r="B139" i="1"/>
  <c r="G129" i="1"/>
  <c r="F129" i="1"/>
  <c r="G128" i="1"/>
  <c r="F128" i="1"/>
  <c r="G127" i="1"/>
  <c r="G125" i="1" s="1"/>
  <c r="F127" i="1"/>
  <c r="F125" i="1" s="1"/>
  <c r="F197" i="1" s="1"/>
  <c r="G126" i="1"/>
  <c r="F126" i="1"/>
  <c r="G119" i="1"/>
  <c r="F119" i="1"/>
  <c r="F191" i="1" s="1"/>
  <c r="E119" i="1"/>
  <c r="E191" i="1" s="1"/>
  <c r="D119" i="1"/>
  <c r="C119" i="1"/>
  <c r="C191" i="1" s="1"/>
  <c r="B119" i="1"/>
  <c r="B191" i="1" s="1"/>
  <c r="G115" i="1"/>
  <c r="F115" i="1"/>
  <c r="E115" i="1"/>
  <c r="F187" i="1" s="1"/>
  <c r="D115" i="1"/>
  <c r="C115" i="1"/>
  <c r="C187" i="1" s="1"/>
  <c r="B115" i="1"/>
  <c r="B187" i="1" s="1"/>
  <c r="G111" i="1"/>
  <c r="G124" i="1" s="1"/>
  <c r="F111" i="1"/>
  <c r="F183" i="1" s="1"/>
  <c r="E111" i="1"/>
  <c r="D111" i="1"/>
  <c r="C111" i="1"/>
  <c r="C183" i="1" s="1"/>
  <c r="B111" i="1"/>
  <c r="B183" i="1" s="1"/>
  <c r="G107" i="1"/>
  <c r="G179" i="1" s="1"/>
  <c r="F107" i="1"/>
  <c r="F179" i="1" s="1"/>
  <c r="E107" i="1"/>
  <c r="E179" i="1" s="1"/>
  <c r="D107" i="1"/>
  <c r="D179" i="1" s="1"/>
  <c r="C107" i="1"/>
  <c r="C179" i="1" s="1"/>
  <c r="B107" i="1"/>
  <c r="B179" i="1" s="1"/>
  <c r="G97" i="1"/>
  <c r="F97" i="1"/>
  <c r="E97" i="1"/>
  <c r="D97" i="1"/>
  <c r="C97" i="1"/>
  <c r="B97" i="1"/>
  <c r="G95" i="1"/>
  <c r="F95" i="1"/>
  <c r="E95" i="1"/>
  <c r="D95" i="1"/>
  <c r="C95" i="1"/>
  <c r="B95" i="1"/>
  <c r="G85" i="1"/>
  <c r="F85" i="1"/>
  <c r="E85" i="1"/>
  <c r="D85" i="1"/>
  <c r="C85" i="1"/>
  <c r="B85" i="1"/>
  <c r="G76" i="1"/>
  <c r="F76" i="1"/>
  <c r="E76" i="1"/>
  <c r="D76" i="1"/>
  <c r="G75" i="1"/>
  <c r="F75" i="1"/>
  <c r="E75" i="1"/>
  <c r="D75" i="1"/>
  <c r="C75" i="1"/>
  <c r="C76" i="1" s="1"/>
  <c r="B75" i="1"/>
  <c r="B76" i="1" s="1"/>
  <c r="G59" i="1"/>
  <c r="F59" i="1"/>
  <c r="G58" i="1"/>
  <c r="F58" i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C60" i="1" s="1"/>
  <c r="B45" i="1"/>
  <c r="B59" i="1" s="1"/>
  <c r="B60" i="1" s="1"/>
  <c r="E36" i="1"/>
  <c r="D36" i="1"/>
  <c r="C36" i="1"/>
  <c r="B36" i="1"/>
  <c r="G30" i="1"/>
  <c r="G36" i="1" s="1"/>
  <c r="F30" i="1"/>
  <c r="F36" i="1" s="1"/>
  <c r="E30" i="1"/>
  <c r="D30" i="1"/>
  <c r="C30" i="1"/>
  <c r="B30" i="1"/>
  <c r="G20" i="1"/>
  <c r="F20" i="1"/>
  <c r="E20" i="1"/>
  <c r="D20" i="1"/>
  <c r="C20" i="1"/>
  <c r="B20" i="1"/>
  <c r="C12" i="1"/>
  <c r="B12" i="1"/>
  <c r="C10" i="1"/>
  <c r="B10" i="1"/>
  <c r="G7" i="1"/>
  <c r="F7" i="1"/>
  <c r="E7" i="1"/>
  <c r="D7" i="1"/>
  <c r="C7" i="1"/>
  <c r="B7" i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B4" i="1"/>
  <c r="E15" i="3" l="1"/>
  <c r="F15" i="3"/>
  <c r="I7" i="3"/>
  <c r="J5" i="3"/>
  <c r="E16" i="3"/>
  <c r="E6" i="3"/>
  <c r="B6" i="3"/>
  <c r="C6" i="3"/>
  <c r="C15" i="3"/>
  <c r="D16" i="3"/>
  <c r="F16" i="3"/>
  <c r="D6" i="3"/>
  <c r="F6" i="3"/>
  <c r="G6" i="3"/>
  <c r="G15" i="3"/>
  <c r="H6" i="3"/>
  <c r="H15" i="3"/>
  <c r="I6" i="3"/>
  <c r="I15" i="3"/>
  <c r="F60" i="1"/>
  <c r="G60" i="1"/>
  <c r="G131" i="1"/>
  <c r="G132" i="1" s="1"/>
  <c r="G197" i="1"/>
  <c r="E124" i="1"/>
  <c r="F124" i="1"/>
  <c r="G183" i="1"/>
  <c r="B124" i="1"/>
  <c r="D124" i="1"/>
  <c r="C124" i="1"/>
  <c r="K5" i="3" l="1"/>
  <c r="J6" i="3"/>
  <c r="J7" i="3"/>
  <c r="F196" i="1"/>
  <c r="F131" i="1"/>
  <c r="F132" i="1" s="1"/>
  <c r="C131" i="1"/>
  <c r="C132" i="1" s="1"/>
  <c r="C196" i="1"/>
  <c r="E196" i="1"/>
  <c r="E131" i="1"/>
  <c r="E132" i="1" s="1"/>
  <c r="G196" i="1"/>
  <c r="D196" i="1"/>
  <c r="D131" i="1"/>
  <c r="D132" i="1" s="1"/>
  <c r="B131" i="1"/>
  <c r="B132" i="1" s="1"/>
  <c r="B196" i="1"/>
  <c r="L5" i="3" l="1"/>
  <c r="K6" i="3"/>
  <c r="K7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A51" i="3"/>
  <c r="I19" i="3"/>
  <c r="H19" i="3"/>
  <c r="G19" i="3"/>
  <c r="F19" i="3"/>
  <c r="E19" i="3"/>
  <c r="D19" i="3"/>
  <c r="C19" i="3"/>
  <c r="M5" i="3" l="1"/>
  <c r="L7" i="3"/>
  <c r="L6" i="3"/>
  <c r="I48" i="3"/>
  <c r="H48" i="3"/>
  <c r="G48" i="3"/>
  <c r="F48" i="3"/>
  <c r="E48" i="3"/>
  <c r="D48" i="3"/>
  <c r="C48" i="3"/>
  <c r="B48" i="3"/>
  <c r="B49" i="3" s="1"/>
  <c r="N5" i="3" l="1"/>
  <c r="M6" i="3"/>
  <c r="M7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4" i="3" l="1"/>
  <c r="J25" i="3" s="1"/>
  <c r="J26" i="3" s="1"/>
  <c r="K23" i="3"/>
  <c r="N7" i="3"/>
  <c r="N6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I172" i="1"/>
  <c r="I175" i="1" s="1"/>
  <c r="I176" i="1" s="1"/>
  <c r="H172" i="1"/>
  <c r="H175" i="1" s="1"/>
  <c r="H176" i="1" s="1"/>
  <c r="I163" i="1"/>
  <c r="I161" i="1"/>
  <c r="I164" i="1" s="1"/>
  <c r="I165" i="1" s="1"/>
  <c r="H161" i="1"/>
  <c r="H163" i="1" s="1"/>
  <c r="H164" i="1" s="1"/>
  <c r="H165" i="1" s="1"/>
  <c r="H125" i="1"/>
  <c r="I125" i="1"/>
  <c r="H154" i="1"/>
  <c r="I150" i="1"/>
  <c r="I153" i="1" s="1"/>
  <c r="I154" i="1" s="1"/>
  <c r="H150" i="1"/>
  <c r="H153" i="1" s="1"/>
  <c r="L23" i="3" l="1"/>
  <c r="K24" i="3"/>
  <c r="K25" i="3" s="1"/>
  <c r="K26" i="3" s="1"/>
  <c r="I36" i="3"/>
  <c r="C36" i="3"/>
  <c r="G36" i="3"/>
  <c r="H36" i="3"/>
  <c r="D36" i="3"/>
  <c r="D37" i="3"/>
  <c r="F36" i="3"/>
  <c r="E36" i="3"/>
  <c r="I119" i="1"/>
  <c r="H119" i="1"/>
  <c r="I115" i="1"/>
  <c r="H115" i="1"/>
  <c r="I111" i="1"/>
  <c r="H111" i="1"/>
  <c r="H107" i="1"/>
  <c r="H21" i="3" s="1"/>
  <c r="G21" i="3"/>
  <c r="F21" i="3"/>
  <c r="E21" i="3"/>
  <c r="E37" i="3" s="1"/>
  <c r="D21" i="3"/>
  <c r="C21" i="3"/>
  <c r="C37" i="3" s="1"/>
  <c r="B21" i="3"/>
  <c r="I107" i="1"/>
  <c r="I21" i="3" s="1"/>
  <c r="I139" i="1"/>
  <c r="I142" i="1" s="1"/>
  <c r="H139" i="1"/>
  <c r="H142" i="1" s="1"/>
  <c r="I50" i="3" l="1"/>
  <c r="J21" i="3"/>
  <c r="M23" i="3"/>
  <c r="L24" i="3"/>
  <c r="L25" i="3" s="1"/>
  <c r="L26" i="3" s="1"/>
  <c r="F50" i="3"/>
  <c r="F47" i="3"/>
  <c r="F40" i="3"/>
  <c r="F22" i="3"/>
  <c r="F44" i="3"/>
  <c r="G44" i="3"/>
  <c r="G50" i="3"/>
  <c r="G47" i="3"/>
  <c r="G40" i="3"/>
  <c r="G22" i="3"/>
  <c r="F37" i="3"/>
  <c r="H50" i="3"/>
  <c r="H44" i="3"/>
  <c r="H22" i="3"/>
  <c r="H47" i="3"/>
  <c r="H40" i="3"/>
  <c r="H37" i="3"/>
  <c r="C50" i="3"/>
  <c r="C22" i="3"/>
  <c r="C44" i="3"/>
  <c r="C47" i="3"/>
  <c r="C40" i="3"/>
  <c r="B22" i="3"/>
  <c r="B44" i="3"/>
  <c r="B50" i="3"/>
  <c r="B40" i="3"/>
  <c r="B47" i="3"/>
  <c r="D40" i="3"/>
  <c r="D22" i="3"/>
  <c r="D50" i="3"/>
  <c r="D44" i="3"/>
  <c r="D47" i="3"/>
  <c r="E50" i="3"/>
  <c r="E22" i="3"/>
  <c r="E44" i="3"/>
  <c r="E47" i="3"/>
  <c r="E40" i="3"/>
  <c r="B37" i="3"/>
  <c r="G37" i="3"/>
  <c r="I22" i="3"/>
  <c r="I44" i="3"/>
  <c r="I40" i="3"/>
  <c r="I47" i="3"/>
  <c r="I37" i="3"/>
  <c r="H124" i="1"/>
  <c r="H131" i="1" s="1"/>
  <c r="H132" i="1" s="1"/>
  <c r="I124" i="1"/>
  <c r="N23" i="3" l="1"/>
  <c r="N24" i="3" s="1"/>
  <c r="N25" i="3" s="1"/>
  <c r="N26" i="3" s="1"/>
  <c r="M24" i="3"/>
  <c r="M25" i="3" s="1"/>
  <c r="M26" i="3" s="1"/>
  <c r="K21" i="3"/>
  <c r="J22" i="3"/>
  <c r="I131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L21" i="3" l="1"/>
  <c r="K22" i="3"/>
  <c r="H12" i="1"/>
  <c r="H20" i="1" s="1"/>
  <c r="H143" i="1"/>
  <c r="I12" i="1"/>
  <c r="I20" i="1" s="1"/>
  <c r="I143" i="1"/>
  <c r="H63" i="1"/>
  <c r="H76" i="1" s="1"/>
  <c r="H94" i="1" s="1"/>
  <c r="H96" i="1" s="1"/>
  <c r="I59" i="1"/>
  <c r="I60" i="1" s="1"/>
  <c r="H60" i="1"/>
  <c r="M21" i="3" l="1"/>
  <c r="L22" i="3"/>
  <c r="I63" i="1"/>
  <c r="I76" i="1" s="1"/>
  <c r="I94" i="1" s="1"/>
  <c r="I95" i="1"/>
  <c r="I96" i="1" s="1"/>
  <c r="I97" i="1" s="1"/>
  <c r="H97" i="1"/>
  <c r="N21" i="3" l="1"/>
  <c r="N22" i="3" s="1"/>
  <c r="M22" i="3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<sst xmlns="http://schemas.openxmlformats.org/spreadsheetml/2006/main" count="285" uniqueCount="156">
  <si>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</si>
  <si>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</si>
  <si>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</si>
  <si>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</si>
  <si>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</si>
  <si>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</si>
  <si>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</si>
  <si>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</si>
  <si>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</si>
  <si>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</si>
  <si>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</si>
  <si>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</si>
  <si>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</si>
  <si>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</si>
  <si>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</si>
  <si>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</si>
  <si>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</si>
  <si>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</si>
  <si>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</si>
  <si>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</si>
  <si>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</si>
  <si>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</si>
  <si>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</si>
  <si>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</si>
  <si>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</si>
  <si>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</si>
  <si>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</si>
  <si>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</si>
  <si>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</si>
  <si>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</si>
  <si>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</si>
  <si>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</si>
  <si>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</si>
  <si>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</si>
  <si>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</si>
  <si>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</si>
  <si>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</si>
  <si>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</si>
  <si>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</si>
  <si>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</si>
  <si>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</si>
  <si>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</si>
  <si>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</si>
  <si>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</si>
  <si>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</si>
  <si>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</si>
  <si>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</si>
  <si>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</si>
  <si>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</si>
  <si>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</si>
  <si>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</si>
  <si>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</si>
  <si>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</si>
  <si>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</si>
  <si>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</si>
  <si>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</si>
  <si>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</si>
  <si>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</si>
  <si>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</si>
  <si>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</si>
  <si>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</si>
  <si>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</si>
  <si>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</si>
  <si>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</si>
  <si>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</si>
  <si>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</si>
  <si>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</si>
  <si>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</si>
  <si>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</si>
  <si>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</si>
  <si>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</si>
  <si>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</si>
  <si>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</si>
  <si>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</si>
  <si>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</si>
  <si>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</si>
  <si>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</si>
  <si>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</si>
  <si>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</si>
  <si>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</si>
  <si>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</si>
  <si>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</si>
  <si>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</si>
  <si>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</si>
  <si>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</si>
  <si>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</si>
  <si>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</si>
  <si>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</si>
  <si>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</si>
  <si>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</si>
  <si>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</si>
  <si>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</si>
  <si>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</si>
  <si>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</si>
  <si>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</si>
  <si>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</si>
  <si>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</si>
  <si>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</si>
  <si>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</si>
  <si>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</si>
  <si>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</si>
  <si>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</si>
  <si>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</si>
  <si>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</si>
  <si>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</si>
  <si>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</si>
  <si>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</si>
  <si>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</si>
  <si>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</si>
  <si>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</si>
  <si>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</si>
  <si>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</si>
  <si>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</si>
  <si>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</si>
  <si>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</si>
  <si>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</si>
  <si>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</si>
  <si>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</si>
  <si>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</si>
  <si>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</si>
  <si>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</si>
  <si>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</si>
  <si>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</si>
  <si>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</si>
  <si>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</si>
  <si>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</si>
  <si>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</si>
  <si>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</si>
  <si>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</si>
  <si>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</si>
  <si>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</si>
  <si>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</si>
  <si>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</si>
  <si>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</si>
  <si>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</si>
  <si>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</si>
  <si>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</si>
  <si>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</si>
  <si>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</si>
  <si>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</si>
  <si>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</si>
  <si>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</si>
  <si>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</si>
  <si>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</si>
  <si>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</si>
  <si>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</si>
  <si>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</si>
  <si>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</si>
  <si>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</si>
  <si>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</si>
  <si>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</si>
  <si>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</si>
  <si>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</si>
  <si>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—</t>
  </si>
  <si>
    <t>32B64:G10373</t>
  </si>
  <si>
    <t>Nike PPE 2014 for calculation of growth y2015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</si>
</sst>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4" fontId="0" fillId="0" borderId="0" xfId="0" applyNumberFormat="1"/>
    <xf numFmtId="0" fontId="15" fillId="0" borderId="0" xfId="0" applyFont="1"/>
    <xf numFmtId="165" fontId="0" fillId="8" borderId="0" xfId="1" applyNumberFormat="1" applyFont="1" applyFill="1"/>
    <xf numFmtId="166" fontId="16" fillId="9" borderId="0" xfId="2" applyNumberFormat="1" applyFont="1" applyFill="1"/>
    <xf numFmtId="166" fontId="12" fillId="9" borderId="0" xfId="2" applyNumberFormat="1" applyFont="1" applyFill="1"/>
    <xf numFmtId="166" fontId="17" fillId="9" borderId="0" xfId="2" applyNumberFormat="1" applyFont="1" applyFill="1"/>
    <xf numFmtId="166" fontId="11" fillId="9" borderId="0" xfId="2" applyNumberFormat="1" applyFont="1" applyFill="1"/>
    <xf numFmtId="166" fontId="18" fillId="9" borderId="0" xfId="2" applyNumberFormat="1" applyFont="1" applyFill="1"/>
    <xf numFmtId="166" fontId="0" fillId="0" borderId="0" xfId="2" applyNumberFormat="1" applyFont="1"/>
    <xf numFmtId="10" fontId="0" fillId="0" borderId="0" xfId="2" applyNumberFormat="1" applyFont="1"/>
    <xf numFmtId="9" fontId="0" fillId="0" borderId="0" xfId="2" applyFont="1"/>
    <xf numFmtId="43" fontId="0" fillId="0" borderId="0" xfId="0" applyNumberFormat="1"/>
    <xf numFmtId="0" fontId="14" fillId="7" borderId="0" xfId="2" applyNumberFormat="1" applyFont="1" applyFill="1"/>
    <xf numFmtId="10" fontId="2" fillId="0" borderId="0" xfId="2" applyNumberFormat="1" applyFont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etrosleras/Desktop/QCP/Task%208/1708510120_Task%208%20-%20Building%20the%20Revenue%20Model.xlsx" TargetMode="External"/><Relationship Id="rId1" Type="http://schemas.openxmlformats.org/officeDocument/2006/relationships/externalLinkPath" Target="/Users/petrosleras/Desktop/QCP/Task%208/1708510120_Task%208%20-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66">
          <cell r="B66">
            <v>-113</v>
          </cell>
          <cell r="C66">
            <v>-80</v>
          </cell>
          <cell r="D66">
            <v>-273</v>
          </cell>
          <cell r="E66">
            <v>647</v>
          </cell>
          <cell r="F66">
            <v>34</v>
          </cell>
          <cell r="G66">
            <v>-380</v>
          </cell>
          <cell r="H66">
            <v>744</v>
          </cell>
          <cell r="I66">
            <v>717</v>
          </cell>
        </row>
        <row r="125">
          <cell r="K125">
            <v>26112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4" sqref="A4: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" activePane="bottomLeft" state="frozen"/>
      <selection pane="bottomLeft" activeCell="C63" sqref="C6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2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1542</v>
      </c>
      <c r="C17" s="50">
        <v>1697.9</v>
      </c>
      <c r="D17" s="50">
        <v>1657.8</v>
      </c>
      <c r="E17" s="50">
        <v>1623.8</v>
      </c>
      <c r="F17" s="50">
        <v>1579.7</v>
      </c>
      <c r="G17" s="50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1768</v>
      </c>
      <c r="C18" s="50">
        <v>1742.5</v>
      </c>
      <c r="D18" s="50">
        <v>1692</v>
      </c>
      <c r="E18" s="50">
        <v>1659.1</v>
      </c>
      <c r="F18" s="50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1">
        <f>0</f>
        <v>0</v>
      </c>
      <c r="C20" s="51">
        <f>0</f>
        <v>0</v>
      </c>
      <c r="D20" s="51">
        <f>0</f>
        <v>0</v>
      </c>
      <c r="E20" s="51">
        <f>0</f>
        <v>0</v>
      </c>
      <c r="F20" s="51">
        <f>0</f>
        <v>0</v>
      </c>
      <c r="G20" s="51">
        <f>0</f>
        <v>0</v>
      </c>
      <c r="H20" s="13">
        <f t="shared" ref="H20" si="9">+ROUND(((H12/H18)-H15),2)</f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2">
      <c r="A32" s="2" t="s">
        <v>38</v>
      </c>
      <c r="F32" t="s">
        <v>153</v>
      </c>
      <c r="G32" s="8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2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2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t="s">
        <v>153</v>
      </c>
      <c r="G42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8">
        <v>1079</v>
      </c>
      <c r="C46" s="8">
        <v>2010</v>
      </c>
      <c r="D46" t="s">
        <v>153</v>
      </c>
      <c r="E46" t="s">
        <v>153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t="s">
        <v>153</v>
      </c>
      <c r="C47" t="s">
        <v>153</v>
      </c>
      <c r="D47" s="8">
        <v>3471</v>
      </c>
      <c r="E47" s="8">
        <v>3468</v>
      </c>
      <c r="F47" t="s">
        <v>153</v>
      </c>
      <c r="G47" s="8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2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  <c r="B63" s="1" t="s">
        <v>154</v>
      </c>
      <c r="C63" s="8">
        <v>3760</v>
      </c>
      <c r="D63" s="8">
        <v>4240</v>
      </c>
      <c r="E63" s="8">
        <v>1933</v>
      </c>
      <c r="F63" s="8">
        <v>4029</v>
      </c>
      <c r="G63" s="8">
        <v>2539</v>
      </c>
      <c r="H63" s="9">
        <f>+H12</f>
        <v>5727</v>
      </c>
      <c r="I63" s="9">
        <f>+I12</f>
        <v>6046</v>
      </c>
    </row>
    <row r="64" spans="1:9" s="1" customFormat="1" x14ac:dyDescent="0.2">
      <c r="A64" s="10" t="s">
        <v>64</v>
      </c>
      <c r="B64" s="3"/>
      <c r="C64" s="3"/>
      <c r="D64" s="3"/>
      <c r="E64" s="3"/>
      <c r="F64" s="3"/>
      <c r="G64" s="3"/>
    </row>
    <row r="65" spans="1:9" s="1" customFormat="1" x14ac:dyDescent="0.2">
      <c r="A65" s="2" t="s">
        <v>65</v>
      </c>
      <c r="B65">
        <v>606</v>
      </c>
      <c r="C65">
        <v>649</v>
      </c>
      <c r="D65">
        <v>706</v>
      </c>
      <c r="E65">
        <v>747</v>
      </c>
      <c r="F65">
        <v>705</v>
      </c>
      <c r="G65">
        <v>721</v>
      </c>
      <c r="H65" s="3"/>
      <c r="I65" s="3"/>
    </row>
    <row r="66" spans="1:9" x14ac:dyDescent="0.2">
      <c r="A66" s="11" t="s">
        <v>66</v>
      </c>
      <c r="B66">
        <v>-113</v>
      </c>
      <c r="C66">
        <v>-80</v>
      </c>
      <c r="D66">
        <v>-273</v>
      </c>
      <c r="E66">
        <v>647</v>
      </c>
      <c r="F66">
        <v>34</v>
      </c>
      <c r="G66">
        <v>-380</v>
      </c>
      <c r="H66" s="3">
        <v>744</v>
      </c>
      <c r="I66" s="3">
        <v>717</v>
      </c>
    </row>
    <row r="67" spans="1:9" x14ac:dyDescent="0.2">
      <c r="A67" s="11" t="s">
        <v>67</v>
      </c>
      <c r="B67">
        <v>191</v>
      </c>
      <c r="C67">
        <v>236</v>
      </c>
      <c r="D67">
        <v>215</v>
      </c>
      <c r="E67">
        <v>218</v>
      </c>
      <c r="F67">
        <v>325</v>
      </c>
      <c r="G67">
        <v>429</v>
      </c>
      <c r="H67" s="3">
        <v>-385</v>
      </c>
      <c r="I67" s="3">
        <v>-650</v>
      </c>
    </row>
    <row r="68" spans="1:9" x14ac:dyDescent="0.2">
      <c r="A68" s="11" t="s">
        <v>68</v>
      </c>
      <c r="B68">
        <v>43</v>
      </c>
      <c r="C68">
        <v>13</v>
      </c>
      <c r="D68">
        <v>10</v>
      </c>
      <c r="E68">
        <v>27</v>
      </c>
      <c r="F68">
        <v>15</v>
      </c>
      <c r="G68">
        <v>398</v>
      </c>
      <c r="H68" s="3">
        <v>611</v>
      </c>
      <c r="I68" s="3">
        <v>638</v>
      </c>
    </row>
    <row r="69" spans="1:9" x14ac:dyDescent="0.2">
      <c r="A69" s="11" t="s">
        <v>69</v>
      </c>
      <c r="B69">
        <v>424</v>
      </c>
      <c r="C69">
        <v>98</v>
      </c>
      <c r="D69">
        <v>-117</v>
      </c>
      <c r="E69">
        <v>-99</v>
      </c>
      <c r="F69">
        <v>233</v>
      </c>
      <c r="G69">
        <v>23</v>
      </c>
      <c r="H69" s="3">
        <v>53</v>
      </c>
      <c r="I69" s="3">
        <v>123</v>
      </c>
    </row>
    <row r="70" spans="1:9" x14ac:dyDescent="0.2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">
      <c r="A71" s="2" t="s">
        <v>71</v>
      </c>
      <c r="B71">
        <v>-216</v>
      </c>
      <c r="C71">
        <v>60</v>
      </c>
      <c r="D71">
        <v>-426</v>
      </c>
      <c r="E71">
        <v>187</v>
      </c>
      <c r="F71">
        <v>-270</v>
      </c>
      <c r="G71" s="8">
        <v>1239</v>
      </c>
      <c r="H71" s="3"/>
      <c r="I71" s="3"/>
    </row>
    <row r="72" spans="1:9" x14ac:dyDescent="0.2">
      <c r="A72" s="11" t="s">
        <v>72</v>
      </c>
      <c r="B72">
        <v>-621</v>
      </c>
      <c r="C72">
        <v>-590</v>
      </c>
      <c r="D72">
        <v>-231</v>
      </c>
      <c r="E72">
        <v>-255</v>
      </c>
      <c r="F72">
        <v>-490</v>
      </c>
      <c r="G72" s="8">
        <v>-1854</v>
      </c>
      <c r="H72" s="3">
        <v>-1606</v>
      </c>
      <c r="I72" s="3">
        <v>-504</v>
      </c>
    </row>
    <row r="73" spans="1:9" x14ac:dyDescent="0.2">
      <c r="A73" s="11" t="s">
        <v>73</v>
      </c>
      <c r="B73">
        <v>-144</v>
      </c>
      <c r="C73">
        <v>-161</v>
      </c>
      <c r="D73">
        <v>-120</v>
      </c>
      <c r="E73">
        <v>35</v>
      </c>
      <c r="F73">
        <v>-203</v>
      </c>
      <c r="G73">
        <v>-654</v>
      </c>
      <c r="H73" s="3">
        <v>507</v>
      </c>
      <c r="I73" s="3">
        <v>-1676</v>
      </c>
    </row>
    <row r="74" spans="1:9" x14ac:dyDescent="0.2">
      <c r="A74" s="11" t="s">
        <v>98</v>
      </c>
      <c r="B74" s="8">
        <v>1237</v>
      </c>
      <c r="C74">
        <v>-586</v>
      </c>
      <c r="D74">
        <v>-158</v>
      </c>
      <c r="E74" s="8">
        <v>1515</v>
      </c>
      <c r="F74" s="8">
        <v>1525</v>
      </c>
      <c r="G74">
        <v>24</v>
      </c>
      <c r="H74" s="3">
        <v>-182</v>
      </c>
      <c r="I74" s="3">
        <v>-845</v>
      </c>
    </row>
    <row r="75" spans="1:9" x14ac:dyDescent="0.2">
      <c r="A75" s="11" t="s">
        <v>97</v>
      </c>
      <c r="B75" s="26">
        <f t="shared" ref="B75:G76" si="22">+SUM(B63:B74)</f>
        <v>1407</v>
      </c>
      <c r="C75" s="26">
        <f t="shared" si="22"/>
        <v>3399</v>
      </c>
      <c r="D75" s="26">
        <f t="shared" si="22"/>
        <v>3846</v>
      </c>
      <c r="E75" s="26">
        <f t="shared" si="22"/>
        <v>4955</v>
      </c>
      <c r="F75" s="26">
        <f t="shared" si="22"/>
        <v>5903</v>
      </c>
      <c r="G75" s="26">
        <f t="shared" si="22"/>
        <v>2485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si="22"/>
        <v>2814</v>
      </c>
      <c r="C76" s="26">
        <f t="shared" si="22"/>
        <v>3038</v>
      </c>
      <c r="D76" s="26">
        <f t="shared" si="22"/>
        <v>3452</v>
      </c>
      <c r="E76" s="26">
        <f t="shared" si="22"/>
        <v>7977</v>
      </c>
      <c r="F76" s="26">
        <f t="shared" si="22"/>
        <v>7777</v>
      </c>
      <c r="G76" s="26">
        <f t="shared" si="22"/>
        <v>2431</v>
      </c>
      <c r="H76" s="26">
        <f>+SUM(H63:H75)</f>
        <v>6657</v>
      </c>
      <c r="I76" s="26">
        <f>+SUM(I63:I75)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>
        <v>-150</v>
      </c>
      <c r="C81">
        <v>150</v>
      </c>
      <c r="D81" t="s">
        <v>153</v>
      </c>
      <c r="E81" t="s">
        <v>153</v>
      </c>
      <c r="F81" t="s">
        <v>153</v>
      </c>
      <c r="G81" t="s">
        <v>153</v>
      </c>
      <c r="H81" s="3">
        <v>-695</v>
      </c>
      <c r="I81" s="3">
        <v>-758</v>
      </c>
    </row>
    <row r="82" spans="1:9" x14ac:dyDescent="0.2">
      <c r="A82" s="2" t="s">
        <v>79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171</v>
      </c>
      <c r="I82" s="3">
        <v>-19</v>
      </c>
    </row>
    <row r="83" spans="1:9" x14ac:dyDescent="0.2">
      <c r="A83" s="27" t="s">
        <v>80</v>
      </c>
      <c r="B83">
        <v>3</v>
      </c>
      <c r="C83">
        <v>10</v>
      </c>
      <c r="D83">
        <v>13</v>
      </c>
      <c r="E83">
        <v>3</v>
      </c>
      <c r="F83" t="s">
        <v>153</v>
      </c>
      <c r="G83" t="s">
        <v>153</v>
      </c>
      <c r="H83" s="26">
        <f t="shared" ref="H83" si="23">+SUM(H78:H82)</f>
        <v>-3800</v>
      </c>
      <c r="I83" s="26">
        <f>+SUM(I78:I82)</f>
        <v>-1524</v>
      </c>
    </row>
    <row r="84" spans="1:9" x14ac:dyDescent="0.2">
      <c r="A84" s="1" t="s">
        <v>81</v>
      </c>
      <c r="B84" t="s">
        <v>153</v>
      </c>
      <c r="C84">
        <v>6</v>
      </c>
      <c r="D84">
        <v>-34</v>
      </c>
      <c r="E84">
        <v>-22</v>
      </c>
      <c r="F84">
        <v>5</v>
      </c>
      <c r="G84">
        <v>31</v>
      </c>
      <c r="H84" s="3"/>
      <c r="I84" s="3"/>
    </row>
    <row r="85" spans="1:9" x14ac:dyDescent="0.2">
      <c r="A85" s="2" t="s">
        <v>82</v>
      </c>
      <c r="B85" s="26">
        <f t="shared" ref="B85:G85" si="24">+SUM(B78:B84)</f>
        <v>-175</v>
      </c>
      <c r="C85" s="26">
        <f t="shared" si="24"/>
        <v>-1034</v>
      </c>
      <c r="D85" s="26">
        <f t="shared" si="24"/>
        <v>-1008</v>
      </c>
      <c r="E85" s="26">
        <f t="shared" si="24"/>
        <v>279</v>
      </c>
      <c r="F85" s="26">
        <f t="shared" si="24"/>
        <v>-264</v>
      </c>
      <c r="G85" s="26">
        <f t="shared" si="24"/>
        <v>-1028</v>
      </c>
      <c r="H85" s="3">
        <v>0</v>
      </c>
      <c r="I85" s="3">
        <v>0</v>
      </c>
    </row>
    <row r="86" spans="1:9" x14ac:dyDescent="0.2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">
      <c r="A87" s="2" t="s">
        <v>84</v>
      </c>
      <c r="B87" t="s">
        <v>153</v>
      </c>
      <c r="C87">
        <v>981</v>
      </c>
      <c r="D87" s="8">
        <v>1482</v>
      </c>
      <c r="E87" t="s">
        <v>153</v>
      </c>
      <c r="F87" t="s">
        <v>153</v>
      </c>
      <c r="G87" t="s">
        <v>153</v>
      </c>
      <c r="H87" s="3">
        <v>-197</v>
      </c>
      <c r="I87" s="3">
        <v>0</v>
      </c>
    </row>
    <row r="88" spans="1:9" x14ac:dyDescent="0.2">
      <c r="A88" s="2" t="s">
        <v>85</v>
      </c>
      <c r="B88">
        <v>-7</v>
      </c>
      <c r="C88">
        <v>-106</v>
      </c>
      <c r="D88">
        <v>-44</v>
      </c>
      <c r="E88">
        <v>-6</v>
      </c>
      <c r="H88" s="3">
        <v>1172</v>
      </c>
      <c r="I88" s="3">
        <v>1151</v>
      </c>
    </row>
    <row r="89" spans="1:9" x14ac:dyDescent="0.2">
      <c r="A89" s="2" t="s">
        <v>16</v>
      </c>
      <c r="B89">
        <v>-63</v>
      </c>
      <c r="C89">
        <v>-67</v>
      </c>
      <c r="D89">
        <v>327</v>
      </c>
      <c r="E89">
        <v>13</v>
      </c>
      <c r="F89" t="s">
        <v>153</v>
      </c>
      <c r="G89" s="8">
        <v>6134</v>
      </c>
      <c r="H89" s="3">
        <v>-608</v>
      </c>
      <c r="I89" s="3">
        <v>-4014</v>
      </c>
    </row>
    <row r="90" spans="1:9" x14ac:dyDescent="0.2">
      <c r="A90" s="2" t="s">
        <v>86</v>
      </c>
      <c r="B90">
        <v>-19</v>
      </c>
      <c r="C90" t="s">
        <v>153</v>
      </c>
      <c r="D90" t="s">
        <v>153</v>
      </c>
      <c r="E90">
        <v>13</v>
      </c>
      <c r="F90">
        <v>-325</v>
      </c>
      <c r="G90">
        <v>49</v>
      </c>
      <c r="H90" s="3">
        <v>-1638</v>
      </c>
      <c r="I90" s="3">
        <v>-1837</v>
      </c>
    </row>
    <row r="91" spans="1:9" x14ac:dyDescent="0.2">
      <c r="A91" s="2" t="s">
        <v>87</v>
      </c>
      <c r="B91">
        <v>514</v>
      </c>
      <c r="C91">
        <v>507</v>
      </c>
      <c r="D91" t="s">
        <v>153</v>
      </c>
      <c r="E91">
        <v>733</v>
      </c>
      <c r="F91">
        <v>700</v>
      </c>
      <c r="G91">
        <v>885</v>
      </c>
      <c r="H91" s="3">
        <v>-136</v>
      </c>
      <c r="I91" s="3">
        <v>-151</v>
      </c>
    </row>
    <row r="92" spans="1:9" x14ac:dyDescent="0.2">
      <c r="A92" s="27" t="s">
        <v>88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26">
        <f t="shared" ref="H92" si="25">+SUM(H85:H91)</f>
        <v>-1459</v>
      </c>
      <c r="I92" s="26">
        <f>+SUM(I85:I91)</f>
        <v>-4836</v>
      </c>
    </row>
    <row r="93" spans="1:9" x14ac:dyDescent="0.2">
      <c r="A93" s="2" t="s">
        <v>89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143</v>
      </c>
      <c r="I93" s="3">
        <v>-143</v>
      </c>
    </row>
    <row r="94" spans="1:9" x14ac:dyDescent="0.2">
      <c r="A94" s="27" t="s">
        <v>90</v>
      </c>
      <c r="B94" s="3"/>
      <c r="C94" s="3"/>
      <c r="D94" s="3"/>
      <c r="E94">
        <v>-84</v>
      </c>
      <c r="F94">
        <v>-50</v>
      </c>
      <c r="G94">
        <v>-58</v>
      </c>
      <c r="H94" s="26">
        <f t="shared" ref="H94" si="26">+H76+H83+H92+H93</f>
        <v>1541</v>
      </c>
      <c r="I94" s="26">
        <f>+I76+I83+I92+I93</f>
        <v>-1315</v>
      </c>
    </row>
    <row r="95" spans="1:9" x14ac:dyDescent="0.2">
      <c r="A95" t="s">
        <v>91</v>
      </c>
      <c r="B95" s="26">
        <f t="shared" ref="B95:G95" si="27">+SUM(B87:B94)</f>
        <v>-3008</v>
      </c>
      <c r="C95" s="26">
        <f t="shared" si="27"/>
        <v>-2945</v>
      </c>
      <c r="D95" s="26">
        <f t="shared" si="27"/>
        <v>-2591</v>
      </c>
      <c r="E95" s="26">
        <f t="shared" si="27"/>
        <v>-4828</v>
      </c>
      <c r="F95" s="26">
        <f t="shared" si="27"/>
        <v>-5293</v>
      </c>
      <c r="G95" s="26">
        <f t="shared" si="27"/>
        <v>2491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8">+B96-B25</f>
        <v>-3935</v>
      </c>
      <c r="C97" s="13">
        <f t="shared" si="28"/>
        <v>-3243</v>
      </c>
      <c r="D97" s="13">
        <f t="shared" si="28"/>
        <v>-3828</v>
      </c>
      <c r="E97" s="13">
        <f t="shared" si="28"/>
        <v>-4204</v>
      </c>
      <c r="F97" s="13">
        <f t="shared" si="28"/>
        <v>-4595</v>
      </c>
      <c r="G97" s="13">
        <f t="shared" si="28"/>
        <v>-8414</v>
      </c>
      <c r="H97" s="13">
        <f t="shared" ref="H97" si="29">+H96-H25</f>
        <v>0</v>
      </c>
      <c r="I97" s="13">
        <f>+I96-I25</f>
        <v>0</v>
      </c>
    </row>
    <row r="98" spans="1:9" x14ac:dyDescent="0.2">
      <c r="A98" t="s">
        <v>93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/>
      <c r="I98" s="3"/>
    </row>
    <row r="99" spans="1:9" x14ac:dyDescent="0.2">
      <c r="A99" s="2" t="s">
        <v>17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3"/>
      <c r="I99" s="3"/>
    </row>
    <row r="100" spans="1:9" x14ac:dyDescent="0.2">
      <c r="A100" s="11" t="s">
        <v>94</v>
      </c>
      <c r="B100">
        <v>53</v>
      </c>
      <c r="C100">
        <v>70</v>
      </c>
      <c r="D100">
        <v>98</v>
      </c>
      <c r="E100">
        <v>125</v>
      </c>
      <c r="F100">
        <v>153</v>
      </c>
      <c r="G100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8">
        <v>1262</v>
      </c>
      <c r="C101">
        <v>748</v>
      </c>
      <c r="D101">
        <v>703</v>
      </c>
      <c r="E101">
        <v>529</v>
      </c>
      <c r="F101">
        <v>757</v>
      </c>
      <c r="G101" s="8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>
        <v>206</v>
      </c>
      <c r="C102">
        <v>252</v>
      </c>
      <c r="D102">
        <v>266</v>
      </c>
      <c r="E102">
        <v>294</v>
      </c>
      <c r="F102">
        <v>160</v>
      </c>
      <c r="G102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>
        <v>240</v>
      </c>
      <c r="C103">
        <v>271</v>
      </c>
      <c r="D103">
        <v>300</v>
      </c>
      <c r="E103">
        <v>320</v>
      </c>
      <c r="F103">
        <v>347</v>
      </c>
      <c r="G10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>+SUM(B108:B110)</f>
        <v>13740</v>
      </c>
      <c r="C107" s="3">
        <f t="shared" ref="C107:G107" si="30">+SUM(C108:C110)</f>
        <v>14764</v>
      </c>
      <c r="D107" s="3">
        <f t="shared" si="30"/>
        <v>15216</v>
      </c>
      <c r="E107" s="3">
        <f t="shared" si="30"/>
        <v>14855</v>
      </c>
      <c r="F107" s="3">
        <f t="shared" si="30"/>
        <v>15902</v>
      </c>
      <c r="G107" s="3">
        <f t="shared" si="30"/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:G111" si="32">+SUM(B112:B114)</f>
        <v>7126</v>
      </c>
      <c r="C111" s="3">
        <f t="shared" si="32"/>
        <v>7568</v>
      </c>
      <c r="D111" s="3">
        <f t="shared" si="32"/>
        <v>7970</v>
      </c>
      <c r="E111" s="3">
        <f t="shared" si="32"/>
        <v>9242</v>
      </c>
      <c r="F111" s="3">
        <f t="shared" si="32"/>
        <v>9812</v>
      </c>
      <c r="G111" s="3">
        <f t="shared" si="32"/>
        <v>9347</v>
      </c>
      <c r="H111" s="3">
        <f t="shared" ref="H111" si="33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 s="8">
        <v>4703</v>
      </c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 s="8">
        <v>2051</v>
      </c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 s="8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:G115" si="34">+SUM(B116:B118)</f>
        <v>3067</v>
      </c>
      <c r="C115" s="3">
        <f t="shared" si="34"/>
        <v>3785</v>
      </c>
      <c r="D115" s="3">
        <f t="shared" si="34"/>
        <v>4237</v>
      </c>
      <c r="E115" s="3">
        <f t="shared" si="34"/>
        <v>5134</v>
      </c>
      <c r="F115" s="3">
        <f t="shared" si="34"/>
        <v>6208</v>
      </c>
      <c r="G115" s="3">
        <f t="shared" si="34"/>
        <v>6679</v>
      </c>
      <c r="H115" s="3">
        <f t="shared" ref="H115" si="35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:G119" si="36">+SUM(B120:B122)</f>
        <v>4653</v>
      </c>
      <c r="C119" s="3">
        <f t="shared" si="36"/>
        <v>4317</v>
      </c>
      <c r="D119" s="3">
        <f t="shared" si="36"/>
        <v>4737</v>
      </c>
      <c r="E119" s="3">
        <f t="shared" si="36"/>
        <v>5166</v>
      </c>
      <c r="F119" s="3">
        <f t="shared" si="36"/>
        <v>5254</v>
      </c>
      <c r="G119" s="3">
        <f t="shared" si="36"/>
        <v>5028</v>
      </c>
      <c r="H119" s="3">
        <f t="shared" ref="H119" si="37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 s="8">
        <v>2930</v>
      </c>
      <c r="D120" s="8">
        <v>3285</v>
      </c>
      <c r="E120" s="8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1250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310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>
        <v>115</v>
      </c>
      <c r="C123">
        <v>73</v>
      </c>
      <c r="D123">
        <v>73</v>
      </c>
      <c r="E123">
        <v>88</v>
      </c>
      <c r="F123">
        <v>42</v>
      </c>
      <c r="G12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28701</v>
      </c>
      <c r="C124" s="5">
        <f>+C107+C111+C115+C119+C123</f>
        <v>30507</v>
      </c>
      <c r="D124" s="5">
        <f t="shared" ref="D124:G124" si="38">+D107+D111+D115+D119+D123</f>
        <v>32233</v>
      </c>
      <c r="E124" s="5">
        <f t="shared" si="38"/>
        <v>34485</v>
      </c>
      <c r="F124" s="5">
        <f t="shared" si="38"/>
        <v>37218</v>
      </c>
      <c r="G124" s="5">
        <f t="shared" si="38"/>
        <v>35568</v>
      </c>
      <c r="H124" s="5">
        <f t="shared" ref="H124:I124" si="39">+H107+H111+H115+H119+H123</f>
        <v>42293</v>
      </c>
      <c r="I124" s="5">
        <f t="shared" si="39"/>
        <v>44436</v>
      </c>
    </row>
    <row r="125" spans="1:9" x14ac:dyDescent="0.2">
      <c r="A125" s="2" t="s">
        <v>104</v>
      </c>
      <c r="B125" s="8">
        <v>1982</v>
      </c>
      <c r="C125" s="8">
        <v>1955</v>
      </c>
      <c r="D125" s="8">
        <v>2042</v>
      </c>
      <c r="E125" s="8">
        <v>1886</v>
      </c>
      <c r="F125" s="8">
        <f>SUM(F126:F129)</f>
        <v>1906</v>
      </c>
      <c r="G125" s="8">
        <f>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52"/>
      <c r="C126" s="52"/>
      <c r="D126" s="52"/>
      <c r="E126" s="52"/>
      <c r="F126" s="3">
        <f>1658</f>
        <v>1658</v>
      </c>
      <c r="G126" s="3">
        <f>1642</f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52"/>
      <c r="C127" s="52"/>
      <c r="D127" s="52"/>
      <c r="E127" s="52"/>
      <c r="F127" s="3">
        <f>118</f>
        <v>118</v>
      </c>
      <c r="G127" s="3">
        <f>89</f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52"/>
      <c r="C128" s="52"/>
      <c r="D128" s="52"/>
      <c r="E128" s="52"/>
      <c r="F128" s="3">
        <f>24</f>
        <v>24</v>
      </c>
      <c r="G128" s="3">
        <f>25</f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52"/>
      <c r="C129" s="52"/>
      <c r="D129" s="52"/>
      <c r="E129" s="52"/>
      <c r="F129" s="3">
        <f>106</f>
        <v>106</v>
      </c>
      <c r="G129" s="3">
        <f>90</f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>
        <v>-82</v>
      </c>
      <c r="C130">
        <v>-86</v>
      </c>
      <c r="D130">
        <v>75</v>
      </c>
      <c r="E130">
        <v>26</v>
      </c>
      <c r="F130">
        <v>-7</v>
      </c>
      <c r="G130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ref="H131" si="41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51">
        <f>B131-B2</f>
        <v>0</v>
      </c>
      <c r="C132" s="51">
        <f t="shared" ref="C132:G132" si="42">C131-C2</f>
        <v>0</v>
      </c>
      <c r="D132" s="51">
        <f t="shared" si="42"/>
        <v>0</v>
      </c>
      <c r="E132" s="51">
        <f t="shared" si="42"/>
        <v>0</v>
      </c>
      <c r="F132" s="51">
        <f t="shared" si="42"/>
        <v>0</v>
      </c>
      <c r="G132" s="51">
        <f t="shared" si="42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8"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-2263</v>
      </c>
      <c r="C138">
        <v>-2596</v>
      </c>
      <c r="D138">
        <v>-2677</v>
      </c>
      <c r="E138">
        <v>-2658</v>
      </c>
      <c r="F138">
        <v>-3262</v>
      </c>
      <c r="G138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3">+SUM(B134:B138)</f>
        <v>4817</v>
      </c>
      <c r="C139" s="5">
        <f t="shared" si="43"/>
        <v>5328</v>
      </c>
      <c r="D139" s="5">
        <f t="shared" si="43"/>
        <v>5192</v>
      </c>
      <c r="E139" s="5">
        <f t="shared" si="43"/>
        <v>5525</v>
      </c>
      <c r="F139" s="5">
        <f t="shared" si="43"/>
        <v>6357</v>
      </c>
      <c r="G139" s="5">
        <f t="shared" si="43"/>
        <v>4646</v>
      </c>
      <c r="H139" s="5">
        <f t="shared" ref="H139:I139" si="44">+SUM(H134:H138)</f>
        <v>8641</v>
      </c>
      <c r="I139" s="5">
        <f t="shared" si="44"/>
        <v>8406</v>
      </c>
    </row>
    <row r="140" spans="1:9" x14ac:dyDescent="0.2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-1101</v>
      </c>
      <c r="C141" s="3">
        <v>-1173</v>
      </c>
      <c r="D141" s="3">
        <v>-724</v>
      </c>
      <c r="E141" s="8">
        <v>-1456</v>
      </c>
      <c r="F141" s="8">
        <v>-1810</v>
      </c>
      <c r="G141" s="8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G142" si="45">+SUM(B139:B141)</f>
        <v>4233</v>
      </c>
      <c r="C142" s="7">
        <f t="shared" si="45"/>
        <v>4642</v>
      </c>
      <c r="D142" s="7">
        <f t="shared" si="45"/>
        <v>4945</v>
      </c>
      <c r="E142" s="7">
        <f t="shared" si="45"/>
        <v>4379</v>
      </c>
      <c r="F142" s="7">
        <f t="shared" si="45"/>
        <v>4850</v>
      </c>
      <c r="G142" s="7">
        <f t="shared" si="45"/>
        <v>2976</v>
      </c>
      <c r="H142" s="7">
        <f t="shared" ref="H142" si="46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/>
      <c r="C143" s="13"/>
      <c r="D143" s="13"/>
      <c r="E143" s="13"/>
      <c r="F143" s="13"/>
      <c r="G143" s="13"/>
      <c r="H143" s="13">
        <f t="shared" ref="H143" si="47">+H142-H10-H8</f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f>632</f>
        <v>632</v>
      </c>
      <c r="C145" s="3">
        <f>742</f>
        <v>742</v>
      </c>
      <c r="D145" s="3">
        <f>819</f>
        <v>819</v>
      </c>
      <c r="E145" s="3">
        <f>848</f>
        <v>848</v>
      </c>
      <c r="F145" s="3">
        <f>814</f>
        <v>814</v>
      </c>
      <c r="G145">
        <f>645</f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f>451</f>
        <v>451</v>
      </c>
      <c r="C146" s="3">
        <f>589</f>
        <v>589</v>
      </c>
      <c r="D146" s="3">
        <f>709</f>
        <v>709</v>
      </c>
      <c r="E146" s="3">
        <f>849</f>
        <v>849</v>
      </c>
      <c r="F146" s="3">
        <f>929</f>
        <v>929</v>
      </c>
      <c r="G146">
        <f>885</f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f>47</f>
        <v>47</v>
      </c>
      <c r="C147" s="3">
        <f>50</f>
        <v>50</v>
      </c>
      <c r="D147" s="3">
        <f>225</f>
        <v>225</v>
      </c>
      <c r="E147" s="3">
        <f>256</f>
        <v>256</v>
      </c>
      <c r="F147" s="3">
        <f>237</f>
        <v>237</v>
      </c>
      <c r="G147">
        <f>214</f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f>254+205+103</f>
        <v>562</v>
      </c>
      <c r="C148" s="3">
        <f>234</f>
        <v>234</v>
      </c>
      <c r="D148" s="3">
        <f>340</f>
        <v>340</v>
      </c>
      <c r="E148" s="3">
        <f>339</f>
        <v>339</v>
      </c>
      <c r="F148" s="3">
        <f>326</f>
        <v>326</v>
      </c>
      <c r="G148">
        <f>296</f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f>484</f>
        <v>484</v>
      </c>
      <c r="C149" s="3">
        <f>511+223+109</f>
        <v>843</v>
      </c>
      <c r="D149" s="3">
        <f>533</f>
        <v>533</v>
      </c>
      <c r="E149" s="3">
        <f>597</f>
        <v>597</v>
      </c>
      <c r="F149" s="3">
        <f>665</f>
        <v>665</v>
      </c>
      <c r="G149">
        <f>830</f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E150" si="48">+SUM(B145:B149)</f>
        <v>2176</v>
      </c>
      <c r="C150" s="5">
        <f t="shared" si="48"/>
        <v>2458</v>
      </c>
      <c r="D150" s="5">
        <f t="shared" si="48"/>
        <v>2626</v>
      </c>
      <c r="E150" s="5">
        <f t="shared" si="48"/>
        <v>2889</v>
      </c>
      <c r="F150" s="5">
        <f>+SUM(F145:F149)</f>
        <v>2971</v>
      </c>
      <c r="G150" s="5">
        <f>+SUM(G145:G149)</f>
        <v>2870</v>
      </c>
      <c r="H150" s="5">
        <f t="shared" ref="H150:I150" si="49">+SUM(H145:H149)</f>
        <v>2971</v>
      </c>
      <c r="I150" s="5">
        <f t="shared" si="49"/>
        <v>2925</v>
      </c>
    </row>
    <row r="151" spans="1:9" x14ac:dyDescent="0.2">
      <c r="A151" s="2" t="s">
        <v>104</v>
      </c>
      <c r="B151" s="3">
        <f>122</f>
        <v>122</v>
      </c>
      <c r="C151" s="3">
        <f>125</f>
        <v>125</v>
      </c>
      <c r="D151" s="3">
        <f>125</f>
        <v>125</v>
      </c>
      <c r="E151" s="3">
        <f>115</f>
        <v>115</v>
      </c>
      <c r="F151" s="3">
        <f>100</f>
        <v>100</v>
      </c>
      <c r="G151">
        <f>80</f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f>713</f>
        <v>713</v>
      </c>
      <c r="C152" s="3">
        <f>937</f>
        <v>937</v>
      </c>
      <c r="D152" s="3">
        <f>1238</f>
        <v>1238</v>
      </c>
      <c r="E152" s="3">
        <f>1450</f>
        <v>1450</v>
      </c>
      <c r="F152" s="3">
        <f>1673</f>
        <v>1673</v>
      </c>
      <c r="G152">
        <f>1916</f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E153" si="50">+SUM(B150:B152)</f>
        <v>3011</v>
      </c>
      <c r="C153" s="7">
        <f t="shared" si="50"/>
        <v>3520</v>
      </c>
      <c r="D153" s="7">
        <f t="shared" si="50"/>
        <v>3989</v>
      </c>
      <c r="E153" s="7">
        <f t="shared" si="50"/>
        <v>4454</v>
      </c>
      <c r="F153" s="7">
        <f>+SUM(F150:F152)</f>
        <v>4744</v>
      </c>
      <c r="G153" s="7">
        <f>+SUM(G150:G152)</f>
        <v>4866</v>
      </c>
      <c r="H153" s="7">
        <f t="shared" ref="H153" si="51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/>
      <c r="C154" s="13"/>
      <c r="D154" s="13"/>
      <c r="E154" s="13"/>
      <c r="F154" s="13"/>
      <c r="G154" s="13"/>
      <c r="H154" s="13">
        <f t="shared" ref="H154" si="52">+H153-H31</f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f>208</f>
        <v>208</v>
      </c>
      <c r="C156" s="3">
        <f>242</f>
        <v>242</v>
      </c>
      <c r="D156" s="3">
        <f>223</f>
        <v>223</v>
      </c>
      <c r="E156" s="3">
        <f>196</f>
        <v>196</v>
      </c>
      <c r="F156" s="3">
        <f>117</f>
        <v>117</v>
      </c>
      <c r="G156" s="3">
        <f>110</f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f>216</f>
        <v>216</v>
      </c>
      <c r="C157" s="3">
        <f>215</f>
        <v>215</v>
      </c>
      <c r="D157" s="3">
        <f>173</f>
        <v>173</v>
      </c>
      <c r="E157" s="3">
        <f>240</f>
        <v>240</v>
      </c>
      <c r="F157" s="3">
        <f>233</f>
        <v>233</v>
      </c>
      <c r="G157" s="3">
        <f>139</f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f>20</f>
        <v>20</v>
      </c>
      <c r="C158" s="3">
        <f>17</f>
        <v>17</v>
      </c>
      <c r="D158" s="3">
        <f>51</f>
        <v>51</v>
      </c>
      <c r="E158" s="3">
        <f>76</f>
        <v>76</v>
      </c>
      <c r="F158" s="3">
        <f>49</f>
        <v>49</v>
      </c>
      <c r="G158" s="3">
        <f>28</f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f>69</f>
        <v>69</v>
      </c>
      <c r="C159" s="3">
        <f>44</f>
        <v>44</v>
      </c>
      <c r="D159" s="3">
        <f>59</f>
        <v>59</v>
      </c>
      <c r="E159" s="3">
        <f>49</f>
        <v>49</v>
      </c>
      <c r="F159" s="3">
        <f>47</f>
        <v>47</v>
      </c>
      <c r="G159" s="3">
        <f>41</f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f>15+37+225</f>
        <v>277</v>
      </c>
      <c r="C160" s="3">
        <f>13+51+258</f>
        <v>322</v>
      </c>
      <c r="D160" s="3">
        <f>278</f>
        <v>278</v>
      </c>
      <c r="E160" s="3">
        <f>286</f>
        <v>286</v>
      </c>
      <c r="F160" s="3">
        <f>278</f>
        <v>278</v>
      </c>
      <c r="G160" s="3">
        <f>438</f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3">+SUM(B156:B160)</f>
        <v>790</v>
      </c>
      <c r="C161" s="5">
        <f t="shared" si="53"/>
        <v>840</v>
      </c>
      <c r="D161" s="5">
        <f t="shared" si="53"/>
        <v>784</v>
      </c>
      <c r="E161" s="5">
        <f t="shared" si="53"/>
        <v>847</v>
      </c>
      <c r="F161" s="5">
        <f t="shared" si="53"/>
        <v>724</v>
      </c>
      <c r="G161" s="5">
        <f t="shared" si="53"/>
        <v>756</v>
      </c>
      <c r="H161" s="5">
        <f t="shared" ref="H161:I161" si="54">+SUM(H156:H160)</f>
        <v>677</v>
      </c>
      <c r="I161" s="5">
        <f t="shared" si="54"/>
        <v>699</v>
      </c>
    </row>
    <row r="162" spans="1:9" x14ac:dyDescent="0.2">
      <c r="A162" s="2" t="s">
        <v>104</v>
      </c>
      <c r="B162" s="3">
        <f>27</f>
        <v>27</v>
      </c>
      <c r="C162" s="3">
        <f>39</f>
        <v>39</v>
      </c>
      <c r="D162" s="3">
        <f>30</f>
        <v>30</v>
      </c>
      <c r="E162" s="3">
        <f>22</f>
        <v>22</v>
      </c>
      <c r="F162" s="3">
        <f>18</f>
        <v>18</v>
      </c>
      <c r="G162" s="3">
        <f>12</f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84</f>
        <v>84</v>
      </c>
      <c r="C163" s="3">
        <f>312</f>
        <v>312</v>
      </c>
      <c r="D163" s="3">
        <f>387</f>
        <v>387</v>
      </c>
      <c r="E163" s="3">
        <f>325</f>
        <v>325</v>
      </c>
      <c r="F163" s="3">
        <f>333</f>
        <v>333</v>
      </c>
      <c r="G163" s="3">
        <f>356</f>
        <v>356</v>
      </c>
      <c r="H163" s="3">
        <f t="shared" ref="H163" si="55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6">+SUM(B161:B163)</f>
        <v>901</v>
      </c>
      <c r="C164" s="7">
        <f t="shared" si="56"/>
        <v>1191</v>
      </c>
      <c r="D164" s="7">
        <f t="shared" si="56"/>
        <v>1201</v>
      </c>
      <c r="E164" s="7">
        <f t="shared" si="56"/>
        <v>1194</v>
      </c>
      <c r="F164" s="7">
        <f t="shared" si="56"/>
        <v>1075</v>
      </c>
      <c r="G164" s="7">
        <f t="shared" si="56"/>
        <v>1124</v>
      </c>
      <c r="H164" s="7">
        <f t="shared" ref="H164" si="57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/>
      <c r="C165" s="13"/>
      <c r="D165" s="13"/>
      <c r="E165" s="13"/>
      <c r="F165" s="13"/>
      <c r="G165" s="13"/>
      <c r="H165" s="13">
        <f t="shared" ref="H165" si="58">+H164+H81</f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f>121</f>
        <v>121</v>
      </c>
      <c r="C167" s="3">
        <f>133</f>
        <v>133</v>
      </c>
      <c r="D167" s="3">
        <f>140</f>
        <v>140</v>
      </c>
      <c r="E167" s="3">
        <f>160</f>
        <v>160</v>
      </c>
      <c r="F167" s="3">
        <f>149</f>
        <v>149</v>
      </c>
      <c r="G167" s="3">
        <f>148</f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f>75</f>
        <v>75</v>
      </c>
      <c r="C168" s="3">
        <f>72</f>
        <v>72</v>
      </c>
      <c r="D168" s="3">
        <f>91</f>
        <v>91</v>
      </c>
      <c r="E168" s="3">
        <f>116</f>
        <v>116</v>
      </c>
      <c r="F168" s="3">
        <f>111</f>
        <v>111</v>
      </c>
      <c r="G168" s="3">
        <f>132</f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f>12</f>
        <v>12</v>
      </c>
      <c r="C169" s="3">
        <f>12</f>
        <v>12</v>
      </c>
      <c r="D169" s="3">
        <f>13</f>
        <v>13</v>
      </c>
      <c r="E169" s="3">
        <f>56</f>
        <v>56</v>
      </c>
      <c r="F169" s="3">
        <f>50</f>
        <v>50</v>
      </c>
      <c r="G169" s="3">
        <f>44</f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f>46</f>
        <v>46</v>
      </c>
      <c r="C170" s="3">
        <f>48+18+25</f>
        <v>91</v>
      </c>
      <c r="D170" s="3">
        <f>54</f>
        <v>54</v>
      </c>
      <c r="E170" s="3">
        <f>55</f>
        <v>55</v>
      </c>
      <c r="F170" s="3">
        <f>53</f>
        <v>53</v>
      </c>
      <c r="G170" s="3">
        <f>46</f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f>22+27+210</f>
        <v>259</v>
      </c>
      <c r="C171" s="3">
        <f>230</f>
        <v>230</v>
      </c>
      <c r="D171" s="3">
        <f>18+38+233</f>
        <v>289</v>
      </c>
      <c r="E171" s="3">
        <f>217</f>
        <v>217</v>
      </c>
      <c r="F171" s="3">
        <f>195</f>
        <v>195</v>
      </c>
      <c r="G171" s="3">
        <f>214</f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ref="H172:I172" si="60">+SUM(H167:H171)</f>
        <v>577</v>
      </c>
      <c r="I172" s="5">
        <f t="shared" si="60"/>
        <v>561</v>
      </c>
    </row>
    <row r="173" spans="1:9" x14ac:dyDescent="0.2">
      <c r="A173" s="2" t="s">
        <v>104</v>
      </c>
      <c r="B173" s="3">
        <f>18</f>
        <v>18</v>
      </c>
      <c r="C173" s="3">
        <f>27</f>
        <v>27</v>
      </c>
      <c r="D173" s="3">
        <f>28</f>
        <v>28</v>
      </c>
      <c r="E173" s="3">
        <f>33</f>
        <v>33</v>
      </c>
      <c r="F173" s="3">
        <f>31</f>
        <v>31</v>
      </c>
      <c r="G173" s="3">
        <f>25</f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</f>
        <v>75</v>
      </c>
      <c r="C174" s="3">
        <f>84</f>
        <v>84</v>
      </c>
      <c r="D174" s="3">
        <f>91</f>
        <v>91</v>
      </c>
      <c r="E174" s="3">
        <f>110</f>
        <v>110</v>
      </c>
      <c r="F174" s="3">
        <f>116</f>
        <v>116</v>
      </c>
      <c r="G174" s="3">
        <f>112</f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ref="H175" si="62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G176" si="63">+B175-B66</f>
        <v>719</v>
      </c>
      <c r="C176" s="13">
        <f t="shared" si="63"/>
        <v>729</v>
      </c>
      <c r="D176" s="13">
        <f t="shared" si="63"/>
        <v>979</v>
      </c>
      <c r="E176" s="13">
        <f t="shared" si="63"/>
        <v>100</v>
      </c>
      <c r="F176" s="13">
        <f t="shared" si="63"/>
        <v>671</v>
      </c>
      <c r="G176" s="13">
        <f t="shared" si="63"/>
        <v>1101</v>
      </c>
      <c r="H176" s="13">
        <f t="shared" ref="H176" si="64">+H175-H66</f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 t="e">
        <f>B107/K107-1</f>
        <v>#DIV/0!</v>
      </c>
      <c r="C179" s="34">
        <f t="shared" ref="C179:G194" si="65">C107/B107-1</f>
        <v>7.4526928675400228E-2</v>
      </c>
      <c r="D179" s="34">
        <f t="shared" si="65"/>
        <v>3.0615009482525046E-2</v>
      </c>
      <c r="E179" s="34">
        <f t="shared" si="65"/>
        <v>-2.372502628811779E-2</v>
      </c>
      <c r="F179" s="34">
        <f t="shared" si="65"/>
        <v>7.0481319421070276E-2</v>
      </c>
      <c r="G179" s="34">
        <f t="shared" si="65"/>
        <v>-8.9171173437303519E-2</v>
      </c>
      <c r="H179" s="34"/>
      <c r="I179" s="34">
        <v>7.0000000000000007E-2</v>
      </c>
    </row>
    <row r="180" spans="1:9" x14ac:dyDescent="0.2">
      <c r="A180" s="31" t="s">
        <v>113</v>
      </c>
      <c r="B180" s="53" t="e">
        <f t="shared" ref="B180:B200" si="66">B108/K108-1</f>
        <v>#DIV/0!</v>
      </c>
      <c r="C180" s="30">
        <f t="shared" si="65"/>
        <v>9.3228309428638578E-2</v>
      </c>
      <c r="D180" s="30">
        <f t="shared" si="65"/>
        <v>4.1402301322722934E-2</v>
      </c>
      <c r="E180" s="30">
        <f t="shared" si="65"/>
        <v>-3.7381247418422192E-2</v>
      </c>
      <c r="F180" s="30">
        <f t="shared" si="65"/>
        <v>7.755846384895948E-2</v>
      </c>
      <c r="G180" s="30">
        <f t="shared" si="65"/>
        <v>-7.1279243404678949E-2</v>
      </c>
      <c r="H180" s="30"/>
      <c r="I180" s="30">
        <v>0.05</v>
      </c>
    </row>
    <row r="181" spans="1:9" x14ac:dyDescent="0.2">
      <c r="A181" s="31" t="s">
        <v>114</v>
      </c>
      <c r="B181" s="53" t="e">
        <f t="shared" si="66"/>
        <v>#DIV/0!</v>
      </c>
      <c r="C181" s="30">
        <f t="shared" si="65"/>
        <v>7.6190476190476142E-2</v>
      </c>
      <c r="D181" s="30">
        <f t="shared" si="65"/>
        <v>2.9498525073746285E-2</v>
      </c>
      <c r="E181" s="30">
        <f t="shared" si="65"/>
        <v>1.0642652476463343E-2</v>
      </c>
      <c r="F181" s="30">
        <f t="shared" si="65"/>
        <v>6.5208586472256025E-2</v>
      </c>
      <c r="G181" s="30">
        <f t="shared" si="65"/>
        <v>-0.11806083650190113</v>
      </c>
      <c r="H181" s="30"/>
      <c r="I181" s="30">
        <v>0.09</v>
      </c>
    </row>
    <row r="182" spans="1:9" x14ac:dyDescent="0.2">
      <c r="A182" s="31" t="s">
        <v>115</v>
      </c>
      <c r="B182" s="53" t="e">
        <f t="shared" si="66"/>
        <v>#DIV/0!</v>
      </c>
      <c r="C182" s="30">
        <f t="shared" si="65"/>
        <v>-0.12742718446601942</v>
      </c>
      <c r="D182" s="30">
        <f t="shared" si="65"/>
        <v>-0.10152990264255912</v>
      </c>
      <c r="E182" s="30">
        <f t="shared" si="65"/>
        <v>-7.8947368421052655E-2</v>
      </c>
      <c r="F182" s="30">
        <f t="shared" si="65"/>
        <v>3.3613445378151141E-3</v>
      </c>
      <c r="G182" s="30">
        <f t="shared" si="65"/>
        <v>-0.13567839195979903</v>
      </c>
      <c r="H182" s="30"/>
      <c r="I182" s="30">
        <v>0.25</v>
      </c>
    </row>
    <row r="183" spans="1:9" x14ac:dyDescent="0.2">
      <c r="A183" s="33" t="s">
        <v>101</v>
      </c>
      <c r="B183" s="34" t="e">
        <f t="shared" si="66"/>
        <v>#DIV/0!</v>
      </c>
      <c r="C183" s="34">
        <f t="shared" si="65"/>
        <v>6.2026382262138746E-2</v>
      </c>
      <c r="D183" s="34">
        <f t="shared" si="65"/>
        <v>5.3118393234672379E-2</v>
      </c>
      <c r="E183" s="34">
        <f t="shared" si="65"/>
        <v>0.15959849435382689</v>
      </c>
      <c r="F183" s="34">
        <f t="shared" si="65"/>
        <v>6.1674962129409261E-2</v>
      </c>
      <c r="G183" s="34">
        <f t="shared" si="65"/>
        <v>-4.7390949857317621E-2</v>
      </c>
      <c r="H183" s="34"/>
      <c r="I183" s="34">
        <v>0.12</v>
      </c>
    </row>
    <row r="184" spans="1:9" x14ac:dyDescent="0.2">
      <c r="A184" s="31" t="s">
        <v>113</v>
      </c>
      <c r="B184" s="54" t="e">
        <f t="shared" si="66"/>
        <v>#DIV/0!</v>
      </c>
      <c r="C184" s="30">
        <f t="shared" si="65"/>
        <v>7.2294280246651077E-2</v>
      </c>
      <c r="D184" s="30">
        <f>D112/C112-1</f>
        <v>2.9545905215149659E-2</v>
      </c>
      <c r="E184" s="30">
        <f>E112/D112-1</f>
        <v>0.1315485362095532</v>
      </c>
      <c r="F184" s="30">
        <f>F112/E112-1</f>
        <v>7.1148936170212673E-2</v>
      </c>
      <c r="G184" s="30">
        <f>G112/F112-1</f>
        <v>-6.3721595423486432E-2</v>
      </c>
      <c r="H184" s="30"/>
      <c r="I184" s="30">
        <v>0.09</v>
      </c>
    </row>
    <row r="185" spans="1:9" x14ac:dyDescent="0.2">
      <c r="A185" s="31" t="s">
        <v>114</v>
      </c>
      <c r="B185" s="54" t="e">
        <f t="shared" si="66"/>
        <v>#DIV/0!</v>
      </c>
      <c r="C185" s="30">
        <f t="shared" si="65"/>
        <v>4.7781569965870352E-2</v>
      </c>
      <c r="D185" s="30">
        <f t="shared" si="65"/>
        <v>0.11447184737087013</v>
      </c>
      <c r="E185" s="30">
        <f t="shared" si="65"/>
        <v>0.22755741127348639</v>
      </c>
      <c r="F185" s="30">
        <f t="shared" si="65"/>
        <v>5.0000000000000044E-2</v>
      </c>
      <c r="G185" s="30">
        <f t="shared" si="65"/>
        <v>-1.1013929381276322E-2</v>
      </c>
      <c r="H185" s="30"/>
      <c r="I185" s="30">
        <v>0.16</v>
      </c>
    </row>
    <row r="186" spans="1:9" x14ac:dyDescent="0.2">
      <c r="A186" s="31" t="s">
        <v>115</v>
      </c>
      <c r="B186" s="54" t="e">
        <f t="shared" si="66"/>
        <v>#DIV/0!</v>
      </c>
      <c r="C186" s="30">
        <f t="shared" si="65"/>
        <v>1.0752688172043001E-2</v>
      </c>
      <c r="D186" s="30">
        <f t="shared" si="65"/>
        <v>1.8617021276595702E-2</v>
      </c>
      <c r="E186" s="30">
        <f t="shared" si="65"/>
        <v>0.11488250652741505</v>
      </c>
      <c r="F186" s="30">
        <f t="shared" si="65"/>
        <v>1.1709601873536313E-2</v>
      </c>
      <c r="G186" s="30">
        <f t="shared" si="65"/>
        <v>-6.944444444444442E-2</v>
      </c>
      <c r="H186" s="30"/>
      <c r="I186" s="30">
        <v>0.17</v>
      </c>
    </row>
    <row r="187" spans="1:9" x14ac:dyDescent="0.2">
      <c r="A187" s="33" t="s">
        <v>102</v>
      </c>
      <c r="B187" s="34" t="e">
        <f t="shared" si="66"/>
        <v>#DIV/0!</v>
      </c>
      <c r="C187" s="34">
        <f t="shared" si="65"/>
        <v>0.23410498858819695</v>
      </c>
      <c r="D187" s="34">
        <f t="shared" si="65"/>
        <v>0.11941875825627468</v>
      </c>
      <c r="E187" s="34">
        <f t="shared" si="65"/>
        <v>0.21170639603493036</v>
      </c>
      <c r="F187" s="34">
        <f t="shared" si="65"/>
        <v>0.20919361121932223</v>
      </c>
      <c r="G187" s="34">
        <f t="shared" si="65"/>
        <v>7.5869845360824639E-2</v>
      </c>
      <c r="H187" s="34"/>
      <c r="I187" s="34">
        <v>-0.13</v>
      </c>
    </row>
    <row r="188" spans="1:9" x14ac:dyDescent="0.2">
      <c r="A188" s="31" t="s">
        <v>113</v>
      </c>
      <c r="B188" s="54" t="e">
        <f t="shared" si="66"/>
        <v>#DIV/0!</v>
      </c>
      <c r="C188" s="30">
        <f t="shared" si="65"/>
        <v>0.28918650793650791</v>
      </c>
      <c r="D188" s="30">
        <f t="shared" si="65"/>
        <v>0.12350904193920731</v>
      </c>
      <c r="E188" s="30">
        <f t="shared" si="65"/>
        <v>0.19726027397260282</v>
      </c>
      <c r="F188" s="30">
        <f t="shared" si="65"/>
        <v>0.21910755148741412</v>
      </c>
      <c r="G188" s="30">
        <f t="shared" si="65"/>
        <v>8.7517597372125833E-2</v>
      </c>
      <c r="H188" s="30"/>
      <c r="I188" s="30">
        <v>-0.1</v>
      </c>
    </row>
    <row r="189" spans="1:9" x14ac:dyDescent="0.2">
      <c r="A189" s="31" t="s">
        <v>114</v>
      </c>
      <c r="B189" s="54" t="e">
        <f t="shared" si="66"/>
        <v>#DIV/0!</v>
      </c>
      <c r="C189" s="30">
        <f t="shared" si="65"/>
        <v>0.14054054054054044</v>
      </c>
      <c r="D189" s="30">
        <f t="shared" si="65"/>
        <v>0.12606635071090055</v>
      </c>
      <c r="E189" s="30">
        <f t="shared" si="65"/>
        <v>0.26936026936026947</v>
      </c>
      <c r="F189" s="30">
        <f t="shared" si="65"/>
        <v>0.19893899204244025</v>
      </c>
      <c r="G189" s="30">
        <f t="shared" si="65"/>
        <v>4.8672566371681381E-2</v>
      </c>
      <c r="H189" s="30"/>
      <c r="I189" s="30">
        <v>-0.21</v>
      </c>
    </row>
    <row r="190" spans="1:9" x14ac:dyDescent="0.2">
      <c r="A190" s="31" t="s">
        <v>115</v>
      </c>
      <c r="B190" s="54" t="e">
        <f t="shared" si="66"/>
        <v>#DIV/0!</v>
      </c>
      <c r="C190" s="30">
        <f t="shared" si="65"/>
        <v>3.9682539682539764E-2</v>
      </c>
      <c r="D190" s="30">
        <f t="shared" si="65"/>
        <v>-1.5267175572519109E-2</v>
      </c>
      <c r="E190" s="30">
        <f t="shared" si="65"/>
        <v>7.7519379844961378E-3</v>
      </c>
      <c r="F190" s="30">
        <f t="shared" si="65"/>
        <v>6.1538461538461542E-2</v>
      </c>
      <c r="G190" s="30">
        <f t="shared" si="65"/>
        <v>7.2463768115942129E-2</v>
      </c>
      <c r="H190" s="30"/>
      <c r="I190" s="30">
        <v>-0.06</v>
      </c>
    </row>
    <row r="191" spans="1:9" x14ac:dyDescent="0.2">
      <c r="A191" s="33" t="s">
        <v>106</v>
      </c>
      <c r="B191" s="34" t="e">
        <f t="shared" si="66"/>
        <v>#DIV/0!</v>
      </c>
      <c r="C191" s="34">
        <f t="shared" si="65"/>
        <v>-7.2211476466795599E-2</v>
      </c>
      <c r="D191" s="34">
        <f t="shared" si="65"/>
        <v>9.7289784572619942E-2</v>
      </c>
      <c r="E191" s="34">
        <f t="shared" si="65"/>
        <v>9.0563647878403986E-2</v>
      </c>
      <c r="F191" s="34">
        <f t="shared" si="65"/>
        <v>1.7034456058846237E-2</v>
      </c>
      <c r="G191" s="34">
        <f t="shared" si="65"/>
        <v>-4.3014845831747195E-2</v>
      </c>
      <c r="H191" s="34"/>
      <c r="I191" s="34">
        <v>0.16</v>
      </c>
    </row>
    <row r="192" spans="1:9" x14ac:dyDescent="0.2">
      <c r="A192" s="31" t="s">
        <v>113</v>
      </c>
      <c r="B192" s="54" t="e">
        <f t="shared" si="66"/>
        <v>#DIV/0!</v>
      </c>
      <c r="C192" s="30">
        <f t="shared" si="65"/>
        <v>-5.269964435822827E-2</v>
      </c>
      <c r="D192" s="30">
        <f t="shared" si="65"/>
        <v>0.12116040955631391</v>
      </c>
      <c r="E192" s="30">
        <f t="shared" si="65"/>
        <v>8.8280060882800715E-2</v>
      </c>
      <c r="F192" s="30">
        <f t="shared" si="65"/>
        <v>1.3146853146853044E-2</v>
      </c>
      <c r="G192" s="30">
        <f t="shared" si="65"/>
        <v>-4.7763666482606326E-2</v>
      </c>
      <c r="H192" s="30"/>
      <c r="I192" s="30">
        <v>0.17</v>
      </c>
    </row>
    <row r="193" spans="1:9" x14ac:dyDescent="0.2">
      <c r="A193" s="31" t="s">
        <v>114</v>
      </c>
      <c r="B193" s="54" t="e">
        <f t="shared" si="66"/>
        <v>#DIV/0!</v>
      </c>
      <c r="C193" s="30">
        <f t="shared" si="65"/>
        <v>-0.10640000000000005</v>
      </c>
      <c r="D193" s="30">
        <f t="shared" si="65"/>
        <v>6.0877350044762801E-2</v>
      </c>
      <c r="E193" s="30">
        <f t="shared" si="65"/>
        <v>0.13670886075949373</v>
      </c>
      <c r="F193" s="30">
        <f t="shared" si="65"/>
        <v>3.563474387527843E-2</v>
      </c>
      <c r="G193" s="30">
        <f t="shared" si="65"/>
        <v>-2.1505376344086002E-2</v>
      </c>
      <c r="H193" s="30"/>
      <c r="I193" s="30">
        <v>0.12</v>
      </c>
    </row>
    <row r="194" spans="1:9" x14ac:dyDescent="0.2">
      <c r="A194" s="31" t="s">
        <v>115</v>
      </c>
      <c r="B194" s="54" t="e">
        <f t="shared" si="66"/>
        <v>#DIV/0!</v>
      </c>
      <c r="C194" s="30">
        <f t="shared" si="65"/>
        <v>-0.12903225806451613</v>
      </c>
      <c r="D194" s="30">
        <f t="shared" si="65"/>
        <v>-1.1111111111111072E-2</v>
      </c>
      <c r="E194" s="30">
        <f t="shared" si="65"/>
        <v>-8.6142322097378266E-2</v>
      </c>
      <c r="F194" s="30">
        <f t="shared" si="65"/>
        <v>-2.8688524590163911E-2</v>
      </c>
      <c r="G194" s="30">
        <f t="shared" si="65"/>
        <v>-9.7046413502109741E-2</v>
      </c>
      <c r="H194" s="30"/>
      <c r="I194" s="30">
        <v>0.28000000000000003</v>
      </c>
    </row>
    <row r="195" spans="1:9" x14ac:dyDescent="0.2">
      <c r="A195" s="33" t="s">
        <v>107</v>
      </c>
      <c r="B195" s="34" t="e">
        <f t="shared" si="66"/>
        <v>#DIV/0!</v>
      </c>
      <c r="C195" s="34">
        <f t="shared" ref="C195:G197" si="67">C123/B123-1</f>
        <v>-0.36521739130434783</v>
      </c>
      <c r="D195" s="34">
        <f t="shared" si="67"/>
        <v>0</v>
      </c>
      <c r="E195" s="34">
        <f t="shared" si="67"/>
        <v>0.20547945205479445</v>
      </c>
      <c r="F195" s="34">
        <f t="shared" si="67"/>
        <v>-0.52272727272727271</v>
      </c>
      <c r="G195" s="34">
        <f t="shared" si="67"/>
        <v>-0.2857142857142857</v>
      </c>
      <c r="H195" s="34"/>
      <c r="I195" s="34">
        <v>3.02</v>
      </c>
    </row>
    <row r="196" spans="1:9" x14ac:dyDescent="0.2">
      <c r="A196" s="35" t="s">
        <v>103</v>
      </c>
      <c r="B196" s="55" t="e">
        <f t="shared" si="66"/>
        <v>#DIV/0!</v>
      </c>
      <c r="C196" s="37">
        <f t="shared" si="67"/>
        <v>6.2924636772237807E-2</v>
      </c>
      <c r="D196" s="37">
        <f t="shared" si="67"/>
        <v>5.6577179008096445E-2</v>
      </c>
      <c r="E196" s="37">
        <f t="shared" si="67"/>
        <v>6.9866286104303121E-2</v>
      </c>
      <c r="F196" s="37">
        <f t="shared" si="67"/>
        <v>7.9251848629839028E-2</v>
      </c>
      <c r="G196" s="37">
        <f t="shared" si="67"/>
        <v>-4.4333387070772168E-2</v>
      </c>
      <c r="H196" s="37"/>
      <c r="I196" s="37">
        <v>0.06</v>
      </c>
    </row>
    <row r="197" spans="1:9" x14ac:dyDescent="0.2">
      <c r="A197" s="33" t="s">
        <v>104</v>
      </c>
      <c r="B197" s="55" t="e">
        <f t="shared" si="66"/>
        <v>#DIV/0!</v>
      </c>
      <c r="C197" s="34">
        <f t="shared" si="67"/>
        <v>-1.3622603430877955E-2</v>
      </c>
      <c r="D197" s="34">
        <f t="shared" si="67"/>
        <v>4.4501278772378416E-2</v>
      </c>
      <c r="E197" s="34">
        <f t="shared" si="67"/>
        <v>-7.6395690499510338E-2</v>
      </c>
      <c r="F197" s="34">
        <f t="shared" si="67"/>
        <v>1.0604453870625585E-2</v>
      </c>
      <c r="G197" s="34">
        <f t="shared" si="67"/>
        <v>-3.147953830010497E-2</v>
      </c>
      <c r="H197" s="34"/>
      <c r="I197" s="34">
        <v>7.0000000000000007E-2</v>
      </c>
    </row>
    <row r="198" spans="1:9" x14ac:dyDescent="0.2">
      <c r="A198" s="31" t="s">
        <v>113</v>
      </c>
      <c r="B198" s="55" t="e">
        <f t="shared" si="66"/>
        <v>#DIV/0!</v>
      </c>
      <c r="C198" s="56"/>
      <c r="D198" s="56"/>
      <c r="E198" s="56"/>
      <c r="F198" s="56"/>
      <c r="G198" s="56"/>
      <c r="H198" s="30"/>
      <c r="I198" s="30">
        <v>0.06</v>
      </c>
    </row>
    <row r="199" spans="1:9" x14ac:dyDescent="0.2">
      <c r="A199" s="31" t="s">
        <v>114</v>
      </c>
      <c r="B199" s="55" t="e">
        <f t="shared" si="66"/>
        <v>#DIV/0!</v>
      </c>
      <c r="C199" s="56"/>
      <c r="D199" s="56"/>
      <c r="E199" s="56"/>
      <c r="F199" s="56"/>
      <c r="G199" s="56"/>
      <c r="H199" s="30"/>
      <c r="I199" s="30">
        <v>-0.03</v>
      </c>
    </row>
    <row r="200" spans="1:9" x14ac:dyDescent="0.2">
      <c r="A200" s="31" t="s">
        <v>115</v>
      </c>
      <c r="B200" s="55" t="e">
        <f t="shared" si="66"/>
        <v>#DIV/0!</v>
      </c>
      <c r="C200" s="56"/>
      <c r="D200" s="56"/>
      <c r="E200" s="56"/>
      <c r="F200" s="56"/>
      <c r="G200" s="56"/>
      <c r="H200" s="30"/>
      <c r="I200" s="30">
        <v>-0.16</v>
      </c>
    </row>
    <row r="201" spans="1:9" x14ac:dyDescent="0.2">
      <c r="A201" s="31" t="s">
        <v>121</v>
      </c>
      <c r="B201" s="57"/>
      <c r="C201" s="56"/>
      <c r="D201" s="56"/>
      <c r="E201" s="56"/>
      <c r="F201" s="56"/>
      <c r="G201" s="56"/>
      <c r="H201" s="30"/>
      <c r="I201" s="30">
        <v>0.42</v>
      </c>
    </row>
    <row r="202" spans="1:9" x14ac:dyDescent="0.2">
      <c r="A202" s="29" t="s">
        <v>108</v>
      </c>
      <c r="B202" s="56"/>
      <c r="C202" s="30">
        <f>C130/B130-1</f>
        <v>4.8780487804878092E-2</v>
      </c>
      <c r="D202" s="30">
        <f t="shared" ref="D202:G202" si="68">D130/C130-1</f>
        <v>-1.8720930232558139</v>
      </c>
      <c r="E202" s="30">
        <f t="shared" si="68"/>
        <v>-0.65333333333333332</v>
      </c>
      <c r="F202" s="30">
        <f t="shared" si="68"/>
        <v>-1.2692307692307692</v>
      </c>
      <c r="G202" s="30">
        <f t="shared" si="68"/>
        <v>0.5714285714285714</v>
      </c>
      <c r="H202" s="30"/>
      <c r="I202" s="30">
        <v>0</v>
      </c>
    </row>
    <row r="203" spans="1:9" ht="16" thickBot="1" x14ac:dyDescent="0.2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abSelected="1" zoomScale="110" zoomScaleNormal="110" workbookViewId="0">
      <selection activeCell="J50" sqref="J50:N50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f>I3*(1+0%)</f>
        <v>46710</v>
      </c>
      <c r="K3" s="3">
        <f t="shared" ref="K3:N3" si="2">J3*(1+0%)</f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2">
      <c r="A4" s="42" t="s">
        <v>129</v>
      </c>
      <c r="B4" s="58">
        <f>B3/[1]Historicals!K125-1</f>
        <v>0.17191329656862742</v>
      </c>
      <c r="C4" s="59">
        <f>C3/B3-1</f>
        <v>5.8004640371229765E-2</v>
      </c>
      <c r="D4" s="59">
        <f t="shared" ref="D4:I4" si="3">D3/C3-1</f>
        <v>6.0971089696071123E-2</v>
      </c>
      <c r="E4" s="59">
        <f t="shared" si="3"/>
        <v>5.95924308588065E-2</v>
      </c>
      <c r="F4" s="59">
        <f t="shared" si="3"/>
        <v>7.4731433909388079E-2</v>
      </c>
      <c r="G4" s="59">
        <f t="shared" si="3"/>
        <v>-4.3817266150267153E-2</v>
      </c>
      <c r="H4" s="59">
        <f t="shared" si="3"/>
        <v>0.19076009945726269</v>
      </c>
      <c r="I4" s="59">
        <f t="shared" si="3"/>
        <v>4.8767344739323759E-2</v>
      </c>
      <c r="J4" s="47">
        <f>J3/I3-1</f>
        <v>0</v>
      </c>
      <c r="K4" s="47">
        <f t="shared" ref="K4:N4" si="4">K3/J3-1</f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130</v>
      </c>
      <c r="B5">
        <f>B11+B8</f>
        <v>5423</v>
      </c>
      <c r="C5">
        <f t="shared" ref="C5:I5" si="5">C11+C8</f>
        <v>5977</v>
      </c>
      <c r="D5">
        <f t="shared" si="5"/>
        <v>5898</v>
      </c>
      <c r="E5">
        <f t="shared" si="5"/>
        <v>6272</v>
      </c>
      <c r="F5">
        <f t="shared" si="5"/>
        <v>7062</v>
      </c>
      <c r="G5">
        <f t="shared" si="5"/>
        <v>5367</v>
      </c>
      <c r="H5">
        <f t="shared" si="5"/>
        <v>9385</v>
      </c>
      <c r="I5">
        <f t="shared" si="5"/>
        <v>9123</v>
      </c>
      <c r="J5">
        <f>I5*(1+0%)</f>
        <v>9123</v>
      </c>
      <c r="K5">
        <f t="shared" ref="K5:N5" si="6">J5*(1+0%)</f>
        <v>9123</v>
      </c>
      <c r="L5">
        <f t="shared" si="6"/>
        <v>9123</v>
      </c>
      <c r="M5">
        <f t="shared" si="6"/>
        <v>9123</v>
      </c>
      <c r="N5">
        <f t="shared" si="6"/>
        <v>9123</v>
      </c>
      <c r="O5" t="s">
        <v>145</v>
      </c>
    </row>
    <row r="6" spans="1:15" x14ac:dyDescent="0.2">
      <c r="A6" s="42" t="s">
        <v>129</v>
      </c>
      <c r="B6" s="59">
        <f>B5/4266-1</f>
        <v>0.27121425222691053</v>
      </c>
      <c r="C6" s="59">
        <f>C5/B5-1</f>
        <v>0.10215747741102721</v>
      </c>
      <c r="D6" s="59">
        <f t="shared" ref="D6:I6" si="7">D5/C5-1</f>
        <v>-1.3217333110255969E-2</v>
      </c>
      <c r="E6" s="59">
        <f t="shared" si="7"/>
        <v>6.3411325873177438E-2</v>
      </c>
      <c r="F6" s="59">
        <f t="shared" si="7"/>
        <v>0.12595663265306123</v>
      </c>
      <c r="G6" s="59">
        <f t="shared" si="7"/>
        <v>-0.24001699235344098</v>
      </c>
      <c r="H6" s="59">
        <f t="shared" si="7"/>
        <v>0.74864915222656969</v>
      </c>
      <c r="I6" s="59">
        <f t="shared" si="7"/>
        <v>-2.7916888652104399E-2</v>
      </c>
      <c r="J6" s="47">
        <f>J5/I5-1</f>
        <v>0</v>
      </c>
      <c r="K6" s="47">
        <f t="shared" ref="K6:N6" si="8">K5/J5-1</f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2">
      <c r="A7" s="42" t="s">
        <v>131</v>
      </c>
      <c r="B7" s="59">
        <f>B5/B3</f>
        <v>0.1772164308355936</v>
      </c>
      <c r="C7" s="59">
        <f t="shared" ref="C7:I7" si="9">C5/C3</f>
        <v>0.1846120583148011</v>
      </c>
      <c r="D7" s="59">
        <f t="shared" si="9"/>
        <v>0.17170305676855896</v>
      </c>
      <c r="E7" s="59">
        <f t="shared" si="9"/>
        <v>0.17232189466164793</v>
      </c>
      <c r="F7" s="59">
        <f t="shared" si="9"/>
        <v>0.18053531712554644</v>
      </c>
      <c r="G7" s="59">
        <f t="shared" si="9"/>
        <v>0.14349116381038954</v>
      </c>
      <c r="H7" s="59">
        <f t="shared" si="9"/>
        <v>0.21071893663837621</v>
      </c>
      <c r="I7" s="59">
        <f t="shared" si="9"/>
        <v>0.19531149646756582</v>
      </c>
      <c r="J7" s="47">
        <f>J5/J3</f>
        <v>0.19531149646756582</v>
      </c>
      <c r="K7" s="47">
        <f t="shared" ref="K7:N7" si="10">K5/K3</f>
        <v>0.19531149646756582</v>
      </c>
      <c r="L7" s="47">
        <f t="shared" si="10"/>
        <v>0.19531149646756582</v>
      </c>
      <c r="M7" s="47">
        <f t="shared" si="10"/>
        <v>0.19531149646756582</v>
      </c>
      <c r="N7" s="47">
        <f t="shared" si="10"/>
        <v>0.19531149646756582</v>
      </c>
    </row>
    <row r="8" spans="1:15" x14ac:dyDescent="0.2">
      <c r="A8" s="41" t="s">
        <v>132</v>
      </c>
      <c r="B8">
        <v>606</v>
      </c>
      <c r="C8">
        <v>649</v>
      </c>
      <c r="D8">
        <v>706</v>
      </c>
      <c r="E8">
        <v>747</v>
      </c>
      <c r="F8">
        <v>705</v>
      </c>
      <c r="G8">
        <v>721</v>
      </c>
      <c r="H8">
        <v>744</v>
      </c>
      <c r="I8">
        <v>717</v>
      </c>
      <c r="J8">
        <f>I8*(1+0%)</f>
        <v>717</v>
      </c>
      <c r="K8">
        <f t="shared" ref="K8:N8" si="11">J8*(1+0%)</f>
        <v>717</v>
      </c>
      <c r="L8">
        <f t="shared" si="11"/>
        <v>717</v>
      </c>
      <c r="M8">
        <f t="shared" si="11"/>
        <v>717</v>
      </c>
      <c r="N8">
        <f t="shared" si="11"/>
        <v>717</v>
      </c>
      <c r="O8" t="s">
        <v>146</v>
      </c>
    </row>
    <row r="9" spans="1:15" x14ac:dyDescent="0.2">
      <c r="A9" s="42" t="s">
        <v>129</v>
      </c>
      <c r="B9" s="59">
        <f>B8/586-1</f>
        <v>3.4129692832764569E-2</v>
      </c>
      <c r="C9" s="59">
        <f>C8/B8-1</f>
        <v>7.0957095709570872E-2</v>
      </c>
      <c r="D9" s="59">
        <f t="shared" ref="D9:I9" si="12">D8/C8-1</f>
        <v>8.7827426810477727E-2</v>
      </c>
      <c r="E9" s="59">
        <f t="shared" si="12"/>
        <v>5.8073654390934815E-2</v>
      </c>
      <c r="F9" s="59">
        <f t="shared" si="12"/>
        <v>-5.6224899598393607E-2</v>
      </c>
      <c r="G9" s="59">
        <f t="shared" si="12"/>
        <v>2.2695035460992941E-2</v>
      </c>
      <c r="H9" s="59">
        <f t="shared" si="12"/>
        <v>3.1900138696255187E-2</v>
      </c>
      <c r="I9" s="59">
        <f t="shared" si="12"/>
        <v>-3.6290322580645129E-2</v>
      </c>
      <c r="J9" s="47">
        <f>J8/I8-1</f>
        <v>0</v>
      </c>
      <c r="K9" s="47">
        <f t="shared" ref="K9:N9" si="13">K8/J8-1</f>
        <v>0</v>
      </c>
      <c r="L9" s="47">
        <f t="shared" si="13"/>
        <v>0</v>
      </c>
      <c r="M9" s="47">
        <f t="shared" si="13"/>
        <v>0</v>
      </c>
      <c r="N9" s="47">
        <f t="shared" si="13"/>
        <v>0</v>
      </c>
    </row>
    <row r="10" spans="1:15" x14ac:dyDescent="0.2">
      <c r="A10" s="42" t="s">
        <v>133</v>
      </c>
      <c r="B10" s="59">
        <f>B8/B3</f>
        <v>1.9803274402797295E-2</v>
      </c>
      <c r="C10" s="59">
        <f t="shared" ref="C10:I10" si="14">C8/C3</f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 t="shared" si="14"/>
        <v>1.5350032113037893E-2</v>
      </c>
      <c r="J10" s="47">
        <f>J8/J3</f>
        <v>1.5350032113037893E-2</v>
      </c>
      <c r="K10" s="47">
        <f t="shared" ref="K10:N10" si="15">K8/K3</f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2">
      <c r="A11" s="41" t="s">
        <v>134</v>
      </c>
      <c r="B11">
        <v>4817</v>
      </c>
      <c r="C11">
        <v>5328</v>
      </c>
      <c r="D11">
        <v>5192</v>
      </c>
      <c r="E11">
        <v>5525</v>
      </c>
      <c r="F11">
        <v>6357</v>
      </c>
      <c r="G11">
        <v>4646</v>
      </c>
      <c r="H11">
        <v>8641</v>
      </c>
      <c r="I11">
        <v>8406</v>
      </c>
      <c r="J11">
        <f>I11*(1+0%)</f>
        <v>8406</v>
      </c>
      <c r="K11">
        <f t="shared" ref="K11:N11" si="16">J11*(1+0%)</f>
        <v>8406</v>
      </c>
      <c r="L11">
        <f t="shared" si="16"/>
        <v>8406</v>
      </c>
      <c r="M11">
        <f t="shared" si="16"/>
        <v>8406</v>
      </c>
      <c r="N11">
        <f t="shared" si="16"/>
        <v>8406</v>
      </c>
      <c r="O11" t="s">
        <v>147</v>
      </c>
    </row>
    <row r="12" spans="1:15" x14ac:dyDescent="0.2">
      <c r="A12" s="42" t="s">
        <v>129</v>
      </c>
      <c r="B12" s="60">
        <f>B11/3680-1</f>
        <v>0.3089673913043478</v>
      </c>
      <c r="C12" s="59">
        <f>C11/B11-1</f>
        <v>0.10608262403985891</v>
      </c>
      <c r="D12" s="59">
        <f t="shared" ref="D12:I12" si="17">D11/C11-1</f>
        <v>-2.5525525525525561E-2</v>
      </c>
      <c r="E12" s="59">
        <f t="shared" si="17"/>
        <v>6.4137134052388189E-2</v>
      </c>
      <c r="F12" s="59">
        <f t="shared" si="17"/>
        <v>0.15058823529411769</v>
      </c>
      <c r="G12" s="59">
        <f t="shared" si="17"/>
        <v>-0.26915211577788267</v>
      </c>
      <c r="H12" s="59">
        <f t="shared" si="17"/>
        <v>0.85987946620749023</v>
      </c>
      <c r="I12" s="59">
        <f t="shared" si="17"/>
        <v>-2.7195926397407755E-2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2">
      <c r="A13" s="42" t="s">
        <v>131</v>
      </c>
      <c r="B13" s="61">
        <f>B11/B3</f>
        <v>0.15741315643279633</v>
      </c>
      <c r="C13" s="61">
        <f t="shared" ref="C13:I13" si="19">C11/C3</f>
        <v>0.16456634544106746</v>
      </c>
      <c r="D13" s="61">
        <f t="shared" si="19"/>
        <v>0.15114992721979623</v>
      </c>
      <c r="E13" s="61">
        <f t="shared" si="19"/>
        <v>0.15179822512844465</v>
      </c>
      <c r="F13" s="61">
        <f t="shared" si="19"/>
        <v>0.16251246261216351</v>
      </c>
      <c r="G13" s="61">
        <f t="shared" si="19"/>
        <v>0.12421463518969067</v>
      </c>
      <c r="H13" s="61">
        <f t="shared" si="19"/>
        <v>0.19401410031882887</v>
      </c>
      <c r="I13" s="61">
        <f t="shared" si="19"/>
        <v>0.17996146435452795</v>
      </c>
      <c r="J13" s="47">
        <f t="shared" ref="J13:N13" si="20">+IFERROR(J11/J$3,"nm")</f>
        <v>0.17996146435452795</v>
      </c>
      <c r="K13" s="47">
        <f t="shared" si="20"/>
        <v>0.17996146435452795</v>
      </c>
      <c r="L13" s="47">
        <f t="shared" si="20"/>
        <v>0.17996146435452795</v>
      </c>
      <c r="M13" s="47">
        <f t="shared" si="20"/>
        <v>0.17996146435452795</v>
      </c>
      <c r="N13" s="47">
        <f t="shared" si="20"/>
        <v>0.17996146435452795</v>
      </c>
    </row>
    <row r="14" spans="1:15" x14ac:dyDescent="0.2">
      <c r="A14" s="41" t="s">
        <v>135</v>
      </c>
      <c r="B14" s="8">
        <f>[1]Historicals!B31-2834+[1]Historicals!B66</f>
        <v>64</v>
      </c>
      <c r="C14" s="8">
        <f>[1]Historicals!C31-[1]Historicals!B31+[1]Historicals!C66</f>
        <v>429</v>
      </c>
      <c r="D14" s="8">
        <f>[1]Historicals!D31-[1]Historicals!C31+[1]Historicals!D66</f>
        <v>196</v>
      </c>
      <c r="E14" s="8">
        <f>[1]Historicals!E31-[1]Historicals!D31+[1]Historicals!E66</f>
        <v>1112</v>
      </c>
      <c r="F14" s="8">
        <f>[1]Historicals!F31-[1]Historicals!E31+[1]Historicals!F66</f>
        <v>324</v>
      </c>
      <c r="G14" s="8">
        <f>[1]Historicals!G31-[1]Historicals!F31+[1]Historicals!G66</f>
        <v>-258</v>
      </c>
      <c r="H14" s="8">
        <f>[1]Historicals!H31-[1]Historicals!G31+[1]Historicals!H66</f>
        <v>782</v>
      </c>
      <c r="I14" s="8">
        <f>[1]Historicals!I31-[1]Historicals!H31+[1]Historicals!I66</f>
        <v>604</v>
      </c>
      <c r="J14">
        <f>604*(1+0%)</f>
        <v>604</v>
      </c>
      <c r="K14">
        <f t="shared" ref="K14:N14" si="21">604*(1+0%)</f>
        <v>604</v>
      </c>
      <c r="L14">
        <f t="shared" si="21"/>
        <v>604</v>
      </c>
      <c r="M14">
        <f t="shared" si="21"/>
        <v>604</v>
      </c>
      <c r="N14">
        <f t="shared" si="21"/>
        <v>604</v>
      </c>
      <c r="O14" t="s">
        <v>148</v>
      </c>
    </row>
    <row r="15" spans="1:15" x14ac:dyDescent="0.2">
      <c r="A15" s="42" t="s">
        <v>129</v>
      </c>
      <c r="B15" s="59">
        <f>1.89%</f>
        <v>1.89E-2</v>
      </c>
      <c r="C15" s="58">
        <f>C14/B14-1</f>
        <v>5.703125</v>
      </c>
      <c r="D15" s="58">
        <f t="shared" ref="D15:I15" si="22">D14/C14-1</f>
        <v>-0.54312354312354305</v>
      </c>
      <c r="E15" s="58">
        <f t="shared" si="22"/>
        <v>4.6734693877551017</v>
      </c>
      <c r="F15" s="58">
        <f t="shared" si="22"/>
        <v>-0.70863309352517989</v>
      </c>
      <c r="G15" s="58">
        <f t="shared" si="22"/>
        <v>-1.7962962962962963</v>
      </c>
      <c r="H15" s="58">
        <f t="shared" si="22"/>
        <v>-4.0310077519379846</v>
      </c>
      <c r="I15" s="58">
        <f t="shared" si="22"/>
        <v>-0.22762148337595911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2">
      <c r="A16" s="42" t="s">
        <v>133</v>
      </c>
      <c r="B16" s="59">
        <f>B14/B3</f>
        <v>2.091434920427437E-3</v>
      </c>
      <c r="C16" s="59">
        <f>C14/C3</f>
        <v>1.3250555967383247E-2</v>
      </c>
      <c r="D16" s="59">
        <f t="shared" ref="D16:I16" si="24">D14/D3</f>
        <v>5.7059679767103352E-3</v>
      </c>
      <c r="E16" s="59">
        <f t="shared" si="24"/>
        <v>3.055196856883809E-2</v>
      </c>
      <c r="F16" s="59">
        <f t="shared" si="24"/>
        <v>8.2828437763632183E-3</v>
      </c>
      <c r="G16" s="59">
        <f t="shared" si="24"/>
        <v>-6.8978424190572945E-3</v>
      </c>
      <c r="H16" s="59">
        <f t="shared" si="24"/>
        <v>1.7558040325115633E-2</v>
      </c>
      <c r="I16" s="59">
        <f t="shared" si="24"/>
        <v>1.2930849925069578E-2</v>
      </c>
      <c r="J16" s="47">
        <f t="shared" ref="J16:N16" si="25">+IFERROR(J14/J$3,"nm")</f>
        <v>1.2930849925069578E-2</v>
      </c>
      <c r="K16" s="47">
        <f t="shared" si="25"/>
        <v>1.2930849925069578E-2</v>
      </c>
      <c r="L16" s="47">
        <f t="shared" si="25"/>
        <v>1.2930849925069578E-2</v>
      </c>
      <c r="M16" s="47">
        <f t="shared" si="25"/>
        <v>1.2930849925069578E-2</v>
      </c>
      <c r="N16" s="47">
        <f t="shared" si="25"/>
        <v>1.2930849925069578E-2</v>
      </c>
    </row>
    <row r="17" spans="1:15" x14ac:dyDescent="0.2">
      <c r="A17" s="9" t="s">
        <v>143</v>
      </c>
      <c r="B17" s="8">
        <f>Historicals!B31</f>
        <v>3011</v>
      </c>
      <c r="C17" s="8">
        <f>Historicals!C31</f>
        <v>3520</v>
      </c>
      <c r="D17" s="8">
        <f>Historicals!D31</f>
        <v>3989</v>
      </c>
      <c r="E17" s="8">
        <f>Historicals!E31</f>
        <v>4454</v>
      </c>
      <c r="F17" s="8">
        <f>Historicals!F31</f>
        <v>4744</v>
      </c>
      <c r="G17" s="8">
        <f>Historicals!G31</f>
        <v>4866</v>
      </c>
      <c r="H17" s="8">
        <f>Historicals!H31</f>
        <v>4904</v>
      </c>
      <c r="I17" s="8">
        <f>Historicals!I31</f>
        <v>4791</v>
      </c>
      <c r="J17">
        <f>I17*(1+0%)</f>
        <v>4791</v>
      </c>
      <c r="K17">
        <f t="shared" ref="K17:N17" si="26">J17*(1+0%)</f>
        <v>4791</v>
      </c>
      <c r="L17">
        <f t="shared" si="26"/>
        <v>4791</v>
      </c>
      <c r="M17">
        <f t="shared" si="26"/>
        <v>4791</v>
      </c>
      <c r="N17">
        <f t="shared" si="26"/>
        <v>4791</v>
      </c>
      <c r="O17" t="s">
        <v>149</v>
      </c>
    </row>
    <row r="18" spans="1:15" x14ac:dyDescent="0.2">
      <c r="A18" s="42" t="s">
        <v>129</v>
      </c>
      <c r="B18" s="47">
        <f>B17/B54-1</f>
        <v>0.26300335570469802</v>
      </c>
      <c r="C18" s="47">
        <f>C17/B17-1</f>
        <v>0.16904682829624718</v>
      </c>
      <c r="D18" s="47">
        <f t="shared" ref="D18:I18" si="27">D17/C17-1</f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 t="shared" si="27"/>
        <v>-2.3042414355628038E-2</v>
      </c>
      <c r="J18" s="47">
        <f>J17/I17-1</f>
        <v>0</v>
      </c>
      <c r="K18" s="47">
        <f t="shared" ref="K18:N18" si="28">K17/J17-1</f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2">
      <c r="A19" s="42" t="s">
        <v>133</v>
      </c>
      <c r="B19" s="47">
        <f>B17/B3</f>
        <v>9.8395477271984569E-2</v>
      </c>
      <c r="C19" s="47">
        <f t="shared" ref="C19:I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>J17/J3</f>
        <v>0.10256904303147078</v>
      </c>
      <c r="K19" s="47">
        <f t="shared" ref="K19:N19" si="30">K17/K3</f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I21*(1+0%)</f>
        <v>18353</v>
      </c>
      <c r="K21" s="9">
        <f t="shared" ref="K21:N21" si="31">J21*(1+0%)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2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>J21/I21-1</f>
        <v>0</v>
      </c>
      <c r="K22" s="47">
        <f t="shared" ref="K22:N22" si="33">K21/J21-1</f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I23*(1+0%)</f>
        <v>12228</v>
      </c>
      <c r="K23" s="3">
        <f t="shared" ref="K23:N23" si="34">J23*(1+0%)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2">
      <c r="A24" s="44" t="s">
        <v>129</v>
      </c>
      <c r="B24" s="47" t="str">
        <f t="shared" ref="B24" si="35">+IFERROR(B23/A23-1,"nm")</f>
        <v>nm</v>
      </c>
      <c r="C24" s="47">
        <f t="shared" ref="C24" si="36">+IFERROR(C23/B23-1,"nm")</f>
        <v>9.3228309428638578E-2</v>
      </c>
      <c r="D24" s="47">
        <f t="shared" ref="D24" si="37">+IFERROR(D23/C23-1,"nm")</f>
        <v>4.1402301322722934E-2</v>
      </c>
      <c r="E24" s="47">
        <f t="shared" ref="E24" si="38">+IFERROR(E23/D23-1,"nm")</f>
        <v>-3.7381247418422192E-2</v>
      </c>
      <c r="F24" s="47">
        <f t="shared" ref="F24" si="39">+IFERROR(F23/E23-1,"nm")</f>
        <v>7.755846384895948E-2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J23/I23-1</f>
        <v>0</v>
      </c>
      <c r="K24" s="47">
        <f t="shared" ref="K24:N24" si="42">K23/J23-1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5" x14ac:dyDescent="0.2">
      <c r="A25" s="44" t="s">
        <v>137</v>
      </c>
      <c r="B25" s="47" t="e">
        <f>+Historicals!B180</f>
        <v>#DIV/0!</v>
      </c>
      <c r="C25" s="47">
        <f>+Historicals!C180</f>
        <v>9.3228309428638578E-2</v>
      </c>
      <c r="D25" s="47">
        <f>+Historicals!D180</f>
        <v>4.1402301322722934E-2</v>
      </c>
      <c r="E25" s="47">
        <f>+Historicals!E180</f>
        <v>-3.7381247418422192E-2</v>
      </c>
      <c r="F25" s="47">
        <f>+Historicals!F180</f>
        <v>7.755846384895948E-2</v>
      </c>
      <c r="G25" s="47">
        <f>+Historicals!G180</f>
        <v>-7.1279243404678949E-2</v>
      </c>
      <c r="H25" s="47">
        <f>+Historicals!H180</f>
        <v>0</v>
      </c>
      <c r="I25" s="47">
        <f>+Historicals!I180</f>
        <v>0.05</v>
      </c>
      <c r="J25" s="49">
        <f>J24</f>
        <v>0</v>
      </c>
      <c r="K25" s="49">
        <f t="shared" ref="K25:N26" si="43">K24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  <c r="O25" s="49"/>
    </row>
    <row r="26" spans="1:15" x14ac:dyDescent="0.2">
      <c r="A26" s="44" t="s">
        <v>138</v>
      </c>
      <c r="B26" s="47" t="str">
        <f t="shared" ref="B26:H26" si="44">+IFERROR(B24-B25,"nm")</f>
        <v>nm</v>
      </c>
      <c r="C26" s="47">
        <f t="shared" si="44"/>
        <v>0</v>
      </c>
      <c r="D26" s="47">
        <f t="shared" si="44"/>
        <v>0</v>
      </c>
      <c r="E26" s="47">
        <f t="shared" si="44"/>
        <v>0</v>
      </c>
      <c r="F26" s="47">
        <f t="shared" si="44"/>
        <v>0</v>
      </c>
      <c r="G26" s="47">
        <f t="shared" si="44"/>
        <v>0</v>
      </c>
      <c r="H26" s="47">
        <f t="shared" si="44"/>
        <v>0.24815092721620746</v>
      </c>
      <c r="I26" s="47">
        <f>+IFERROR(I24-I25,"nm")</f>
        <v>1.5458605290268046E-4</v>
      </c>
      <c r="J26" s="49">
        <f>J25</f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5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I27*(1+0%)</f>
        <v>5492</v>
      </c>
      <c r="K27" s="3">
        <f>J27*(1+0%)</f>
        <v>5492</v>
      </c>
      <c r="L27" s="3">
        <f>K27*(1+0%)</f>
        <v>5492</v>
      </c>
      <c r="M27" s="3">
        <f>L27*(1+0%)</f>
        <v>5492</v>
      </c>
      <c r="N27" s="3">
        <f>M27*(1+0%)</f>
        <v>5492</v>
      </c>
    </row>
    <row r="28" spans="1:15" x14ac:dyDescent="0.2">
      <c r="A28" s="44" t="s">
        <v>129</v>
      </c>
      <c r="B28" s="47" t="str">
        <f t="shared" ref="B28" si="45">+IFERROR(B27/A27-1,"nm")</f>
        <v>nm</v>
      </c>
      <c r="C28" s="47">
        <f t="shared" ref="C28" si="46">+IFERROR(C27/B27-1,"nm")</f>
        <v>7.6190476190476142E-2</v>
      </c>
      <c r="D28" s="47">
        <f t="shared" ref="D28" si="47">+IFERROR(D27/C27-1,"nm")</f>
        <v>2.9498525073746285E-2</v>
      </c>
      <c r="E28" s="47">
        <f t="shared" ref="E28" si="48">+IFERROR(E27/D27-1,"nm")</f>
        <v>1.0642652476463343E-2</v>
      </c>
      <c r="F28" s="47">
        <f t="shared" ref="F28" si="49">+IFERROR(F27/E27-1,"nm")</f>
        <v>6.5208586472256025E-2</v>
      </c>
      <c r="G28" s="47">
        <f t="shared" ref="G28" si="50">+IFERROR(G27/F27-1,"nm")</f>
        <v>-0.11806083650190113</v>
      </c>
      <c r="H28" s="47">
        <f t="shared" ref="H28" si="51">+IFERROR(H27/G27-1,"nm")</f>
        <v>8.3854278939426541E-2</v>
      </c>
      <c r="I28" s="47">
        <f>+IFERROR(I27/H27-1,"nm")</f>
        <v>9.2283214001591007E-2</v>
      </c>
      <c r="J28" s="47">
        <f>J27/I27-1</f>
        <v>0</v>
      </c>
      <c r="K28" s="47">
        <f t="shared" ref="K28:N28" si="52">K27/J27-1</f>
        <v>0</v>
      </c>
      <c r="L28" s="47">
        <f t="shared" si="52"/>
        <v>0</v>
      </c>
      <c r="M28" s="47">
        <f t="shared" si="52"/>
        <v>0</v>
      </c>
      <c r="N28" s="47">
        <f t="shared" si="52"/>
        <v>0</v>
      </c>
    </row>
    <row r="29" spans="1:15" x14ac:dyDescent="0.2">
      <c r="A29" s="44" t="s">
        <v>137</v>
      </c>
      <c r="B29" s="47" t="e">
        <f>+Historicals!B184</f>
        <v>#DIV/0!</v>
      </c>
      <c r="C29" s="47">
        <f>+Historicals!C184</f>
        <v>7.2294280246651077E-2</v>
      </c>
      <c r="D29" s="47">
        <f>+Historicals!D184</f>
        <v>2.9545905215149659E-2</v>
      </c>
      <c r="E29" s="47">
        <f>+Historicals!E184</f>
        <v>0.1315485362095532</v>
      </c>
      <c r="F29" s="47">
        <f>+Historicals!F184</f>
        <v>7.1148936170212673E-2</v>
      </c>
      <c r="G29" s="47">
        <f>+Historicals!G184</f>
        <v>-6.3721595423486432E-2</v>
      </c>
      <c r="H29" s="47">
        <f>+Historicals!H184</f>
        <v>0</v>
      </c>
      <c r="I29" s="47">
        <f>+Historicals!I184</f>
        <v>0.09</v>
      </c>
      <c r="J29" s="49">
        <f>0%</f>
        <v>0</v>
      </c>
      <c r="K29" s="49">
        <f>0%</f>
        <v>0</v>
      </c>
      <c r="L29" s="49">
        <f>0%</f>
        <v>0</v>
      </c>
      <c r="M29" s="49">
        <f>0%</f>
        <v>0</v>
      </c>
      <c r="N29" s="49">
        <f>0%</f>
        <v>0</v>
      </c>
    </row>
    <row r="30" spans="1:15" x14ac:dyDescent="0.2">
      <c r="A30" s="44" t="s">
        <v>138</v>
      </c>
      <c r="B30" s="47" t="str">
        <f t="shared" ref="B30" si="53">+IFERROR(B28-B29,"nm")</f>
        <v>nm</v>
      </c>
      <c r="C30" s="47">
        <f t="shared" ref="C30" si="54">+IFERROR(C28-C29,"nm")</f>
        <v>3.8961959438250648E-3</v>
      </c>
      <c r="D30" s="47">
        <f t="shared" ref="D30" si="55">+IFERROR(D28-D29,"nm")</f>
        <v>-4.7380141403374765E-5</v>
      </c>
      <c r="E30" s="47">
        <f t="shared" ref="E30" si="56">+IFERROR(E28-E29,"nm")</f>
        <v>-0.12090588373308986</v>
      </c>
      <c r="F30" s="47">
        <f t="shared" ref="F30" si="57">+IFERROR(F28-F29,"nm")</f>
        <v>-5.9403496979566484E-3</v>
      </c>
      <c r="G30" s="47">
        <f t="shared" ref="G30" si="58">+IFERROR(G28-G29,"nm")</f>
        <v>-5.4339241078414702E-2</v>
      </c>
      <c r="H30" s="47">
        <f t="shared" ref="H30" si="59">+IFERROR(H28-H29,"nm")</f>
        <v>8.3854278939426541E-2</v>
      </c>
      <c r="I30" s="47">
        <f>+IFERROR(I28-I29,"nm")</f>
        <v>2.2832140015910107E-3</v>
      </c>
      <c r="J30" s="49">
        <f>0%</f>
        <v>0</v>
      </c>
      <c r="K30" s="49">
        <f>0%</f>
        <v>0</v>
      </c>
      <c r="L30" s="49">
        <f>0%</f>
        <v>0</v>
      </c>
      <c r="M30" s="49">
        <f>0%</f>
        <v>0</v>
      </c>
      <c r="N30" s="49">
        <f>0%</f>
        <v>0</v>
      </c>
    </row>
    <row r="31" spans="1:15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I31*(1+0%)</f>
        <v>633</v>
      </c>
      <c r="K31" s="3">
        <f t="shared" ref="K31:N31" si="60">J31*(1+0%)</f>
        <v>633</v>
      </c>
      <c r="L31" s="3">
        <f t="shared" si="60"/>
        <v>633</v>
      </c>
      <c r="M31" s="3">
        <f t="shared" si="60"/>
        <v>633</v>
      </c>
      <c r="N31" s="3">
        <f t="shared" si="60"/>
        <v>633</v>
      </c>
    </row>
    <row r="32" spans="1:15" x14ac:dyDescent="0.2">
      <c r="A32" s="44" t="s">
        <v>129</v>
      </c>
      <c r="B32" s="47" t="str">
        <f t="shared" ref="B32" si="61">+IFERROR(B31/A31-1,"nm")</f>
        <v>nm</v>
      </c>
      <c r="C32" s="47">
        <f t="shared" ref="C32" si="62">+IFERROR(C31/B31-1,"nm")</f>
        <v>-0.12742718446601942</v>
      </c>
      <c r="D32" s="47">
        <f t="shared" ref="D32" si="63">+IFERROR(D31/C31-1,"nm")</f>
        <v>-0.10152990264255912</v>
      </c>
      <c r="E32" s="47">
        <f t="shared" ref="E32" si="64">+IFERROR(E31/D31-1,"nm")</f>
        <v>-7.8947368421052655E-2</v>
      </c>
      <c r="F32" s="47">
        <f t="shared" ref="F32" si="65">+IFERROR(F31/E31-1,"nm")</f>
        <v>3.3613445378151141E-3</v>
      </c>
      <c r="G32" s="47">
        <f t="shared" ref="G32" si="66">+IFERROR(G31/F31-1,"nm")</f>
        <v>-0.13567839195979903</v>
      </c>
      <c r="H32" s="47">
        <f t="shared" ref="H32" si="67">+IFERROR(H31/G31-1,"nm")</f>
        <v>-1.744186046511631E-2</v>
      </c>
      <c r="I32" s="47">
        <f>+IFERROR(I31/H31-1,"nm")</f>
        <v>0.24852071005917153</v>
      </c>
      <c r="J32" s="47">
        <f>J31/I31-1</f>
        <v>0</v>
      </c>
      <c r="K32" s="47">
        <f t="shared" ref="K32:N32" si="68">K31/J31-1</f>
        <v>0</v>
      </c>
      <c r="L32" s="47">
        <f t="shared" si="68"/>
        <v>0</v>
      </c>
      <c r="M32" s="47">
        <f t="shared" si="68"/>
        <v>0</v>
      </c>
      <c r="N32" s="47">
        <f t="shared" si="68"/>
        <v>0</v>
      </c>
    </row>
    <row r="33" spans="1:14" x14ac:dyDescent="0.2">
      <c r="A33" s="44" t="s">
        <v>137</v>
      </c>
      <c r="B33" s="47" t="e">
        <f>+Historicals!B182</f>
        <v>#DIV/0!</v>
      </c>
      <c r="C33" s="47">
        <f>+Historicals!C182</f>
        <v>-0.12742718446601942</v>
      </c>
      <c r="D33" s="47">
        <f>+Historicals!D182</f>
        <v>-0.10152990264255912</v>
      </c>
      <c r="E33" s="47">
        <f>+Historicals!E182</f>
        <v>-7.8947368421052655E-2</v>
      </c>
      <c r="F33" s="47">
        <f>+Historicals!F182</f>
        <v>3.3613445378151141E-3</v>
      </c>
      <c r="G33" s="47">
        <f>+Historicals!G182</f>
        <v>-0.13567839195979903</v>
      </c>
      <c r="H33" s="47">
        <f>+Historicals!H182</f>
        <v>0</v>
      </c>
      <c r="I33" s="47">
        <f>+Historicals!I182</f>
        <v>0.25</v>
      </c>
      <c r="J33" s="62">
        <f>0%</f>
        <v>0</v>
      </c>
      <c r="K33" s="62">
        <f>0%</f>
        <v>0</v>
      </c>
      <c r="L33" s="62">
        <f>0%</f>
        <v>0</v>
      </c>
      <c r="M33" s="62">
        <f>0%</f>
        <v>0</v>
      </c>
      <c r="N33" s="62">
        <f>0%</f>
        <v>0</v>
      </c>
    </row>
    <row r="34" spans="1:14" x14ac:dyDescent="0.2">
      <c r="A34" s="44" t="s">
        <v>138</v>
      </c>
      <c r="B34" s="47" t="str">
        <f t="shared" ref="B34" si="69">+IFERROR(B32-B33,"nm")</f>
        <v>nm</v>
      </c>
      <c r="C34" s="47">
        <f t="shared" ref="C34" si="70">+IFERROR(C32-C33,"nm")</f>
        <v>0</v>
      </c>
      <c r="D34" s="47">
        <f t="shared" ref="D34" si="71">+IFERROR(D32-D33,"nm")</f>
        <v>0</v>
      </c>
      <c r="E34" s="47">
        <f t="shared" ref="E34" si="72">+IFERROR(E32-E33,"nm")</f>
        <v>0</v>
      </c>
      <c r="F34" s="47">
        <f t="shared" ref="F34" si="73">+IFERROR(F32-F33,"nm")</f>
        <v>0</v>
      </c>
      <c r="G34" s="47">
        <f t="shared" ref="G34" si="74">+IFERROR(G32-G33,"nm")</f>
        <v>0</v>
      </c>
      <c r="H34" s="47">
        <f t="shared" ref="H34" si="75">+IFERROR(H32-H33,"nm")</f>
        <v>-1.744186046511631E-2</v>
      </c>
      <c r="I34" s="47">
        <f>+IFERROR(I32-I33,"nm")</f>
        <v>-1.4792899408284654E-3</v>
      </c>
      <c r="J34" s="62">
        <f>0%</f>
        <v>0</v>
      </c>
      <c r="K34" s="62">
        <f>0%</f>
        <v>0</v>
      </c>
      <c r="L34" s="62">
        <f>0%</f>
        <v>0</v>
      </c>
      <c r="M34" s="62">
        <f>0%</f>
        <v>0</v>
      </c>
      <c r="N34" s="62">
        <f>0%</f>
        <v>0</v>
      </c>
    </row>
    <row r="35" spans="1:14" x14ac:dyDescent="0.2">
      <c r="A35" s="9" t="s">
        <v>130</v>
      </c>
      <c r="B35" s="48">
        <f t="shared" ref="B35:H35" si="76">+B42+B38</f>
        <v>3766</v>
      </c>
      <c r="C35" s="48">
        <f t="shared" si="76"/>
        <v>3896</v>
      </c>
      <c r="D35" s="48">
        <f t="shared" si="76"/>
        <v>4015</v>
      </c>
      <c r="E35" s="48">
        <f t="shared" si="76"/>
        <v>3760</v>
      </c>
      <c r="F35" s="48">
        <f t="shared" si="76"/>
        <v>4074</v>
      </c>
      <c r="G35" s="48">
        <f t="shared" si="76"/>
        <v>3047</v>
      </c>
      <c r="H35" s="48">
        <f t="shared" si="76"/>
        <v>5219</v>
      </c>
      <c r="I35" s="48">
        <f>+I42+I38</f>
        <v>5238</v>
      </c>
      <c r="J35" s="48">
        <f>I35*(1+0%)</f>
        <v>5238</v>
      </c>
      <c r="K35" s="48">
        <f t="shared" ref="K35:N35" si="77">J35*(1+0%)</f>
        <v>5238</v>
      </c>
      <c r="L35" s="48">
        <f t="shared" si="77"/>
        <v>5238</v>
      </c>
      <c r="M35" s="48">
        <f t="shared" si="77"/>
        <v>5238</v>
      </c>
      <c r="N35" s="48">
        <f t="shared" si="77"/>
        <v>5238</v>
      </c>
    </row>
    <row r="36" spans="1:14" x14ac:dyDescent="0.2">
      <c r="A36" s="46" t="s">
        <v>129</v>
      </c>
      <c r="B36" s="47" t="str">
        <f t="shared" ref="B36" si="78">+IFERROR(B35/A35-1,"nm")</f>
        <v>nm</v>
      </c>
      <c r="C36" s="47">
        <f t="shared" ref="C36" si="79">+IFERROR(C35/B35-1,"nm")</f>
        <v>3.4519383961763239E-2</v>
      </c>
      <c r="D36" s="47">
        <f t="shared" ref="D36" si="80">+IFERROR(D35/C35-1,"nm")</f>
        <v>3.0544147843942548E-2</v>
      </c>
      <c r="E36" s="47">
        <f t="shared" ref="E36" si="81">+IFERROR(E35/D35-1,"nm")</f>
        <v>-6.3511830635118338E-2</v>
      </c>
      <c r="F36" s="47">
        <f t="shared" ref="F36" si="82">+IFERROR(F35/E35-1,"nm")</f>
        <v>8.3510638297872308E-2</v>
      </c>
      <c r="G36" s="47">
        <f t="shared" ref="G36" si="83">+IFERROR(G35/F35-1,"nm")</f>
        <v>-0.25208640157093765</v>
      </c>
      <c r="H36" s="47">
        <f t="shared" ref="H36" si="84">+IFERROR(H35/G35-1,"nm")</f>
        <v>0.71283229405973092</v>
      </c>
      <c r="I36" s="47">
        <f>+IFERROR(I35/H35-1,"nm")</f>
        <v>3.6405441655489312E-3</v>
      </c>
      <c r="J36" s="47">
        <f>J35/I35-1</f>
        <v>0</v>
      </c>
      <c r="K36" s="47">
        <f t="shared" ref="K36:N36" si="85">K35/J35-1</f>
        <v>0</v>
      </c>
      <c r="L36" s="47">
        <f t="shared" si="85"/>
        <v>0</v>
      </c>
      <c r="M36" s="47">
        <f t="shared" si="85"/>
        <v>0</v>
      </c>
      <c r="N36" s="47">
        <f t="shared" si="85"/>
        <v>0</v>
      </c>
    </row>
    <row r="37" spans="1:14" x14ac:dyDescent="0.2">
      <c r="A37" s="46" t="s">
        <v>131</v>
      </c>
      <c r="B37" s="47">
        <f t="shared" ref="B37:H37" si="86">+IFERROR(B35/B$21,"nm")</f>
        <v>0.27409024745269289</v>
      </c>
      <c r="C37" s="47">
        <f t="shared" si="86"/>
        <v>0.26388512598211866</v>
      </c>
      <c r="D37" s="47">
        <f t="shared" si="86"/>
        <v>0.26386698212407994</v>
      </c>
      <c r="E37" s="47">
        <f t="shared" si="86"/>
        <v>0.25311342982160889</v>
      </c>
      <c r="F37" s="47">
        <f t="shared" si="86"/>
        <v>0.25619418941013711</v>
      </c>
      <c r="G37" s="47">
        <f t="shared" si="86"/>
        <v>0.2103700635183651</v>
      </c>
      <c r="H37" s="47">
        <f t="shared" si="86"/>
        <v>0.30380115256999823</v>
      </c>
      <c r="I37" s="47">
        <f>+IFERROR(I35/I$21,"nm")</f>
        <v>0.28540293140086087</v>
      </c>
      <c r="J37" s="49">
        <f>J35/J21</f>
        <v>0.28540293140086087</v>
      </c>
      <c r="K37" s="49">
        <f t="shared" ref="K37:N37" si="87">K35/K21</f>
        <v>0.28540293140086087</v>
      </c>
      <c r="L37" s="49">
        <f t="shared" si="87"/>
        <v>0.28540293140086087</v>
      </c>
      <c r="M37" s="49">
        <f t="shared" si="87"/>
        <v>0.28540293140086087</v>
      </c>
      <c r="N37" s="49">
        <f t="shared" si="87"/>
        <v>0.28540293140086087</v>
      </c>
    </row>
    <row r="38" spans="1:14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I38*(1+0%)</f>
        <v>124</v>
      </c>
      <c r="K38" s="48">
        <f t="shared" ref="K38:N38" si="88">J38*(1+0%)</f>
        <v>124</v>
      </c>
      <c r="L38" s="48">
        <f t="shared" si="88"/>
        <v>124</v>
      </c>
      <c r="M38" s="48">
        <f t="shared" si="88"/>
        <v>124</v>
      </c>
      <c r="N38" s="48">
        <f t="shared" si="88"/>
        <v>124</v>
      </c>
    </row>
    <row r="39" spans="1:14" x14ac:dyDescent="0.2">
      <c r="A39" s="46" t="s">
        <v>129</v>
      </c>
      <c r="B39" s="47" t="str">
        <f t="shared" ref="B39" si="89">+IFERROR(B38/A38-1,"nm")</f>
        <v>nm</v>
      </c>
      <c r="C39" s="47">
        <f t="shared" ref="C39" si="90">+IFERROR(C38/B38-1,"nm")</f>
        <v>9.9173553719008156E-2</v>
      </c>
      <c r="D39" s="47">
        <f t="shared" ref="D39" si="91">+IFERROR(D38/C38-1,"nm")</f>
        <v>5.2631578947368363E-2</v>
      </c>
      <c r="E39" s="47">
        <f t="shared" ref="E39" si="92">+IFERROR(E38/D38-1,"nm")</f>
        <v>0.14285714285714279</v>
      </c>
      <c r="F39" s="47">
        <f t="shared" ref="F39" si="93">+IFERROR(F38/E38-1,"nm")</f>
        <v>-6.8749999999999978E-2</v>
      </c>
      <c r="G39" s="47">
        <f t="shared" ref="G39" si="94">+IFERROR(G38/F38-1,"nm")</f>
        <v>-6.7114093959731447E-3</v>
      </c>
      <c r="H39" s="47">
        <f t="shared" ref="H39" si="95">+IFERROR(H38/G38-1,"nm")</f>
        <v>-0.1216216216216216</v>
      </c>
      <c r="I39" s="47">
        <f>+IFERROR(I38/H38-1,"nm")</f>
        <v>-4.6153846153846101E-2</v>
      </c>
      <c r="J39" s="47">
        <f>J38/I38-1</f>
        <v>0</v>
      </c>
      <c r="K39" s="47">
        <f t="shared" ref="K39:N39" si="96">K38/J38-1</f>
        <v>0</v>
      </c>
      <c r="L39" s="47">
        <f t="shared" si="96"/>
        <v>0</v>
      </c>
      <c r="M39" s="47">
        <f t="shared" si="96"/>
        <v>0</v>
      </c>
      <c r="N39" s="47">
        <f t="shared" si="96"/>
        <v>0</v>
      </c>
    </row>
    <row r="40" spans="1:14" x14ac:dyDescent="0.2">
      <c r="A40" s="46" t="s">
        <v>133</v>
      </c>
      <c r="B40" s="47">
        <f t="shared" ref="B40:H40" si="97">+IFERROR(B38/B$21,"nm")</f>
        <v>8.8064046579330417E-3</v>
      </c>
      <c r="C40" s="47">
        <f t="shared" si="97"/>
        <v>9.0083988079111346E-3</v>
      </c>
      <c r="D40" s="47">
        <f t="shared" si="97"/>
        <v>9.2008412197686646E-3</v>
      </c>
      <c r="E40" s="47">
        <f t="shared" si="97"/>
        <v>1.0770784247728038E-2</v>
      </c>
      <c r="F40" s="47">
        <f t="shared" si="97"/>
        <v>9.3698905798012821E-3</v>
      </c>
      <c r="G40" s="47">
        <f t="shared" si="97"/>
        <v>1.0218171775752554E-2</v>
      </c>
      <c r="H40" s="47">
        <f t="shared" si="97"/>
        <v>7.5673787764130628E-3</v>
      </c>
      <c r="I40" s="47">
        <f>+IFERROR(I38/I$21,"nm")</f>
        <v>6.7563886013185855E-3</v>
      </c>
      <c r="J40" s="47">
        <f>J38/J21</f>
        <v>6.7563886013185855E-3</v>
      </c>
      <c r="K40" s="47">
        <f t="shared" ref="K40:N40" si="98">K38/K21</f>
        <v>6.7563886013185855E-3</v>
      </c>
      <c r="L40" s="47">
        <f t="shared" si="98"/>
        <v>6.7563886013185855E-3</v>
      </c>
      <c r="M40" s="47">
        <f t="shared" si="98"/>
        <v>6.7563886013185855E-3</v>
      </c>
      <c r="N40" s="47">
        <f t="shared" si="98"/>
        <v>6.7563886013185855E-3</v>
      </c>
    </row>
    <row r="41" spans="1:14" x14ac:dyDescent="0.2">
      <c r="A41" s="46" t="s">
        <v>142</v>
      </c>
      <c r="B41" s="47">
        <f t="shared" ref="B41:H41" si="99">+IFERROR(B38/B48,"nm")</f>
        <v>0.19145569620253164</v>
      </c>
      <c r="C41" s="47">
        <f t="shared" si="99"/>
        <v>0.17924528301886791</v>
      </c>
      <c r="D41" s="47">
        <f t="shared" si="99"/>
        <v>0.17094017094017094</v>
      </c>
      <c r="E41" s="47">
        <f t="shared" si="99"/>
        <v>0.18867924528301888</v>
      </c>
      <c r="F41" s="47">
        <f t="shared" si="99"/>
        <v>0.18304668304668303</v>
      </c>
      <c r="G41" s="47">
        <f t="shared" si="99"/>
        <v>0.22945736434108527</v>
      </c>
      <c r="H41" s="47">
        <f t="shared" si="99"/>
        <v>0.21069692058346839</v>
      </c>
      <c r="I41" s="47">
        <f>+IFERROR(I38/I48,"nm")</f>
        <v>0.19405320813771518</v>
      </c>
      <c r="J41" s="63">
        <f>J38/J17</f>
        <v>2.588186182425381E-2</v>
      </c>
      <c r="K41" s="63">
        <f t="shared" ref="K41:N41" si="100">K38/K17</f>
        <v>2.588186182425381E-2</v>
      </c>
      <c r="L41" s="63">
        <f t="shared" si="100"/>
        <v>2.588186182425381E-2</v>
      </c>
      <c r="M41" s="63">
        <f t="shared" si="100"/>
        <v>2.588186182425381E-2</v>
      </c>
      <c r="N41" s="63">
        <f t="shared" si="100"/>
        <v>2.588186182425381E-2</v>
      </c>
    </row>
    <row r="42" spans="1:14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64">
        <f>I42*(1+0%)</f>
        <v>5114</v>
      </c>
      <c r="K42" s="64">
        <f t="shared" ref="K42:N42" si="101">J42*(1+0%)</f>
        <v>5114</v>
      </c>
      <c r="L42" s="64">
        <f t="shared" si="101"/>
        <v>5114</v>
      </c>
      <c r="M42" s="64">
        <f t="shared" si="101"/>
        <v>5114</v>
      </c>
      <c r="N42" s="64">
        <f t="shared" si="101"/>
        <v>5114</v>
      </c>
    </row>
    <row r="43" spans="1:14" x14ac:dyDescent="0.2">
      <c r="A43" s="46" t="s">
        <v>129</v>
      </c>
      <c r="B43" s="47" t="str">
        <f t="shared" ref="B43" si="102">+IFERROR(B42/A42-1,"nm")</f>
        <v>nm</v>
      </c>
      <c r="C43" s="47">
        <f t="shared" ref="C43" si="103">+IFERROR(C42/B42-1,"nm")</f>
        <v>3.2373113854595292E-2</v>
      </c>
      <c r="D43" s="47">
        <f t="shared" ref="D43" si="104">+IFERROR(D42/C42-1,"nm")</f>
        <v>2.9763486579856391E-2</v>
      </c>
      <c r="E43" s="47">
        <f t="shared" ref="E43" si="105">+IFERROR(E42/D42-1,"nm")</f>
        <v>-7.096774193548383E-2</v>
      </c>
      <c r="F43" s="47">
        <f t="shared" ref="F43" si="106">+IFERROR(F42/E42-1,"nm")</f>
        <v>9.0277777777777679E-2</v>
      </c>
      <c r="G43" s="47">
        <f t="shared" ref="G43" si="107">+IFERROR(G42/F42-1,"nm")</f>
        <v>-0.26140127388535028</v>
      </c>
      <c r="H43" s="47">
        <f t="shared" ref="H43" si="108">+IFERROR(H42/G42-1,"nm")</f>
        <v>0.75543290789927564</v>
      </c>
      <c r="I43" s="47">
        <f>+IFERROR(I42/H42-1,"nm")</f>
        <v>4.9125564943997002E-3</v>
      </c>
      <c r="J43" s="47">
        <f>J42/I42-1</f>
        <v>0</v>
      </c>
      <c r="K43" s="47">
        <f t="shared" ref="K43:N43" si="109">K42/J42-1</f>
        <v>0</v>
      </c>
      <c r="L43" s="47">
        <f t="shared" si="109"/>
        <v>0</v>
      </c>
      <c r="M43" s="47">
        <f t="shared" si="109"/>
        <v>0</v>
      </c>
      <c r="N43" s="47">
        <f t="shared" si="109"/>
        <v>0</v>
      </c>
    </row>
    <row r="44" spans="1:14" x14ac:dyDescent="0.2">
      <c r="A44" s="46" t="s">
        <v>131</v>
      </c>
      <c r="B44" s="47">
        <f t="shared" ref="B44:H44" si="110">+IFERROR(B42/B$21,"nm")</f>
        <v>0.26528384279475981</v>
      </c>
      <c r="C44" s="47">
        <f t="shared" si="110"/>
        <v>0.25487672717420751</v>
      </c>
      <c r="D44" s="47">
        <f t="shared" si="110"/>
        <v>0.25466614090431128</v>
      </c>
      <c r="E44" s="47">
        <f t="shared" si="110"/>
        <v>0.24234264557388085</v>
      </c>
      <c r="F44" s="47">
        <f t="shared" si="110"/>
        <v>0.2468242988303358</v>
      </c>
      <c r="G44" s="47">
        <f t="shared" si="110"/>
        <v>0.20015189174261253</v>
      </c>
      <c r="H44" s="47">
        <f t="shared" si="110"/>
        <v>0.29623377379358518</v>
      </c>
      <c r="I44" s="47">
        <f>+IFERROR(I42/I$21,"nm")</f>
        <v>0.27864654279954232</v>
      </c>
      <c r="J44" s="47">
        <f>J42/J21</f>
        <v>0.27864654279954232</v>
      </c>
      <c r="K44" s="47">
        <f t="shared" ref="K44:N44" si="111">K42/K21</f>
        <v>0.27864654279954232</v>
      </c>
      <c r="L44" s="47">
        <f t="shared" si="111"/>
        <v>0.27864654279954232</v>
      </c>
      <c r="M44" s="47">
        <f t="shared" si="111"/>
        <v>0.27864654279954232</v>
      </c>
      <c r="N44" s="47">
        <f t="shared" si="111"/>
        <v>0.27864654279954232</v>
      </c>
    </row>
    <row r="45" spans="1:14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I45*(1+0%)</f>
        <v>146</v>
      </c>
      <c r="K45" s="48">
        <f t="shared" ref="K45:N45" si="112">J45*(1+0%)</f>
        <v>146</v>
      </c>
      <c r="L45" s="48">
        <f t="shared" si="112"/>
        <v>146</v>
      </c>
      <c r="M45" s="48">
        <f t="shared" si="112"/>
        <v>146</v>
      </c>
      <c r="N45" s="48">
        <f t="shared" si="112"/>
        <v>146</v>
      </c>
    </row>
    <row r="46" spans="1:14" x14ac:dyDescent="0.2">
      <c r="A46" s="46" t="s">
        <v>129</v>
      </c>
      <c r="B46" s="47" t="str">
        <f t="shared" ref="B46" si="113">+IFERROR(B45/A45-1,"nm")</f>
        <v>nm</v>
      </c>
      <c r="C46" s="47">
        <f t="shared" ref="C46" si="114">+IFERROR(C45/B45-1,"nm")</f>
        <v>0.16346153846153855</v>
      </c>
      <c r="D46" s="47">
        <f t="shared" ref="D46" si="115">+IFERROR(D45/C45-1,"nm")</f>
        <v>-7.8512396694214837E-2</v>
      </c>
      <c r="E46" s="47">
        <f t="shared" ref="E46" si="116">+IFERROR(E45/D45-1,"nm")</f>
        <v>-0.12107623318385652</v>
      </c>
      <c r="F46" s="47">
        <f t="shared" ref="F46" si="117">+IFERROR(F45/E45-1,"nm")</f>
        <v>-0.40306122448979587</v>
      </c>
      <c r="G46" s="47">
        <f t="shared" ref="G46" si="118">+IFERROR(G45/F45-1,"nm")</f>
        <v>-5.9829059829059839E-2</v>
      </c>
      <c r="H46" s="47">
        <f t="shared" ref="H46" si="119">+IFERROR(H45/G45-1,"nm")</f>
        <v>-0.10909090909090913</v>
      </c>
      <c r="I46" s="47">
        <f>+IFERROR(I45/H45-1,"nm")</f>
        <v>0.48979591836734704</v>
      </c>
      <c r="J46" s="47">
        <f>J45/I45-1</f>
        <v>0</v>
      </c>
      <c r="K46" s="47">
        <f t="shared" ref="K46:N46" si="120">K45/J45-1</f>
        <v>0</v>
      </c>
      <c r="L46" s="47">
        <f t="shared" si="120"/>
        <v>0</v>
      </c>
      <c r="M46" s="47">
        <f t="shared" si="120"/>
        <v>0</v>
      </c>
      <c r="N46" s="47">
        <f t="shared" si="120"/>
        <v>0</v>
      </c>
    </row>
    <row r="47" spans="1:14" x14ac:dyDescent="0.2">
      <c r="A47" s="46" t="s">
        <v>133</v>
      </c>
      <c r="B47" s="47">
        <f t="shared" ref="B47:H47" si="121">+IFERROR(B45/B$21,"nm")</f>
        <v>1.5138282387190683E-2</v>
      </c>
      <c r="C47" s="47">
        <f t="shared" si="121"/>
        <v>1.6391221891086428E-2</v>
      </c>
      <c r="D47" s="47">
        <f t="shared" si="121"/>
        <v>1.4655625657202945E-2</v>
      </c>
      <c r="E47" s="47">
        <f t="shared" si="121"/>
        <v>1.3194210703466847E-2</v>
      </c>
      <c r="F47" s="47">
        <f t="shared" si="121"/>
        <v>7.3575650861526856E-3</v>
      </c>
      <c r="G47" s="47">
        <f t="shared" si="121"/>
        <v>7.5945871306268989E-3</v>
      </c>
      <c r="H47" s="47">
        <f t="shared" si="121"/>
        <v>5.7046393852960009E-3</v>
      </c>
      <c r="I47" s="47">
        <f>+IFERROR(I45/I$21,"nm")</f>
        <v>7.9551027080041418E-3</v>
      </c>
      <c r="J47" s="49">
        <f>J45/J21</f>
        <v>7.9551027080041418E-3</v>
      </c>
      <c r="K47" s="49">
        <f t="shared" ref="K47:N47" si="122">K45/K21</f>
        <v>7.9551027080041418E-3</v>
      </c>
      <c r="L47" s="49">
        <f t="shared" si="122"/>
        <v>7.9551027080041418E-3</v>
      </c>
      <c r="M47" s="49">
        <f t="shared" si="122"/>
        <v>7.9551027080041418E-3</v>
      </c>
      <c r="N47" s="49">
        <f t="shared" si="122"/>
        <v>7.9551027080041418E-3</v>
      </c>
    </row>
    <row r="48" spans="1:14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I48*(1+0%)</f>
        <v>639</v>
      </c>
      <c r="K48" s="48">
        <f t="shared" ref="K48:N48" si="123">J48*(1+0%)</f>
        <v>639</v>
      </c>
      <c r="L48" s="48">
        <f t="shared" si="123"/>
        <v>639</v>
      </c>
      <c r="M48" s="48">
        <f t="shared" si="123"/>
        <v>639</v>
      </c>
      <c r="N48" s="48">
        <f t="shared" si="123"/>
        <v>639</v>
      </c>
    </row>
    <row r="49" spans="1:14" x14ac:dyDescent="0.2">
      <c r="A49" s="46" t="s">
        <v>129</v>
      </c>
      <c r="B49" s="47" t="str">
        <f t="shared" ref="B49" si="124">+IFERROR(B48/A48-1,"nm")</f>
        <v>nm</v>
      </c>
      <c r="C49" s="47">
        <f t="shared" ref="C49" si="125">+IFERROR(C48/B48-1,"nm")</f>
        <v>0.17405063291139244</v>
      </c>
      <c r="D49" s="47">
        <f t="shared" ref="D49" si="126">+IFERROR(D48/C48-1,"nm")</f>
        <v>0.10377358490566047</v>
      </c>
      <c r="E49" s="47">
        <f t="shared" ref="E49" si="127">+IFERROR(E48/D48-1,"nm")</f>
        <v>3.5409035409035505E-2</v>
      </c>
      <c r="F49" s="47">
        <f t="shared" ref="F49" si="128">+IFERROR(F48/E48-1,"nm")</f>
        <v>-4.0094339622641528E-2</v>
      </c>
      <c r="G49" s="47">
        <f t="shared" ref="G49" si="129">+IFERROR(G48/F48-1,"nm")</f>
        <v>-0.20761670761670759</v>
      </c>
      <c r="H49" s="47">
        <f t="shared" ref="H49" si="130">+IFERROR(H48/G48-1,"nm")</f>
        <v>-4.3410852713178349E-2</v>
      </c>
      <c r="I49" s="47">
        <f>+IFERROR(I48/H48-1,"nm")</f>
        <v>3.5656401944894611E-2</v>
      </c>
      <c r="J49" s="47">
        <f>J48/I48-1</f>
        <v>0</v>
      </c>
      <c r="K49" s="47">
        <f t="shared" ref="K49:N49" si="131">K48/J48-1</f>
        <v>0</v>
      </c>
      <c r="L49" s="47">
        <f t="shared" si="131"/>
        <v>0</v>
      </c>
      <c r="M49" s="47">
        <f t="shared" si="131"/>
        <v>0</v>
      </c>
      <c r="N49" s="47">
        <f t="shared" si="131"/>
        <v>0</v>
      </c>
    </row>
    <row r="50" spans="1:14" x14ac:dyDescent="0.2">
      <c r="A50" s="46" t="s">
        <v>133</v>
      </c>
      <c r="B50" s="47">
        <f t="shared" ref="B50:H50" si="132">+IFERROR(B48/B$21,"nm")</f>
        <v>4.599708879184862E-2</v>
      </c>
      <c r="C50" s="47">
        <f t="shared" si="132"/>
        <v>5.0257382823083174E-2</v>
      </c>
      <c r="D50" s="47">
        <f t="shared" si="132"/>
        <v>5.3824921135646686E-2</v>
      </c>
      <c r="E50" s="47">
        <f t="shared" si="132"/>
        <v>5.7085156512958597E-2</v>
      </c>
      <c r="F50" s="47">
        <f t="shared" si="132"/>
        <v>5.1188529744686205E-2</v>
      </c>
      <c r="G50" s="47">
        <f t="shared" si="132"/>
        <v>4.4531897265948632E-2</v>
      </c>
      <c r="H50" s="47">
        <f t="shared" si="132"/>
        <v>3.5915943884975841E-2</v>
      </c>
      <c r="I50" s="47">
        <f>+IFERROR(I48/I$21,"nm")</f>
        <v>3.4817196098730456E-2</v>
      </c>
      <c r="J50" s="49">
        <f>J48/J21</f>
        <v>3.4817196098730456E-2</v>
      </c>
      <c r="K50" s="49">
        <f t="shared" ref="K50:N50" si="133">K48/K21</f>
        <v>3.4817196098730456E-2</v>
      </c>
      <c r="L50" s="49">
        <f t="shared" si="133"/>
        <v>3.4817196098730456E-2</v>
      </c>
      <c r="M50" s="49">
        <f t="shared" si="133"/>
        <v>3.4817196098730456E-2</v>
      </c>
      <c r="N50" s="49">
        <f t="shared" si="133"/>
        <v>3.4817196098730456E-2</v>
      </c>
    </row>
    <row r="51" spans="1:14" x14ac:dyDescent="0.2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4" spans="1:14" x14ac:dyDescent="0.2">
      <c r="A54" t="s">
        <v>155</v>
      </c>
      <c r="B54">
        <f>2384</f>
        <v>2384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Petros Leras</cp:lastModifiedBy>
  <dcterms:created xsi:type="dcterms:W3CDTF">2020-05-20T17:26:08Z</dcterms:created>
  <dcterms:modified xsi:type="dcterms:W3CDTF">2024-11-23T20:21:32Z</dcterms:modified>
</cp:coreProperties>
</file>