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petrosleras/Desktop/QCP/task10/"/>
    </mc:Choice>
  </mc:AlternateContent>
  <xr:revisionPtr revIDLastSave="0" documentId="13_ncr:1_{C20EE292-8618-694B-BD21-6A175FE7B697}" xr6:coauthVersionLast="47" xr6:coauthVersionMax="47" xr10:uidLastSave="{00000000-0000-0000-0000-000000000000}"/>
  <bookViews>
    <workbookView xWindow="160" yWindow="13860" windowWidth="68480" windowHeight="130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K56" i="4" s="1"/>
  <c r="L56" i="4" s="1"/>
  <c r="M56" i="4" s="1"/>
  <c r="N56" i="4" s="1"/>
  <c r="J57" i="4"/>
  <c r="K57" i="4" s="1"/>
  <c r="L57" i="4" s="1"/>
  <c r="M57" i="4" s="1"/>
  <c r="N57" i="4" s="1"/>
  <c r="J58" i="4"/>
  <c r="K58" i="4" s="1"/>
  <c r="L58" i="4" s="1"/>
  <c r="M58" i="4" s="1"/>
  <c r="N58" i="4" s="1"/>
  <c r="J59" i="4"/>
  <c r="K59" i="4"/>
  <c r="L59" i="4"/>
  <c r="M59" i="4"/>
  <c r="N59" i="4"/>
  <c r="J60" i="4"/>
  <c r="K60" i="4" s="1"/>
  <c r="L60" i="4" s="1"/>
  <c r="M60" i="4" s="1"/>
  <c r="N60" i="4" s="1"/>
  <c r="J61" i="4"/>
  <c r="K61" i="4"/>
  <c r="L61" i="4"/>
  <c r="M61" i="4"/>
  <c r="N61" i="4"/>
  <c r="J62" i="4"/>
  <c r="K62" i="4" s="1"/>
  <c r="L62" i="4" s="1"/>
  <c r="M62" i="4" s="1"/>
  <c r="N62" i="4" s="1"/>
  <c r="J63" i="4"/>
  <c r="K63" i="4"/>
  <c r="L63" i="4"/>
  <c r="M63" i="4"/>
  <c r="N63" i="4"/>
  <c r="J64" i="4"/>
  <c r="K64" i="4" s="1"/>
  <c r="L64" i="4" s="1"/>
  <c r="M64" i="4" s="1"/>
  <c r="N64" i="4" s="1"/>
  <c r="J65" i="4"/>
  <c r="K65" i="4"/>
  <c r="L65" i="4"/>
  <c r="M65" i="4"/>
  <c r="N65" i="4"/>
  <c r="J66" i="4"/>
  <c r="K66" i="4" s="1"/>
  <c r="L66" i="4" s="1"/>
  <c r="M66" i="4" s="1"/>
  <c r="N66" i="4" s="1"/>
  <c r="J67" i="4"/>
  <c r="K67" i="4"/>
  <c r="L67" i="4"/>
  <c r="M67" i="4"/>
  <c r="N67" i="4"/>
  <c r="J68" i="4"/>
  <c r="K68" i="4" s="1"/>
  <c r="L68" i="4" s="1"/>
  <c r="M68" i="4" s="1"/>
  <c r="N68" i="4" s="1"/>
  <c r="J69" i="4"/>
  <c r="K69" i="4"/>
  <c r="L69" i="4"/>
  <c r="M69" i="4"/>
  <c r="N69" i="4"/>
  <c r="K55" i="4"/>
  <c r="L55" i="4"/>
  <c r="M55" i="4" s="1"/>
  <c r="N55" i="4" s="1"/>
  <c r="J55" i="4"/>
  <c r="K52" i="4"/>
  <c r="L52" i="4" s="1"/>
  <c r="M52" i="4" s="1"/>
  <c r="N52" i="4" s="1"/>
  <c r="J52" i="4"/>
  <c r="K53" i="4"/>
  <c r="L53" i="4" s="1"/>
  <c r="M53" i="4" s="1"/>
  <c r="N53" i="4" s="1"/>
  <c r="J53" i="4"/>
  <c r="J44" i="4"/>
  <c r="K44" i="4" s="1"/>
  <c r="L44" i="4" s="1"/>
  <c r="M44" i="4" s="1"/>
  <c r="N44" i="4" s="1"/>
  <c r="J45" i="4"/>
  <c r="K45" i="4" s="1"/>
  <c r="L45" i="4" s="1"/>
  <c r="M45" i="4" s="1"/>
  <c r="N45" i="4" s="1"/>
  <c r="J46" i="4"/>
  <c r="K46" i="4" s="1"/>
  <c r="L46" i="4" s="1"/>
  <c r="M46" i="4" s="1"/>
  <c r="N46" i="4" s="1"/>
  <c r="J47" i="4"/>
  <c r="K47" i="4"/>
  <c r="L47" i="4"/>
  <c r="M47" i="4" s="1"/>
  <c r="N47" i="4" s="1"/>
  <c r="J48" i="4"/>
  <c r="K48" i="4" s="1"/>
  <c r="L48" i="4" s="1"/>
  <c r="M48" i="4" s="1"/>
  <c r="N48" i="4" s="1"/>
  <c r="J49" i="4"/>
  <c r="K49" i="4"/>
  <c r="L49" i="4"/>
  <c r="M49" i="4"/>
  <c r="N49" i="4"/>
  <c r="J50" i="4"/>
  <c r="K50" i="4" s="1"/>
  <c r="L50" i="4" s="1"/>
  <c r="M50" i="4" s="1"/>
  <c r="N50" i="4" s="1"/>
  <c r="J51" i="4"/>
  <c r="K51" i="4"/>
  <c r="L51" i="4"/>
  <c r="M51" i="4"/>
  <c r="N51" i="4"/>
  <c r="K33" i="4"/>
  <c r="L33" i="4" s="1"/>
  <c r="M33" i="4" s="1"/>
  <c r="N33" i="4" s="1"/>
  <c r="K34" i="4"/>
  <c r="L34" i="4"/>
  <c r="M34" i="4"/>
  <c r="N34" i="4"/>
  <c r="K35" i="4"/>
  <c r="L35" i="4"/>
  <c r="M35" i="4" s="1"/>
  <c r="N35" i="4" s="1"/>
  <c r="K36" i="4"/>
  <c r="L36" i="4" s="1"/>
  <c r="M36" i="4" s="1"/>
  <c r="N36" i="4" s="1"/>
  <c r="K37" i="4"/>
  <c r="L37" i="4"/>
  <c r="M37" i="4"/>
  <c r="N37" i="4"/>
  <c r="K38" i="4"/>
  <c r="L38" i="4" s="1"/>
  <c r="M38" i="4" s="1"/>
  <c r="N38" i="4" s="1"/>
  <c r="K39" i="4"/>
  <c r="L39" i="4"/>
  <c r="M39" i="4"/>
  <c r="N39" i="4"/>
  <c r="K40" i="4"/>
  <c r="L40" i="4"/>
  <c r="M40" i="4" s="1"/>
  <c r="N40" i="4" s="1"/>
  <c r="K41" i="4"/>
  <c r="L41" i="4" s="1"/>
  <c r="M41" i="4" s="1"/>
  <c r="N41" i="4" s="1"/>
  <c r="K42" i="4"/>
  <c r="L42" i="4"/>
  <c r="M42" i="4"/>
  <c r="N42" i="4"/>
  <c r="K43" i="4"/>
  <c r="L43" i="4" s="1"/>
  <c r="M43" i="4" s="1"/>
  <c r="N43" i="4" s="1"/>
  <c r="J34" i="4"/>
  <c r="J35" i="4"/>
  <c r="J36" i="4"/>
  <c r="J37" i="4"/>
  <c r="J38" i="4"/>
  <c r="J39" i="4"/>
  <c r="J40" i="4"/>
  <c r="J41" i="4"/>
  <c r="J42" i="4"/>
  <c r="J43" i="4"/>
  <c r="J33" i="4"/>
  <c r="K31" i="4"/>
  <c r="L31" i="4" s="1"/>
  <c r="M31" i="4" s="1"/>
  <c r="N31" i="4" s="1"/>
  <c r="J31" i="4"/>
  <c r="K26" i="4"/>
  <c r="L26" i="4" s="1"/>
  <c r="M26" i="4" s="1"/>
  <c r="N26" i="4" s="1"/>
  <c r="K27" i="4"/>
  <c r="L27" i="4"/>
  <c r="M27" i="4"/>
  <c r="N27" i="4"/>
  <c r="K28" i="4"/>
  <c r="L28" i="4"/>
  <c r="M28" i="4" s="1"/>
  <c r="N28" i="4" s="1"/>
  <c r="K29" i="4"/>
  <c r="L29" i="4" s="1"/>
  <c r="M29" i="4" s="1"/>
  <c r="N29" i="4" s="1"/>
  <c r="K30" i="4"/>
  <c r="L30" i="4"/>
  <c r="M30" i="4"/>
  <c r="N30" i="4"/>
  <c r="J27" i="4"/>
  <c r="J28" i="4"/>
  <c r="J29" i="4"/>
  <c r="J30" i="4"/>
  <c r="J26" i="4"/>
  <c r="K24" i="4"/>
  <c r="L24" i="4"/>
  <c r="M24" i="4"/>
  <c r="N24" i="4"/>
  <c r="J24" i="4"/>
  <c r="K23" i="4"/>
  <c r="L23" i="4"/>
  <c r="M23" i="4"/>
  <c r="N23" i="4"/>
  <c r="J22" i="4"/>
  <c r="J23" i="4"/>
  <c r="K21" i="4"/>
  <c r="L21" i="4" s="1"/>
  <c r="M21" i="4" s="1"/>
  <c r="N21" i="4" s="1"/>
  <c r="J21" i="4"/>
  <c r="K19" i="4"/>
  <c r="L19" i="4" s="1"/>
  <c r="M19" i="4" s="1"/>
  <c r="N19" i="4" s="1"/>
  <c r="J19" i="4"/>
  <c r="K18" i="4"/>
  <c r="L18" i="4" s="1"/>
  <c r="M18" i="4" s="1"/>
  <c r="N18" i="4" s="1"/>
  <c r="J18" i="4"/>
  <c r="K17" i="4"/>
  <c r="L17" i="4" s="1"/>
  <c r="M17" i="4" s="1"/>
  <c r="N17" i="4" s="1"/>
  <c r="J17" i="4"/>
  <c r="K16" i="4"/>
  <c r="L16" i="4" s="1"/>
  <c r="M16" i="4" s="1"/>
  <c r="N16" i="4" s="1"/>
  <c r="J16" i="4"/>
  <c r="K15" i="4"/>
  <c r="L15" i="4"/>
  <c r="M15" i="4"/>
  <c r="N15" i="4" s="1"/>
  <c r="J15" i="4"/>
  <c r="K14" i="4"/>
  <c r="L14" i="4" s="1"/>
  <c r="M14" i="4" s="1"/>
  <c r="N14" i="4" s="1"/>
  <c r="J14" i="4"/>
  <c r="K13" i="4"/>
  <c r="L13" i="4"/>
  <c r="M13" i="4" s="1"/>
  <c r="N13" i="4" s="1"/>
  <c r="J13" i="4"/>
  <c r="K12" i="4"/>
  <c r="L12" i="4" s="1"/>
  <c r="M12" i="4" s="1"/>
  <c r="N12" i="4" s="1"/>
  <c r="J12" i="4"/>
  <c r="K10" i="4"/>
  <c r="L10" i="4" s="1"/>
  <c r="M10" i="4" s="1"/>
  <c r="N10" i="4" s="1"/>
  <c r="J10" i="4"/>
  <c r="K11" i="4"/>
  <c r="L11" i="4" s="1"/>
  <c r="M11" i="4" s="1"/>
  <c r="N11" i="4" s="1"/>
  <c r="J11" i="4"/>
  <c r="J3" i="4"/>
  <c r="C69" i="4"/>
  <c r="D69" i="4"/>
  <c r="E69" i="4"/>
  <c r="F69" i="4"/>
  <c r="G69" i="4"/>
  <c r="H69" i="4"/>
  <c r="I69" i="4"/>
  <c r="B69" i="4"/>
  <c r="C67" i="4"/>
  <c r="D67" i="4"/>
  <c r="E67" i="4"/>
  <c r="F67" i="4"/>
  <c r="G67" i="4"/>
  <c r="H67" i="4"/>
  <c r="I67" i="4"/>
  <c r="B67" i="4"/>
  <c r="C68" i="4"/>
  <c r="D68" i="4"/>
  <c r="E68" i="4"/>
  <c r="F68" i="4"/>
  <c r="G68" i="4"/>
  <c r="H68" i="4"/>
  <c r="I68" i="4"/>
  <c r="B68" i="4"/>
  <c r="D91" i="1"/>
  <c r="D90" i="1"/>
  <c r="C90" i="1"/>
  <c r="F89" i="1"/>
  <c r="F59" i="4" s="1"/>
  <c r="G88" i="1"/>
  <c r="F88" i="1"/>
  <c r="C64" i="4"/>
  <c r="C66" i="4" s="1"/>
  <c r="E64" i="4"/>
  <c r="E66" i="4" s="1"/>
  <c r="G66" i="4"/>
  <c r="H66" i="4"/>
  <c r="I66" i="4"/>
  <c r="B66" i="4"/>
  <c r="D64" i="4"/>
  <c r="D66" i="4" s="1"/>
  <c r="F64" i="4"/>
  <c r="F66" i="4" s="1"/>
  <c r="G64" i="4"/>
  <c r="H64" i="4"/>
  <c r="I64" i="4"/>
  <c r="B64" i="4"/>
  <c r="G87" i="1"/>
  <c r="F87" i="1"/>
  <c r="E87" i="1"/>
  <c r="B87" i="1"/>
  <c r="B85" i="1"/>
  <c r="C85" i="1"/>
  <c r="C61" i="4"/>
  <c r="D61" i="4"/>
  <c r="E61" i="4"/>
  <c r="F61" i="4"/>
  <c r="G61" i="4"/>
  <c r="H61" i="4"/>
  <c r="I61" i="4"/>
  <c r="B61" i="4"/>
  <c r="C59" i="4"/>
  <c r="D59" i="4"/>
  <c r="E59" i="4"/>
  <c r="G59" i="4"/>
  <c r="H59" i="4"/>
  <c r="I59" i="4"/>
  <c r="B59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51" i="4"/>
  <c r="D51" i="4"/>
  <c r="E51" i="4"/>
  <c r="F51" i="4"/>
  <c r="G51" i="4"/>
  <c r="H51" i="4"/>
  <c r="I51" i="4"/>
  <c r="I52" i="4"/>
  <c r="H52" i="4"/>
  <c r="G52" i="4"/>
  <c r="F52" i="4"/>
  <c r="E52" i="4"/>
  <c r="D52" i="4"/>
  <c r="C52" i="4"/>
  <c r="B52" i="4"/>
  <c r="B53" i="4" s="1"/>
  <c r="C43" i="4" l="1"/>
  <c r="D43" i="4"/>
  <c r="E43" i="4"/>
  <c r="F43" i="4"/>
  <c r="G43" i="4"/>
  <c r="H43" i="4"/>
  <c r="I43" i="4"/>
  <c r="B43" i="4"/>
  <c r="I35" i="4"/>
  <c r="H35" i="4"/>
  <c r="G35" i="4"/>
  <c r="F35" i="4"/>
  <c r="E35" i="4"/>
  <c r="D35" i="4"/>
  <c r="E37" i="4"/>
  <c r="C35" i="4"/>
  <c r="B35" i="4"/>
  <c r="B39" i="4"/>
  <c r="B42" i="4" s="1"/>
  <c r="C41" i="4"/>
  <c r="D41" i="4"/>
  <c r="E41" i="4"/>
  <c r="F41" i="4"/>
  <c r="G41" i="4"/>
  <c r="H41" i="4"/>
  <c r="I41" i="4"/>
  <c r="B41" i="4"/>
  <c r="C39" i="4"/>
  <c r="D39" i="4"/>
  <c r="E39" i="4"/>
  <c r="F39" i="4"/>
  <c r="G39" i="4"/>
  <c r="H39" i="4"/>
  <c r="H42" i="4" s="1"/>
  <c r="I39" i="4"/>
  <c r="C37" i="4"/>
  <c r="D37" i="4"/>
  <c r="F37" i="4"/>
  <c r="G37" i="4"/>
  <c r="H37" i="4"/>
  <c r="I37" i="4"/>
  <c r="B37" i="4"/>
  <c r="C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F31" i="4"/>
  <c r="G31" i="4"/>
  <c r="H31" i="4"/>
  <c r="I31" i="4"/>
  <c r="B31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E19" i="4"/>
  <c r="F19" i="4"/>
  <c r="G19" i="4"/>
  <c r="H19" i="4"/>
  <c r="I19" i="4"/>
  <c r="B19" i="4"/>
  <c r="C17" i="4"/>
  <c r="D17" i="4"/>
  <c r="E17" i="4"/>
  <c r="F17" i="4"/>
  <c r="G17" i="4"/>
  <c r="H17" i="4"/>
  <c r="I17" i="4"/>
  <c r="B17" i="4"/>
  <c r="B16" i="4"/>
  <c r="C16" i="4"/>
  <c r="D16" i="4"/>
  <c r="D18" i="4" s="1"/>
  <c r="E16" i="4"/>
  <c r="E18" i="4" s="1"/>
  <c r="F16" i="4"/>
  <c r="G16" i="4"/>
  <c r="H16" i="4"/>
  <c r="H18" i="4" s="1"/>
  <c r="I16" i="4"/>
  <c r="I18" i="4" s="1"/>
  <c r="F42" i="4" l="1"/>
  <c r="I42" i="4"/>
  <c r="E42" i="4"/>
  <c r="H30" i="4"/>
  <c r="D42" i="4"/>
  <c r="E30" i="4"/>
  <c r="C30" i="4"/>
  <c r="G30" i="4"/>
  <c r="C42" i="4"/>
  <c r="G42" i="4"/>
  <c r="I30" i="4"/>
  <c r="C18" i="4"/>
  <c r="D30" i="4"/>
  <c r="B30" i="4"/>
  <c r="F30" i="4"/>
  <c r="F18" i="4"/>
  <c r="G18" i="4"/>
  <c r="C15" i="4"/>
  <c r="D15" i="4"/>
  <c r="E15" i="4"/>
  <c r="F15" i="4"/>
  <c r="G15" i="4"/>
  <c r="H15" i="4"/>
  <c r="I15" i="4"/>
  <c r="B15" i="4"/>
  <c r="C14" i="4"/>
  <c r="D14" i="4"/>
  <c r="E14" i="4"/>
  <c r="F14" i="4"/>
  <c r="G14" i="4"/>
  <c r="H14" i="4"/>
  <c r="I14" i="4"/>
  <c r="B14" i="4"/>
  <c r="C12" i="4"/>
  <c r="C48" i="4" s="1"/>
  <c r="D12" i="4"/>
  <c r="D48" i="4" s="1"/>
  <c r="E12" i="4"/>
  <c r="E48" i="4" s="1"/>
  <c r="F12" i="4"/>
  <c r="F48" i="4" s="1"/>
  <c r="G12" i="4"/>
  <c r="G48" i="4" s="1"/>
  <c r="H12" i="4"/>
  <c r="H48" i="4" s="1"/>
  <c r="I12" i="4"/>
  <c r="I48" i="4" s="1"/>
  <c r="B12" i="4"/>
  <c r="B48" i="4" s="1"/>
  <c r="C10" i="4"/>
  <c r="C50" i="4" s="1"/>
  <c r="D10" i="4"/>
  <c r="D50" i="4" s="1"/>
  <c r="E10" i="4"/>
  <c r="E50" i="4" s="1"/>
  <c r="F10" i="4"/>
  <c r="F50" i="4" s="1"/>
  <c r="G10" i="4"/>
  <c r="G50" i="4" s="1"/>
  <c r="H10" i="4"/>
  <c r="H50" i="4" s="1"/>
  <c r="I10" i="4"/>
  <c r="I50" i="4" s="1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B46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I47" i="4" s="1"/>
  <c r="J6" i="4"/>
  <c r="K6" i="4"/>
  <c r="L6" i="4"/>
  <c r="M6" i="4"/>
  <c r="N6" i="4"/>
  <c r="B6" i="4"/>
  <c r="B47" i="4" s="1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C3" i="4"/>
  <c r="C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K3" i="4"/>
  <c r="L3" i="4"/>
  <c r="M3" i="4"/>
  <c r="N3" i="4"/>
  <c r="B3" i="4"/>
  <c r="B24" i="4" s="1"/>
  <c r="I48" i="3"/>
  <c r="J48" i="3" s="1"/>
  <c r="H48" i="3"/>
  <c r="H50" i="3" s="1"/>
  <c r="G48" i="3"/>
  <c r="F48" i="3"/>
  <c r="E48" i="3"/>
  <c r="D48" i="3"/>
  <c r="D50" i="3" s="1"/>
  <c r="C48" i="3"/>
  <c r="C49" i="3" s="1"/>
  <c r="B48" i="3"/>
  <c r="B49" i="3" s="1"/>
  <c r="I46" i="3"/>
  <c r="I45" i="3"/>
  <c r="J45" i="3" s="1"/>
  <c r="H45" i="3"/>
  <c r="H47" i="3" s="1"/>
  <c r="G45" i="3"/>
  <c r="G47" i="3" s="1"/>
  <c r="F45" i="3"/>
  <c r="F47" i="3" s="1"/>
  <c r="E45" i="3"/>
  <c r="E47" i="3" s="1"/>
  <c r="D45" i="3"/>
  <c r="C45" i="3"/>
  <c r="C47" i="3" s="1"/>
  <c r="B45" i="3"/>
  <c r="I43" i="3"/>
  <c r="H43" i="3"/>
  <c r="G43" i="3"/>
  <c r="J42" i="3"/>
  <c r="J43" i="3" s="1"/>
  <c r="I42" i="3"/>
  <c r="H42" i="3"/>
  <c r="H44" i="3" s="1"/>
  <c r="G42" i="3"/>
  <c r="F42" i="3"/>
  <c r="E42" i="3"/>
  <c r="D42" i="3"/>
  <c r="D44" i="3" s="1"/>
  <c r="C42" i="3"/>
  <c r="B42" i="3"/>
  <c r="B44" i="3" s="1"/>
  <c r="H41" i="3"/>
  <c r="G41" i="3"/>
  <c r="H40" i="3"/>
  <c r="G40" i="3"/>
  <c r="F40" i="3"/>
  <c r="I38" i="3"/>
  <c r="J38" i="3" s="1"/>
  <c r="H38" i="3"/>
  <c r="G38" i="3"/>
  <c r="G39" i="3" s="1"/>
  <c r="F38" i="3"/>
  <c r="E38" i="3"/>
  <c r="D38" i="3"/>
  <c r="C38" i="3"/>
  <c r="C41" i="3" s="1"/>
  <c r="B38" i="3"/>
  <c r="B39" i="3" s="1"/>
  <c r="H35" i="3"/>
  <c r="H37" i="3" s="1"/>
  <c r="N34" i="3"/>
  <c r="M34" i="3"/>
  <c r="L34" i="3"/>
  <c r="K34" i="3"/>
  <c r="J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B32" i="3"/>
  <c r="B34" i="3" s="1"/>
  <c r="J31" i="3"/>
  <c r="K31" i="3" s="1"/>
  <c r="I31" i="3"/>
  <c r="H31" i="3"/>
  <c r="H32" i="3" s="1"/>
  <c r="G31" i="3"/>
  <c r="G32" i="3" s="1"/>
  <c r="F31" i="3"/>
  <c r="E31" i="3"/>
  <c r="D31" i="3"/>
  <c r="C31" i="3"/>
  <c r="B31" i="3"/>
  <c r="N30" i="3"/>
  <c r="M30" i="3"/>
  <c r="L30" i="3"/>
  <c r="K30" i="3"/>
  <c r="J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D28" i="3"/>
  <c r="D30" i="3" s="1"/>
  <c r="C28" i="3"/>
  <c r="C30" i="3" s="1"/>
  <c r="B28" i="3"/>
  <c r="B30" i="3" s="1"/>
  <c r="I27" i="3"/>
  <c r="I28" i="3" s="1"/>
  <c r="I30" i="3" s="1"/>
  <c r="H27" i="3"/>
  <c r="H28" i="3" s="1"/>
  <c r="G27" i="3"/>
  <c r="G28" i="3" s="1"/>
  <c r="F27" i="3"/>
  <c r="F28" i="3" s="1"/>
  <c r="E27" i="3"/>
  <c r="D27" i="3"/>
  <c r="C27" i="3"/>
  <c r="B27" i="3"/>
  <c r="I25" i="3"/>
  <c r="H25" i="3"/>
  <c r="G25" i="3"/>
  <c r="F25" i="3"/>
  <c r="E25" i="3"/>
  <c r="D25" i="3"/>
  <c r="C25" i="3"/>
  <c r="B25" i="3"/>
  <c r="F24" i="3"/>
  <c r="F26" i="3" s="1"/>
  <c r="E24" i="3"/>
  <c r="E26" i="3" s="1"/>
  <c r="D24" i="3"/>
  <c r="D26" i="3" s="1"/>
  <c r="I23" i="3"/>
  <c r="H23" i="3"/>
  <c r="H24" i="3" s="1"/>
  <c r="H26" i="3" s="1"/>
  <c r="G23" i="3"/>
  <c r="G24" i="3" s="1"/>
  <c r="F23" i="3"/>
  <c r="E23" i="3"/>
  <c r="D23" i="3"/>
  <c r="C23" i="3"/>
  <c r="B23" i="3"/>
  <c r="B24" i="3" s="1"/>
  <c r="B26" i="3" s="1"/>
  <c r="B22" i="3"/>
  <c r="I21" i="3"/>
  <c r="I50" i="3" s="1"/>
  <c r="H21" i="3"/>
  <c r="H22" i="3" s="1"/>
  <c r="G21" i="3"/>
  <c r="G22" i="3" s="1"/>
  <c r="F21" i="3"/>
  <c r="F44" i="3" s="1"/>
  <c r="E21" i="3"/>
  <c r="D21" i="3"/>
  <c r="C21" i="3"/>
  <c r="B21" i="3"/>
  <c r="I19" i="3"/>
  <c r="H19" i="3"/>
  <c r="G19" i="3"/>
  <c r="I17" i="3"/>
  <c r="J17" i="3" s="1"/>
  <c r="H17" i="3"/>
  <c r="H18" i="3" s="1"/>
  <c r="G17" i="3"/>
  <c r="F17" i="3"/>
  <c r="E17" i="3"/>
  <c r="D17" i="3"/>
  <c r="D19" i="3" s="1"/>
  <c r="C17" i="3"/>
  <c r="C19" i="3" s="1"/>
  <c r="B17" i="3"/>
  <c r="B18" i="3" s="1"/>
  <c r="B15" i="3"/>
  <c r="N14" i="3"/>
  <c r="N15" i="3" s="1"/>
  <c r="M14" i="3"/>
  <c r="L14" i="3"/>
  <c r="K14" i="3"/>
  <c r="K15" i="3" s="1"/>
  <c r="J14" i="3"/>
  <c r="J16" i="3" s="1"/>
  <c r="I14" i="3"/>
  <c r="I16" i="3" s="1"/>
  <c r="H14" i="3"/>
  <c r="H16" i="3" s="1"/>
  <c r="G14" i="3"/>
  <c r="F14" i="3"/>
  <c r="E14" i="3"/>
  <c r="E16" i="3" s="1"/>
  <c r="D14" i="3"/>
  <c r="D16" i="3" s="1"/>
  <c r="C14" i="3"/>
  <c r="C16" i="3" s="1"/>
  <c r="B14" i="3"/>
  <c r="B16" i="3" s="1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J11" i="3"/>
  <c r="K11" i="3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K8" i="3"/>
  <c r="K9" i="3" s="1"/>
  <c r="J8" i="3"/>
  <c r="J10" i="3" s="1"/>
  <c r="I7" i="3"/>
  <c r="H7" i="3"/>
  <c r="G7" i="3"/>
  <c r="F7" i="3"/>
  <c r="E7" i="3"/>
  <c r="I6" i="3"/>
  <c r="H6" i="3"/>
  <c r="I5" i="3"/>
  <c r="J5" i="3" s="1"/>
  <c r="H5" i="3"/>
  <c r="G5" i="3"/>
  <c r="G6" i="3" s="1"/>
  <c r="F5" i="3"/>
  <c r="F6" i="3" s="1"/>
  <c r="E5" i="3"/>
  <c r="E6" i="3" s="1"/>
  <c r="D5" i="3"/>
  <c r="D7" i="3" s="1"/>
  <c r="C5" i="3"/>
  <c r="C6" i="3" s="1"/>
  <c r="B5" i="3"/>
  <c r="B6" i="3" s="1"/>
  <c r="I4" i="3"/>
  <c r="H4" i="3"/>
  <c r="G4" i="3"/>
  <c r="F4" i="3"/>
  <c r="E4" i="3"/>
  <c r="D4" i="3"/>
  <c r="C4" i="3"/>
  <c r="B4" i="3"/>
  <c r="B4" i="4" s="1"/>
  <c r="J3" i="3"/>
  <c r="J4" i="3" s="1"/>
  <c r="H202" i="1"/>
  <c r="G202" i="1"/>
  <c r="F202" i="1"/>
  <c r="E202" i="1"/>
  <c r="D202" i="1"/>
  <c r="C202" i="1"/>
  <c r="B200" i="1"/>
  <c r="B199" i="1"/>
  <c r="B198" i="1"/>
  <c r="H197" i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K45" i="3" l="1"/>
  <c r="K46" i="3" s="1"/>
  <c r="J46" i="3"/>
  <c r="F18" i="3"/>
  <c r="F49" i="3"/>
  <c r="C43" i="3"/>
  <c r="F19" i="3"/>
  <c r="G26" i="3"/>
  <c r="H30" i="3"/>
  <c r="F41" i="3"/>
  <c r="I35" i="3"/>
  <c r="B47" i="3"/>
  <c r="H46" i="3"/>
  <c r="J21" i="3"/>
  <c r="E18" i="3"/>
  <c r="D46" i="3"/>
  <c r="G49" i="3"/>
  <c r="G15" i="3"/>
  <c r="D32" i="3"/>
  <c r="D34" i="3" s="1"/>
  <c r="D40" i="3"/>
  <c r="E43" i="3"/>
  <c r="E44" i="3"/>
  <c r="G16" i="3"/>
  <c r="E22" i="3"/>
  <c r="E28" i="3"/>
  <c r="E30" i="3" s="1"/>
  <c r="F32" i="3"/>
  <c r="F34" i="3" s="1"/>
  <c r="E35" i="3"/>
  <c r="E36" i="3" s="1"/>
  <c r="G44" i="3"/>
  <c r="I47" i="3"/>
  <c r="I49" i="3"/>
  <c r="I39" i="3"/>
  <c r="E49" i="3"/>
  <c r="J32" i="3"/>
  <c r="F15" i="3"/>
  <c r="D43" i="3"/>
  <c r="F16" i="3"/>
  <c r="D22" i="3"/>
  <c r="E32" i="3"/>
  <c r="E34" i="3" s="1"/>
  <c r="I40" i="3"/>
  <c r="I18" i="3"/>
  <c r="F30" i="3"/>
  <c r="G34" i="3"/>
  <c r="F39" i="3"/>
  <c r="D41" i="3"/>
  <c r="F50" i="3"/>
  <c r="D15" i="3"/>
  <c r="I24" i="3"/>
  <c r="I26" i="3" s="1"/>
  <c r="E46" i="3"/>
  <c r="G18" i="3"/>
  <c r="C32" i="3"/>
  <c r="C34" i="3" s="1"/>
  <c r="F46" i="3"/>
  <c r="C22" i="3"/>
  <c r="C40" i="3"/>
  <c r="E19" i="3"/>
  <c r="G30" i="3"/>
  <c r="H34" i="3"/>
  <c r="E41" i="3"/>
  <c r="I44" i="3"/>
  <c r="G50" i="3"/>
  <c r="E46" i="4"/>
  <c r="E49" i="4"/>
  <c r="E53" i="4" s="1"/>
  <c r="D46" i="4"/>
  <c r="D49" i="4"/>
  <c r="D53" i="4" s="1"/>
  <c r="I11" i="4"/>
  <c r="I13" i="4" s="1"/>
  <c r="I49" i="4"/>
  <c r="I53" i="4" s="1"/>
  <c r="I46" i="4"/>
  <c r="C46" i="4"/>
  <c r="C49" i="4"/>
  <c r="C53" i="4" s="1"/>
  <c r="F46" i="4"/>
  <c r="F49" i="4"/>
  <c r="F53" i="4" s="1"/>
  <c r="B50" i="4"/>
  <c r="B49" i="4"/>
  <c r="H49" i="4"/>
  <c r="H53" i="4" s="1"/>
  <c r="H46" i="4"/>
  <c r="G49" i="4"/>
  <c r="G53" i="4" s="1"/>
  <c r="G46" i="4"/>
  <c r="I15" i="3"/>
  <c r="H15" i="3"/>
  <c r="E15" i="3"/>
  <c r="F11" i="4"/>
  <c r="F13" i="4" s="1"/>
  <c r="D11" i="4"/>
  <c r="E11" i="4"/>
  <c r="C11" i="4"/>
  <c r="D13" i="4"/>
  <c r="H11" i="4"/>
  <c r="H13" i="4" s="1"/>
  <c r="G11" i="4"/>
  <c r="G13" i="4" s="1"/>
  <c r="B11" i="4"/>
  <c r="B13" i="4" s="1"/>
  <c r="C13" i="4"/>
  <c r="E13" i="4"/>
  <c r="K48" i="3"/>
  <c r="J49" i="3"/>
  <c r="I36" i="3"/>
  <c r="I37" i="3"/>
  <c r="J35" i="3"/>
  <c r="L31" i="3"/>
  <c r="K32" i="3"/>
  <c r="J39" i="3"/>
  <c r="J41" i="3"/>
  <c r="J40" i="3"/>
  <c r="K38" i="3"/>
  <c r="L45" i="3"/>
  <c r="C35" i="3"/>
  <c r="I22" i="3"/>
  <c r="C24" i="3"/>
  <c r="C26" i="3" s="1"/>
  <c r="I32" i="3"/>
  <c r="I34" i="3" s="1"/>
  <c r="H39" i="3"/>
  <c r="E40" i="3"/>
  <c r="B41" i="3"/>
  <c r="F43" i="3"/>
  <c r="C44" i="3"/>
  <c r="G46" i="3"/>
  <c r="D47" i="3"/>
  <c r="H49" i="3"/>
  <c r="E50" i="3"/>
  <c r="F35" i="3"/>
  <c r="J27" i="3"/>
  <c r="F22" i="3"/>
  <c r="G35" i="3"/>
  <c r="E39" i="3"/>
  <c r="B40" i="3"/>
  <c r="I41" i="3"/>
  <c r="J44" i="3"/>
  <c r="B50" i="3"/>
  <c r="D35" i="3"/>
  <c r="C39" i="3"/>
  <c r="B46" i="3"/>
  <c r="D39" i="3"/>
  <c r="B43" i="3"/>
  <c r="C46" i="3"/>
  <c r="C50" i="3"/>
  <c r="B35" i="3"/>
  <c r="K42" i="3"/>
  <c r="J23" i="3"/>
  <c r="D49" i="3"/>
  <c r="J18" i="3"/>
  <c r="J19" i="3"/>
  <c r="K17" i="3"/>
  <c r="K13" i="3"/>
  <c r="K12" i="3"/>
  <c r="L11" i="3"/>
  <c r="J6" i="3"/>
  <c r="J7" i="3"/>
  <c r="K5" i="3"/>
  <c r="J9" i="3"/>
  <c r="J15" i="3"/>
  <c r="L15" i="3"/>
  <c r="C18" i="3"/>
  <c r="B7" i="3"/>
  <c r="K10" i="3"/>
  <c r="J13" i="3"/>
  <c r="K16" i="3"/>
  <c r="B19" i="3"/>
  <c r="L8" i="3"/>
  <c r="K3" i="3"/>
  <c r="J12" i="3"/>
  <c r="C15" i="3"/>
  <c r="M15" i="3"/>
  <c r="D18" i="3"/>
  <c r="C7" i="3"/>
  <c r="D6" i="3"/>
  <c r="G174" i="1"/>
  <c r="F174" i="1"/>
  <c r="E174" i="1"/>
  <c r="D174" i="1"/>
  <c r="C174" i="1"/>
  <c r="B174" i="1"/>
  <c r="G173" i="1"/>
  <c r="F173" i="1"/>
  <c r="E173" i="1"/>
  <c r="D173" i="1"/>
  <c r="C173" i="1"/>
  <c r="B173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G172" i="1" s="1"/>
  <c r="G175" i="1" s="1"/>
  <c r="F167" i="1"/>
  <c r="F172" i="1" s="1"/>
  <c r="F175" i="1" s="1"/>
  <c r="E167" i="1"/>
  <c r="E172" i="1" s="1"/>
  <c r="E175" i="1" s="1"/>
  <c r="D167" i="1"/>
  <c r="D172" i="1" s="1"/>
  <c r="D175" i="1" s="1"/>
  <c r="C167" i="1"/>
  <c r="C172" i="1" s="1"/>
  <c r="C175" i="1" s="1"/>
  <c r="B167" i="1"/>
  <c r="B172" i="1" s="1"/>
  <c r="B175" i="1" s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B161" i="1" s="1"/>
  <c r="B164" i="1" s="1"/>
  <c r="G156" i="1"/>
  <c r="G161" i="1" s="1"/>
  <c r="G164" i="1" s="1"/>
  <c r="F156" i="1"/>
  <c r="F161" i="1" s="1"/>
  <c r="F164" i="1" s="1"/>
  <c r="E156" i="1"/>
  <c r="E161" i="1" s="1"/>
  <c r="E164" i="1" s="1"/>
  <c r="D156" i="1"/>
  <c r="D161" i="1" s="1"/>
  <c r="D164" i="1" s="1"/>
  <c r="C156" i="1"/>
  <c r="C161" i="1" s="1"/>
  <c r="C164" i="1" s="1"/>
  <c r="B156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G150" i="1" s="1"/>
  <c r="G153" i="1" s="1"/>
  <c r="F145" i="1"/>
  <c r="F150" i="1" s="1"/>
  <c r="F153" i="1" s="1"/>
  <c r="E145" i="1"/>
  <c r="E150" i="1" s="1"/>
  <c r="E153" i="1" s="1"/>
  <c r="D145" i="1"/>
  <c r="D150" i="1" s="1"/>
  <c r="D153" i="1" s="1"/>
  <c r="C145" i="1"/>
  <c r="C150" i="1" s="1"/>
  <c r="C153" i="1" s="1"/>
  <c r="B145" i="1"/>
  <c r="B150" i="1" s="1"/>
  <c r="B153" i="1" s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H139" i="1"/>
  <c r="G129" i="1"/>
  <c r="F129" i="1"/>
  <c r="G128" i="1"/>
  <c r="F128" i="1"/>
  <c r="G127" i="1"/>
  <c r="F127" i="1"/>
  <c r="G126" i="1"/>
  <c r="G125" i="1" s="1"/>
  <c r="F126" i="1"/>
  <c r="F125" i="1" s="1"/>
  <c r="G119" i="1"/>
  <c r="F119" i="1"/>
  <c r="E119" i="1"/>
  <c r="D119" i="1"/>
  <c r="C119" i="1"/>
  <c r="B119" i="1"/>
  <c r="G115" i="1"/>
  <c r="F115" i="1"/>
  <c r="E115" i="1"/>
  <c r="D115" i="1"/>
  <c r="C115" i="1"/>
  <c r="C124" i="1" s="1"/>
  <c r="C131" i="1" s="1"/>
  <c r="C132" i="1" s="1"/>
  <c r="B115" i="1"/>
  <c r="B124" i="1" s="1"/>
  <c r="B131" i="1" s="1"/>
  <c r="B132" i="1" s="1"/>
  <c r="G111" i="1"/>
  <c r="F111" i="1"/>
  <c r="E111" i="1"/>
  <c r="D111" i="1"/>
  <c r="C111" i="1"/>
  <c r="B111" i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B107" i="1"/>
  <c r="G95" i="1"/>
  <c r="F95" i="1"/>
  <c r="E95" i="1"/>
  <c r="D95" i="1"/>
  <c r="C95" i="1"/>
  <c r="B95" i="1"/>
  <c r="G85" i="1"/>
  <c r="F85" i="1"/>
  <c r="E85" i="1"/>
  <c r="D85" i="1"/>
  <c r="G75" i="1"/>
  <c r="G76" i="1" s="1"/>
  <c r="F75" i="1"/>
  <c r="F76" i="1" s="1"/>
  <c r="E75" i="1"/>
  <c r="E76" i="1" s="1"/>
  <c r="D75" i="1"/>
  <c r="D76" i="1" s="1"/>
  <c r="C75" i="1"/>
  <c r="C76" i="1" s="1"/>
  <c r="B75" i="1"/>
  <c r="B76" i="1" s="1"/>
  <c r="B97" i="1"/>
  <c r="C97" i="1"/>
  <c r="D97" i="1"/>
  <c r="E97" i="1"/>
  <c r="F97" i="1"/>
  <c r="G97" i="1"/>
  <c r="F59" i="1"/>
  <c r="F60" i="1" s="1"/>
  <c r="E59" i="1"/>
  <c r="E60" i="1" s="1"/>
  <c r="G58" i="1"/>
  <c r="F58" i="1"/>
  <c r="E58" i="1"/>
  <c r="D58" i="1"/>
  <c r="D59" i="1" s="1"/>
  <c r="D60" i="1" s="1"/>
  <c r="C58" i="1"/>
  <c r="C59" i="1" s="1"/>
  <c r="C60" i="1" s="1"/>
  <c r="B58" i="1"/>
  <c r="B59" i="1" s="1"/>
  <c r="B60" i="1" s="1"/>
  <c r="G45" i="1"/>
  <c r="G59" i="1" s="1"/>
  <c r="G60" i="1" s="1"/>
  <c r="F45" i="1"/>
  <c r="E45" i="1"/>
  <c r="D45" i="1"/>
  <c r="C45" i="1"/>
  <c r="B45" i="1"/>
  <c r="G36" i="1"/>
  <c r="F36" i="1"/>
  <c r="E36" i="1"/>
  <c r="D36" i="1"/>
  <c r="C36" i="1"/>
  <c r="G30" i="1"/>
  <c r="F30" i="1"/>
  <c r="E30" i="1"/>
  <c r="D30" i="1"/>
  <c r="C30" i="1"/>
  <c r="B30" i="1"/>
  <c r="B36" i="1" s="1"/>
  <c r="G20" i="1"/>
  <c r="F20" i="1"/>
  <c r="E20" i="1"/>
  <c r="D20" i="1"/>
  <c r="C20" i="1"/>
  <c r="B20" i="1"/>
  <c r="B10" i="1"/>
  <c r="B12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K21" i="3" l="1"/>
  <c r="J22" i="3"/>
  <c r="J47" i="3"/>
  <c r="E37" i="3"/>
  <c r="J50" i="3"/>
  <c r="J24" i="3"/>
  <c r="J25" i="3" s="1"/>
  <c r="J26" i="3" s="1"/>
  <c r="K23" i="3"/>
  <c r="J36" i="3"/>
  <c r="J37" i="3"/>
  <c r="K35" i="3"/>
  <c r="K44" i="3"/>
  <c r="K43" i="3"/>
  <c r="L42" i="3"/>
  <c r="B37" i="3"/>
  <c r="B36" i="3"/>
  <c r="C37" i="3"/>
  <c r="C36" i="3"/>
  <c r="L46" i="3"/>
  <c r="M45" i="3"/>
  <c r="K41" i="3"/>
  <c r="K39" i="3"/>
  <c r="K40" i="3"/>
  <c r="L38" i="3"/>
  <c r="H36" i="3"/>
  <c r="G37" i="3"/>
  <c r="G36" i="3"/>
  <c r="L48" i="3"/>
  <c r="K49" i="3"/>
  <c r="K50" i="3"/>
  <c r="J28" i="3"/>
  <c r="K27" i="3"/>
  <c r="D36" i="3"/>
  <c r="D37" i="3"/>
  <c r="F36" i="3"/>
  <c r="F37" i="3"/>
  <c r="M31" i="3"/>
  <c r="L32" i="3"/>
  <c r="L12" i="3"/>
  <c r="M11" i="3"/>
  <c r="K19" i="3"/>
  <c r="K18" i="3"/>
  <c r="L17" i="3"/>
  <c r="L3" i="3"/>
  <c r="K4" i="3"/>
  <c r="L9" i="3"/>
  <c r="L10" i="3"/>
  <c r="M8" i="3"/>
  <c r="K7" i="3"/>
  <c r="L5" i="3"/>
  <c r="K6" i="3"/>
  <c r="K22" i="3" l="1"/>
  <c r="L21" i="3"/>
  <c r="K47" i="3"/>
  <c r="K36" i="3"/>
  <c r="K37" i="3"/>
  <c r="L35" i="3"/>
  <c r="L44" i="3"/>
  <c r="L43" i="3"/>
  <c r="M42" i="3"/>
  <c r="L27" i="3"/>
  <c r="K28" i="3"/>
  <c r="N45" i="3"/>
  <c r="M46" i="3"/>
  <c r="L23" i="3"/>
  <c r="K24" i="3"/>
  <c r="K25" i="3" s="1"/>
  <c r="K26" i="3" s="1"/>
  <c r="L40" i="3"/>
  <c r="L41" i="3"/>
  <c r="L39" i="3"/>
  <c r="M38" i="3"/>
  <c r="L50" i="3"/>
  <c r="L49" i="3"/>
  <c r="M48" i="3"/>
  <c r="M32" i="3"/>
  <c r="N31" i="3"/>
  <c r="N32" i="3" s="1"/>
  <c r="M3" i="3"/>
  <c r="L4" i="3"/>
  <c r="L16" i="3"/>
  <c r="M5" i="3"/>
  <c r="L7" i="3"/>
  <c r="L6" i="3"/>
  <c r="M17" i="3"/>
  <c r="L19" i="3"/>
  <c r="L18" i="3"/>
  <c r="N11" i="3"/>
  <c r="M12" i="3"/>
  <c r="M13" i="3"/>
  <c r="M10" i="3"/>
  <c r="M9" i="3"/>
  <c r="N8" i="3"/>
  <c r="L13" i="3"/>
  <c r="M21" i="3" l="1"/>
  <c r="L22" i="3"/>
  <c r="L47" i="3"/>
  <c r="M40" i="3"/>
  <c r="M39" i="3"/>
  <c r="N38" i="3"/>
  <c r="M41" i="3"/>
  <c r="N46" i="3"/>
  <c r="M27" i="3"/>
  <c r="L28" i="3"/>
  <c r="N42" i="3"/>
  <c r="M43" i="3"/>
  <c r="M44" i="3"/>
  <c r="L37" i="3"/>
  <c r="L36" i="3"/>
  <c r="M35" i="3"/>
  <c r="M50" i="3"/>
  <c r="M49" i="3"/>
  <c r="N48" i="3"/>
  <c r="L24" i="3"/>
  <c r="L25" i="3" s="1"/>
  <c r="L26" i="3" s="1"/>
  <c r="M23" i="3"/>
  <c r="M18" i="3"/>
  <c r="M19" i="3"/>
  <c r="N17" i="3"/>
  <c r="N9" i="3"/>
  <c r="N10" i="3"/>
  <c r="N12" i="3"/>
  <c r="N13" i="3"/>
  <c r="M7" i="3"/>
  <c r="M6" i="3"/>
  <c r="N5" i="3"/>
  <c r="M4" i="3"/>
  <c r="N3" i="3"/>
  <c r="M16" i="3"/>
  <c r="M22" i="3" l="1"/>
  <c r="M47" i="3"/>
  <c r="N21" i="3"/>
  <c r="N23" i="3"/>
  <c r="N24" i="3" s="1"/>
  <c r="N25" i="3" s="1"/>
  <c r="N26" i="3" s="1"/>
  <c r="M24" i="3"/>
  <c r="M25" i="3" s="1"/>
  <c r="M26" i="3" s="1"/>
  <c r="N43" i="3"/>
  <c r="N44" i="3"/>
  <c r="N50" i="3"/>
  <c r="N49" i="3"/>
  <c r="M28" i="3"/>
  <c r="N27" i="3"/>
  <c r="N28" i="3" s="1"/>
  <c r="M37" i="3"/>
  <c r="M36" i="3"/>
  <c r="N35" i="3"/>
  <c r="N40" i="3"/>
  <c r="N41" i="3"/>
  <c r="N39" i="3"/>
  <c r="N7" i="3"/>
  <c r="N6" i="3"/>
  <c r="N19" i="3"/>
  <c r="N18" i="3"/>
  <c r="N16" i="3"/>
  <c r="N4" i="3"/>
  <c r="N22" i="3" l="1"/>
  <c r="N47" i="3"/>
  <c r="N36" i="3"/>
  <c r="N37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72" i="1" l="1"/>
  <c r="I175" i="1" s="1"/>
  <c r="I176" i="1" s="1"/>
  <c r="H172" i="1"/>
  <c r="H175" i="1" s="1"/>
  <c r="H176" i="1" s="1"/>
  <c r="I161" i="1"/>
  <c r="H161" i="1"/>
  <c r="H163" i="1" s="1"/>
  <c r="H164" i="1" s="1"/>
  <c r="H165" i="1" s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I163" i="1" l="1"/>
  <c r="I164" i="1" s="1"/>
  <c r="I165" i="1" s="1"/>
  <c r="I119" i="1"/>
  <c r="H119" i="1"/>
  <c r="I115" i="1"/>
  <c r="H115" i="1"/>
  <c r="I111" i="1"/>
  <c r="H111" i="1"/>
  <c r="H107" i="1"/>
  <c r="I107" i="1"/>
  <c r="I139" i="1"/>
  <c r="I142" i="1" s="1"/>
  <c r="H142" i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I4" i="1"/>
  <c r="I10" i="1" s="1"/>
  <c r="H10" i="1" l="1"/>
  <c r="H143" i="1" s="1"/>
  <c r="E143" i="1"/>
  <c r="F143" i="1"/>
  <c r="H12" i="1"/>
  <c r="H20" i="1" s="1"/>
  <c r="I12" i="1"/>
  <c r="I20" i="1" s="1"/>
  <c r="I143" i="1"/>
  <c r="B143" i="1"/>
  <c r="C143" i="1"/>
  <c r="D143" i="1"/>
  <c r="H63" i="1"/>
  <c r="H76" i="1" s="1"/>
  <c r="H94" i="1" s="1"/>
  <c r="H96" i="1" s="1"/>
  <c r="I59" i="1"/>
  <c r="I60" i="1" s="1"/>
  <c r="H60" i="1"/>
  <c r="I63" i="1" l="1"/>
  <c r="I76" i="1" s="1"/>
  <c r="I94" i="1" s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Petros Leras</author>
  </authors>
  <commentList>
    <comment ref="K31" authorId="0" shapeId="0" xr:uid="{792DC6F4-AADA-164B-9510-5D503C229A80}">
      <text>
        <r>
          <rPr>
            <b/>
            <sz val="10"/>
            <color rgb="FF000000"/>
            <rFont val="Tahoma"/>
            <family val="2"/>
          </rPr>
          <t>Petros Leras: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<sst xmlns="http://schemas.openxmlformats.org/spreadsheetml/2006/main" count="352" uniqueCount="207">
  <si>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</si>
  <si>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</si>
  <si>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</si>
  <si>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</si>
  <si>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</si>
  <si>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</si>
  <si>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</si>
  <si>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</si>
  <si>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</si>
  <si>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</si>
  <si>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</si>
  <si>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</si>
  <si>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</si>
  <si>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</si>
  <si>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</si>
  <si>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</si>
  <si>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</si>
  <si>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</si>
  <si>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</si>
  <si>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</si>
  <si>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</si>
  <si>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</si>
  <si>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</si>
  <si>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</si>
  <si>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</si>
  <si>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</si>
  <si>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</si>
  <si>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</si>
  <si>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</si>
  <si>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</si>
  <si>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</si>
  <si>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</si>
  <si>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</si>
  <si>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</si>
  <si>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</si>
  <si>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</si>
  <si>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</si>
  <si>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</si>
  <si>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</si>
  <si>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</si>
  <si>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</si>
  <si>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</si>
  <si>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</si>
  <si>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</si>
  <si>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</si>
  <si>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</si>
  <si>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</si>
  <si>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</si>
  <si>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</si>
  <si>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</si>
  <si>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</si>
  <si>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</si>
  <si>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</si>
  <si>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</si>
  <si>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</si>
  <si>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</si>
  <si>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</si>
  <si>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</si>
  <si>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</si>
  <si>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</si>
  <si>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</si>
  <si>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</si>
  <si>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</si>
  <si>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</si>
  <si>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</si>
  <si>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</si>
  <si>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</si>
  <si>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</si>
  <si>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</si>
  <si>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</si>
  <si>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</si>
  <si>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</si>
  <si>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</si>
  <si>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</si>
  <si>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</si>
  <si>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</si>
  <si>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</si>
  <si>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</si>
  <si>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</si>
  <si>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</si>
  <si>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</si>
  <si>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</si>
  <si>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</si>
  <si>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</si>
  <si>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</si>
  <si>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</si>
  <si>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</si>
  <si>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</si>
  <si>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</si>
  <si>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</si>
  <si>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</si>
  <si>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</si>
  <si>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</si>
  <si>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</si>
  <si>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</si>
  <si>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</si>
  <si>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</si>
  <si>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</si>
  <si>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</si>
  <si>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</si>
  <si>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</si>
  <si>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</si>
  <si>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</si>
  <si>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</si>
  <si>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</si>
  <si>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</si>
  <si>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</si>
  <si>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</si>
  <si>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</si>
  <si>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</si>
  <si>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</si>
  <si>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</si>
  <si>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</si>
  <si>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</si>
  <si>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</si>
  <si>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</si>
  <si>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</si>
  <si>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</si>
  <si>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</si>
  <si>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</si>
  <si>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</si>
  <si>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</si>
  <si>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</si>
  <si>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</si>
  <si>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</si>
  <si>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</si>
  <si>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</si>
  <si>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</si>
  <si>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</si>
  <si>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</si>
  <si>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</si>
  <si>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</si>
  <si>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</si>
  <si>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</si>
  <si>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</si>
  <si>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</si>
  <si>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</si>
  <si>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</si>
  <si>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</si>
  <si>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</si>
  <si>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</si>
  <si>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</si>
  <si>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</si>
  <si>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</si>
  <si>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</si>
  <si>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</si>
  <si>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</si>
  <si>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</si>
  <si>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</si>
  <si>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</si>
  <si>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</si>
  <si>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</si>
  <si>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</si>
  <si>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</si>
  <si>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</si>
  <si>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</si>
  <si>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</si>
  <si>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</si>
  <si>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</si>
  <si>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</si>
  <si>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</si>
  <si>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</si>
  <si>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</si>
  <si>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</si>
  <si>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</si>
  <si>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</si>
  <si>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</si>
  <si>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</si>
  <si>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</si>
  <si>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</si>
  <si>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</si>
  <si>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</si>
  <si>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</si>
  <si>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</si>
  <si>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</si>
  <si>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</si>
  <si>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</si>
  <si>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</si>
  <si>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</si>
  <si>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</si>
  <si>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</si>
  <si>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</si>
  <si>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</si>
  <si>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</si>
  <si>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</si>
  <si>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</si>
  <si>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</si>
  <si>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</si>
  <si>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</si>
  <si>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</si>
  <si>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</si>
  <si>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</si>
  <si>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</si>
  <si>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</si>
  <si>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</si>
  <si>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</si>
  <si>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</si>
  <si>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</si>
  <si>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</si>
  <si>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</si>
  <si>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</si>
  <si>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</si>
  <si>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—</t>
  </si>
  <si>
    <t>32B64:G10373</t>
  </si>
  <si>
    <t>n.a</t>
  </si>
  <si>
    <t xml:space="preserve">  </t>
  </si>
  <si>
    <t>Increase/(Decrease)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</si>
</sst>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4" fontId="0" fillId="0" borderId="0" xfId="0" applyNumberFormat="1"/>
    <xf numFmtId="0" fontId="17" fillId="0" borderId="0" xfId="0" applyFont="1"/>
    <xf numFmtId="3" fontId="0" fillId="0" borderId="0" xfId="1" applyNumberFormat="1" applyFont="1"/>
    <xf numFmtId="165" fontId="0" fillId="9" borderId="0" xfId="1" applyNumberFormat="1" applyFont="1" applyFill="1"/>
    <xf numFmtId="166" fontId="18" fillId="10" borderId="0" xfId="2" applyNumberFormat="1" applyFont="1" applyFill="1"/>
    <xf numFmtId="166" fontId="12" fillId="10" borderId="0" xfId="2" applyNumberFormat="1" applyFont="1" applyFill="1"/>
    <xf numFmtId="166" fontId="19" fillId="10" borderId="0" xfId="2" applyNumberFormat="1" applyFont="1" applyFill="1"/>
    <xf numFmtId="166" fontId="11" fillId="10" borderId="0" xfId="2" applyNumberFormat="1" applyFont="1" applyFill="1"/>
    <xf numFmtId="166" fontId="20" fillId="10" borderId="0" xfId="2" applyNumberFormat="1" applyFont="1" applyFill="1"/>
    <xf numFmtId="166" fontId="0" fillId="0" borderId="0" xfId="2" applyNumberFormat="1" applyFont="1"/>
    <xf numFmtId="10" fontId="0" fillId="0" borderId="0" xfId="2" applyNumberFormat="1" applyFont="1"/>
    <xf numFmtId="9" fontId="0" fillId="0" borderId="0" xfId="2" applyFont="1"/>
    <xf numFmtId="43" fontId="0" fillId="0" borderId="0" xfId="0" applyNumberFormat="1"/>
    <xf numFmtId="0" fontId="14" fillId="7" borderId="0" xfId="2" applyNumberFormat="1" applyFont="1" applyFill="1"/>
    <xf numFmtId="10" fontId="2" fillId="0" borderId="0" xfId="2" applyNumberFormat="1" applyFont="1"/>
    <xf numFmtId="167" fontId="0" fillId="0" borderId="0" xfId="1" applyNumberFormat="1" applyFont="1"/>
    <xf numFmtId="165" fontId="0" fillId="0" borderId="0" xfId="2" applyNumberFormat="1" applyFont="1"/>
    <xf numFmtId="43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%208/1708510120_Task%208%20-%20Building%20the%20Revenue%20Model.xlsx" TargetMode="External"/><Relationship Id="rId1" Type="http://schemas.openxmlformats.org/officeDocument/2006/relationships/externalLinkPath" Target="/Users/petrosleras/Desktop/QCP/Task%208/1708510120_Task%208%20-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9/1710155371_Task%209%20-%20Building%20Operational%20Forecast%20Model.xlsx" TargetMode="External"/><Relationship Id="rId1" Type="http://schemas.openxmlformats.org/officeDocument/2006/relationships/externalLinkPath" Target="/Users/petrosleras/Desktop/QCP/Task9/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66">
          <cell r="B66">
            <v>-113</v>
          </cell>
          <cell r="C66">
            <v>-80</v>
          </cell>
          <cell r="D66">
            <v>-273</v>
          </cell>
          <cell r="E66">
            <v>647</v>
          </cell>
          <cell r="F66">
            <v>34</v>
          </cell>
          <cell r="G66">
            <v>-380</v>
          </cell>
          <cell r="H66">
            <v>744</v>
          </cell>
          <cell r="I66">
            <v>717</v>
          </cell>
        </row>
        <row r="125">
          <cell r="K125">
            <v>26112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80">
          <cell r="B180" t="e">
            <v>#DIV/0!</v>
          </cell>
          <cell r="C180">
            <v>9.3228309428638578E-2</v>
          </cell>
          <cell r="D180">
            <v>4.1402301322722934E-2</v>
          </cell>
          <cell r="E180">
            <v>-3.7381247418422192E-2</v>
          </cell>
          <cell r="F180">
            <v>7.755846384895948E-2</v>
          </cell>
          <cell r="G180">
            <v>-7.1279243404678949E-2</v>
          </cell>
          <cell r="I180">
            <v>0.05</v>
          </cell>
        </row>
        <row r="182">
          <cell r="B182" t="e">
            <v>#DIV/0!</v>
          </cell>
          <cell r="C182">
            <v>-0.12742718446601942</v>
          </cell>
          <cell r="D182">
            <v>-0.10152990264255912</v>
          </cell>
          <cell r="E182">
            <v>-7.8947368421052655E-2</v>
          </cell>
          <cell r="F182">
            <v>3.3613445378151141E-3</v>
          </cell>
          <cell r="G182">
            <v>-0.13567839195979903</v>
          </cell>
          <cell r="I182">
            <v>0.25</v>
          </cell>
        </row>
        <row r="184">
          <cell r="B184" t="e">
            <v>#DIV/0!</v>
          </cell>
          <cell r="C184">
            <v>7.2294280246651077E-2</v>
          </cell>
          <cell r="D184">
            <v>2.9545905215149659E-2</v>
          </cell>
          <cell r="E184">
            <v>0.1315485362095532</v>
          </cell>
          <cell r="F184">
            <v>7.1148936170212673E-2</v>
          </cell>
          <cell r="G184">
            <v>-6.3721595423486432E-2</v>
          </cell>
          <cell r="I184">
            <v>0.09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200</v>
      </c>
    </row>
    <row r="3" spans="1:1" ht="16" x14ac:dyDescent="0.2">
      <c r="A3" s="38" t="s">
        <v>199</v>
      </c>
    </row>
    <row r="4" spans="1:1" ht="16" x14ac:dyDescent="0.2">
      <c r="A4" s="19" t="s">
        <v>201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4"/>
  <sheetViews>
    <sheetView workbookViewId="0">
      <pane ySplit="1" topLeftCell="A64" activePane="bottomLeft" state="frozen"/>
      <selection pane="bottomLeft" activeCell="D92" sqref="D9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2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1542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1768</v>
      </c>
      <c r="C18" s="61">
        <v>1742.5</v>
      </c>
      <c r="D18" s="61">
        <v>1692</v>
      </c>
      <c r="E18" s="61">
        <v>1659.1</v>
      </c>
      <c r="F18" s="61">
        <v>1618.4</v>
      </c>
      <c r="G18" s="61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62">
        <f>0</f>
        <v>0</v>
      </c>
      <c r="C20" s="62">
        <f>0</f>
        <v>0</v>
      </c>
      <c r="D20" s="62">
        <f>0</f>
        <v>0</v>
      </c>
      <c r="E20" s="62">
        <f>0</f>
        <v>0</v>
      </c>
      <c r="F20" s="62">
        <f>0</f>
        <v>0</v>
      </c>
      <c r="G20" s="62">
        <f>0</f>
        <v>0</v>
      </c>
      <c r="H20" s="13">
        <f t="shared" ref="H20" si="9"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2">
      <c r="A32" s="2" t="s">
        <v>38</v>
      </c>
      <c r="F32" t="s">
        <v>202</v>
      </c>
      <c r="G32" s="8">
        <v>3097</v>
      </c>
      <c r="H32" s="3">
        <v>3113</v>
      </c>
      <c r="I32" s="3">
        <v>2926</v>
      </c>
    </row>
    <row r="33" spans="1:14" x14ac:dyDescent="0.2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14" x14ac:dyDescent="0.2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  <c r="N34" t="s">
        <v>205</v>
      </c>
    </row>
    <row r="35" spans="1:14" x14ac:dyDescent="0.2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14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14" x14ac:dyDescent="0.2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14" x14ac:dyDescent="0.2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t="s">
        <v>202</v>
      </c>
      <c r="G42">
        <v>445</v>
      </c>
      <c r="H42" s="3">
        <v>467</v>
      </c>
      <c r="I42" s="3">
        <v>420</v>
      </c>
    </row>
    <row r="43" spans="1:14" x14ac:dyDescent="0.2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14" x14ac:dyDescent="0.2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14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14" x14ac:dyDescent="0.2">
      <c r="A46" s="2" t="s">
        <v>49</v>
      </c>
      <c r="B46" s="8">
        <v>1079</v>
      </c>
      <c r="C46" s="8">
        <v>2010</v>
      </c>
      <c r="D46" t="s">
        <v>202</v>
      </c>
      <c r="E46" t="s">
        <v>202</v>
      </c>
      <c r="F46" s="8">
        <v>3464</v>
      </c>
      <c r="G46" s="8">
        <v>9406</v>
      </c>
      <c r="H46" s="3">
        <v>9413</v>
      </c>
      <c r="I46" s="3">
        <v>8920</v>
      </c>
    </row>
    <row r="47" spans="1:14" x14ac:dyDescent="0.2">
      <c r="A47" s="2" t="s">
        <v>50</v>
      </c>
      <c r="B47" t="s">
        <v>202</v>
      </c>
      <c r="C47" t="s">
        <v>202</v>
      </c>
      <c r="D47" s="8">
        <v>3471</v>
      </c>
      <c r="E47" s="8">
        <v>3468</v>
      </c>
      <c r="F47" t="s">
        <v>202</v>
      </c>
      <c r="G47" s="8">
        <v>2913</v>
      </c>
      <c r="H47" s="3">
        <v>2931</v>
      </c>
      <c r="I47" s="3">
        <v>2777</v>
      </c>
    </row>
    <row r="48" spans="1:14" x14ac:dyDescent="0.2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2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  <c r="B63" s="1" t="s">
        <v>203</v>
      </c>
      <c r="C63" s="8">
        <v>3760</v>
      </c>
      <c r="D63" s="8">
        <v>4240</v>
      </c>
      <c r="E63" s="8">
        <v>1933</v>
      </c>
      <c r="F63" s="8">
        <v>4029</v>
      </c>
      <c r="G63" s="8">
        <v>2539</v>
      </c>
      <c r="H63" s="9">
        <f>+H12</f>
        <v>5727</v>
      </c>
      <c r="I63" s="9">
        <f>+I12</f>
        <v>6046</v>
      </c>
    </row>
    <row r="64" spans="1:9" s="1" customFormat="1" x14ac:dyDescent="0.2">
      <c r="A64" s="10" t="s">
        <v>64</v>
      </c>
    </row>
    <row r="65" spans="1:9" s="1" customFormat="1" x14ac:dyDescent="0.2">
      <c r="A65" s="2" t="s">
        <v>65</v>
      </c>
      <c r="B65">
        <v>606</v>
      </c>
      <c r="C65">
        <v>649</v>
      </c>
      <c r="D65">
        <v>706</v>
      </c>
      <c r="E65">
        <v>747</v>
      </c>
      <c r="F65">
        <v>705</v>
      </c>
      <c r="G65">
        <v>721</v>
      </c>
      <c r="H65" s="3"/>
      <c r="I65" s="3"/>
    </row>
    <row r="66" spans="1:9" x14ac:dyDescent="0.2">
      <c r="A66" s="11" t="s">
        <v>66</v>
      </c>
      <c r="B66">
        <v>-113</v>
      </c>
      <c r="C66">
        <v>-80</v>
      </c>
      <c r="D66">
        <v>-273</v>
      </c>
      <c r="E66">
        <v>647</v>
      </c>
      <c r="F66">
        <v>34</v>
      </c>
      <c r="G66">
        <v>-380</v>
      </c>
      <c r="H66" s="3">
        <v>744</v>
      </c>
      <c r="I66" s="3">
        <v>717</v>
      </c>
    </row>
    <row r="67" spans="1:9" x14ac:dyDescent="0.2">
      <c r="A67" s="11" t="s">
        <v>67</v>
      </c>
      <c r="B67">
        <v>191</v>
      </c>
      <c r="C67">
        <v>236</v>
      </c>
      <c r="D67">
        <v>215</v>
      </c>
      <c r="E67">
        <v>218</v>
      </c>
      <c r="F67">
        <v>325</v>
      </c>
      <c r="G67">
        <v>429</v>
      </c>
      <c r="H67" s="3">
        <v>-385</v>
      </c>
      <c r="I67" s="3">
        <v>-650</v>
      </c>
    </row>
    <row r="68" spans="1:9" x14ac:dyDescent="0.2">
      <c r="A68" s="11" t="s">
        <v>68</v>
      </c>
      <c r="B68">
        <v>43</v>
      </c>
      <c r="C68">
        <v>13</v>
      </c>
      <c r="D68">
        <v>10</v>
      </c>
      <c r="E68">
        <v>27</v>
      </c>
      <c r="F68">
        <v>15</v>
      </c>
      <c r="G68">
        <v>398</v>
      </c>
      <c r="H68" s="3">
        <v>611</v>
      </c>
      <c r="I68" s="3">
        <v>638</v>
      </c>
    </row>
    <row r="69" spans="1:9" x14ac:dyDescent="0.2">
      <c r="A69" s="11" t="s">
        <v>69</v>
      </c>
      <c r="B69">
        <v>424</v>
      </c>
      <c r="C69">
        <v>98</v>
      </c>
      <c r="D69">
        <v>-117</v>
      </c>
      <c r="E69">
        <v>-99</v>
      </c>
      <c r="F69">
        <v>233</v>
      </c>
      <c r="G69">
        <v>23</v>
      </c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>
        <v>-216</v>
      </c>
      <c r="C71">
        <v>60</v>
      </c>
      <c r="D71">
        <v>-426</v>
      </c>
      <c r="E71">
        <v>187</v>
      </c>
      <c r="F71">
        <v>-270</v>
      </c>
      <c r="G71" s="8">
        <v>1239</v>
      </c>
      <c r="H71" s="3"/>
      <c r="I71" s="3"/>
    </row>
    <row r="72" spans="1:9" x14ac:dyDescent="0.2">
      <c r="A72" s="11" t="s">
        <v>72</v>
      </c>
      <c r="B72">
        <v>-621</v>
      </c>
      <c r="C72">
        <v>-590</v>
      </c>
      <c r="D72">
        <v>-231</v>
      </c>
      <c r="E72">
        <v>-255</v>
      </c>
      <c r="F72">
        <v>-490</v>
      </c>
      <c r="G72" s="8">
        <v>-1854</v>
      </c>
      <c r="H72" s="3">
        <v>-1606</v>
      </c>
      <c r="I72" s="3">
        <v>-504</v>
      </c>
    </row>
    <row r="73" spans="1:9" x14ac:dyDescent="0.2">
      <c r="A73" s="11" t="s">
        <v>73</v>
      </c>
      <c r="B73">
        <v>-144</v>
      </c>
      <c r="C73">
        <v>-161</v>
      </c>
      <c r="D73">
        <v>-120</v>
      </c>
      <c r="E73">
        <v>35</v>
      </c>
      <c r="F73">
        <v>-203</v>
      </c>
      <c r="G73">
        <v>-654</v>
      </c>
      <c r="H73" s="3">
        <v>507</v>
      </c>
      <c r="I73" s="3">
        <v>-1676</v>
      </c>
    </row>
    <row r="74" spans="1:9" x14ac:dyDescent="0.2">
      <c r="A74" s="11" t="s">
        <v>98</v>
      </c>
      <c r="B74" s="8">
        <v>1237</v>
      </c>
      <c r="C74">
        <v>-586</v>
      </c>
      <c r="D74">
        <v>-158</v>
      </c>
      <c r="E74" s="8">
        <v>1515</v>
      </c>
      <c r="F74" s="8">
        <v>1525</v>
      </c>
      <c r="G74">
        <v>24</v>
      </c>
      <c r="H74" s="3">
        <v>-182</v>
      </c>
      <c r="I74" s="3">
        <v>-845</v>
      </c>
    </row>
    <row r="75" spans="1:9" x14ac:dyDescent="0.2">
      <c r="A75" s="11" t="s">
        <v>97</v>
      </c>
      <c r="B75" s="26">
        <f t="shared" ref="B75:G75" si="22">+SUM(B63:B74)</f>
        <v>1407</v>
      </c>
      <c r="C75" s="26">
        <f t="shared" si="22"/>
        <v>3399</v>
      </c>
      <c r="D75" s="26">
        <f t="shared" si="22"/>
        <v>3846</v>
      </c>
      <c r="E75" s="26">
        <f t="shared" si="22"/>
        <v>4955</v>
      </c>
      <c r="F75" s="26">
        <f t="shared" si="22"/>
        <v>5903</v>
      </c>
      <c r="G75" s="26">
        <f t="shared" si="22"/>
        <v>2485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23">+SUM(B63:B75)</f>
        <v>2814</v>
      </c>
      <c r="C76" s="26">
        <f t="shared" si="23"/>
        <v>6798</v>
      </c>
      <c r="D76" s="26">
        <f t="shared" si="23"/>
        <v>7692</v>
      </c>
      <c r="E76" s="26">
        <f t="shared" si="23"/>
        <v>9910</v>
      </c>
      <c r="F76" s="26">
        <f t="shared" si="23"/>
        <v>11806</v>
      </c>
      <c r="G76" s="26">
        <f t="shared" si="23"/>
        <v>4970</v>
      </c>
      <c r="H76" s="26">
        <f t="shared" si="23"/>
        <v>6657</v>
      </c>
      <c r="I76" s="26">
        <f t="shared" si="23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>
        <v>-150</v>
      </c>
      <c r="C81">
        <v>150</v>
      </c>
      <c r="D81" t="s">
        <v>202</v>
      </c>
      <c r="E81" t="s">
        <v>202</v>
      </c>
      <c r="F81" t="s">
        <v>202</v>
      </c>
      <c r="G81" t="s">
        <v>202</v>
      </c>
      <c r="H81" s="3">
        <v>-695</v>
      </c>
      <c r="I81" s="3">
        <v>-758</v>
      </c>
    </row>
    <row r="82" spans="1:9" x14ac:dyDescent="0.2">
      <c r="A82" s="2" t="s">
        <v>79</v>
      </c>
      <c r="B82">
        <v>-963</v>
      </c>
      <c r="C82" s="8">
        <v>-1143</v>
      </c>
      <c r="D82" s="8">
        <v>-1105</v>
      </c>
      <c r="E82" s="8">
        <v>-1028</v>
      </c>
      <c r="F82" s="8">
        <v>-1119</v>
      </c>
      <c r="G82" s="8">
        <v>-1086</v>
      </c>
      <c r="H82" s="3">
        <v>171</v>
      </c>
      <c r="I82" s="3">
        <v>-19</v>
      </c>
    </row>
    <row r="83" spans="1:9" x14ac:dyDescent="0.2">
      <c r="A83" s="27" t="s">
        <v>80</v>
      </c>
      <c r="B83">
        <v>3</v>
      </c>
      <c r="C83">
        <v>10</v>
      </c>
      <c r="D83">
        <v>13</v>
      </c>
      <c r="E83">
        <v>3</v>
      </c>
      <c r="F83" t="s">
        <v>202</v>
      </c>
      <c r="G83" t="s">
        <v>202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t="s">
        <v>202</v>
      </c>
      <c r="C84">
        <v>6</v>
      </c>
      <c r="D84">
        <v>-34</v>
      </c>
      <c r="E84">
        <v>-22</v>
      </c>
      <c r="F84">
        <v>5</v>
      </c>
      <c r="G84">
        <v>31</v>
      </c>
      <c r="H84" s="3"/>
      <c r="I84" s="3"/>
    </row>
    <row r="85" spans="1:9" x14ac:dyDescent="0.2">
      <c r="A85" s="2" t="s">
        <v>82</v>
      </c>
      <c r="B85" s="26">
        <f>-175</f>
        <v>-175</v>
      </c>
      <c r="C85" s="26">
        <f>-1034</f>
        <v>-1034</v>
      </c>
      <c r="D85" s="26">
        <f t="shared" ref="B85:G85" si="25">+SUM(D78:D84)</f>
        <v>-1008</v>
      </c>
      <c r="E85" s="26">
        <f t="shared" si="25"/>
        <v>279</v>
      </c>
      <c r="F85" s="26">
        <f t="shared" si="25"/>
        <v>-264</v>
      </c>
      <c r="G85" s="26">
        <f t="shared" si="25"/>
        <v>-1028</v>
      </c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>
        <f>0</f>
        <v>0</v>
      </c>
      <c r="C87">
        <v>981</v>
      </c>
      <c r="D87" s="8">
        <v>1482</v>
      </c>
      <c r="E87">
        <f>0</f>
        <v>0</v>
      </c>
      <c r="F87">
        <f>0</f>
        <v>0</v>
      </c>
      <c r="G87">
        <f>0</f>
        <v>0</v>
      </c>
      <c r="H87" s="3">
        <v>-197</v>
      </c>
      <c r="I87" s="3">
        <v>0</v>
      </c>
    </row>
    <row r="88" spans="1:9" x14ac:dyDescent="0.2">
      <c r="A88" s="2" t="s">
        <v>85</v>
      </c>
      <c r="B88">
        <v>-7</v>
      </c>
      <c r="C88">
        <v>-106</v>
      </c>
      <c r="D88">
        <v>-44</v>
      </c>
      <c r="E88">
        <v>-6</v>
      </c>
      <c r="F88">
        <f>0</f>
        <v>0</v>
      </c>
      <c r="G88">
        <f>0</f>
        <v>0</v>
      </c>
      <c r="H88" s="3">
        <v>1172</v>
      </c>
      <c r="I88" s="3">
        <v>1151</v>
      </c>
    </row>
    <row r="89" spans="1:9" x14ac:dyDescent="0.2">
      <c r="A89" s="2" t="s">
        <v>16</v>
      </c>
      <c r="B89">
        <v>-63</v>
      </c>
      <c r="C89">
        <v>-67</v>
      </c>
      <c r="D89">
        <v>327</v>
      </c>
      <c r="E89">
        <v>13</v>
      </c>
      <c r="F89">
        <f>0</f>
        <v>0</v>
      </c>
      <c r="G89" s="8">
        <v>6134</v>
      </c>
      <c r="H89" s="3">
        <v>-608</v>
      </c>
      <c r="I89" s="3">
        <v>-4014</v>
      </c>
    </row>
    <row r="90" spans="1:9" x14ac:dyDescent="0.2">
      <c r="A90" s="2" t="s">
        <v>86</v>
      </c>
      <c r="B90">
        <v>-19</v>
      </c>
      <c r="C90">
        <f>0</f>
        <v>0</v>
      </c>
      <c r="D90">
        <f>0</f>
        <v>0</v>
      </c>
      <c r="E90">
        <v>13</v>
      </c>
      <c r="F90">
        <v>-325</v>
      </c>
      <c r="G90">
        <v>49</v>
      </c>
      <c r="H90" s="3">
        <v>-1638</v>
      </c>
      <c r="I90" s="3">
        <v>-1837</v>
      </c>
    </row>
    <row r="91" spans="1:9" x14ac:dyDescent="0.2">
      <c r="A91" s="2" t="s">
        <v>87</v>
      </c>
      <c r="B91">
        <v>514</v>
      </c>
      <c r="C91">
        <v>507</v>
      </c>
      <c r="D91">
        <f>0</f>
        <v>0</v>
      </c>
      <c r="E91">
        <v>733</v>
      </c>
      <c r="F91">
        <v>700</v>
      </c>
      <c r="G91">
        <v>885</v>
      </c>
      <c r="H91" s="3">
        <v>-136</v>
      </c>
      <c r="I91" s="3">
        <v>-151</v>
      </c>
    </row>
    <row r="92" spans="1:9" x14ac:dyDescent="0.2">
      <c r="A92" s="27" t="s">
        <v>88</v>
      </c>
      <c r="B92" s="8">
        <v>-2534</v>
      </c>
      <c r="C92" s="8">
        <v>-3238</v>
      </c>
      <c r="D92" s="8">
        <v>-3223</v>
      </c>
      <c r="E92" s="8">
        <v>-4254</v>
      </c>
      <c r="F92" s="8">
        <v>-4286</v>
      </c>
      <c r="G92" s="8">
        <v>-3067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>
        <v>-899</v>
      </c>
      <c r="C93" s="8">
        <v>-1022</v>
      </c>
      <c r="D93" s="8">
        <v>-1133</v>
      </c>
      <c r="E93" s="8">
        <v>-1243</v>
      </c>
      <c r="F93" s="8">
        <v>-1332</v>
      </c>
      <c r="G93" s="8">
        <v>-1452</v>
      </c>
      <c r="H93" s="3">
        <v>143</v>
      </c>
      <c r="I93" s="3">
        <v>-143</v>
      </c>
    </row>
    <row r="94" spans="1:9" x14ac:dyDescent="0.2">
      <c r="A94" s="27" t="s">
        <v>90</v>
      </c>
      <c r="B94" s="3"/>
      <c r="C94" s="3"/>
      <c r="D94" s="3"/>
      <c r="E94">
        <v>-84</v>
      </c>
      <c r="F94">
        <v>-50</v>
      </c>
      <c r="G94">
        <v>-58</v>
      </c>
      <c r="H94" s="26">
        <f t="shared" ref="H94" si="27">+H76+H83+H92+H93</f>
        <v>1541</v>
      </c>
      <c r="I94" s="26">
        <f>+I76+I83+I92+I93</f>
        <v>-1315</v>
      </c>
    </row>
    <row r="95" spans="1:9" x14ac:dyDescent="0.2">
      <c r="A95" t="s">
        <v>91</v>
      </c>
      <c r="B95" s="26">
        <f t="shared" ref="B95:G95" si="28">+SUM(B87:B94)</f>
        <v>-3008</v>
      </c>
      <c r="C95" s="26">
        <f t="shared" si="28"/>
        <v>-2945</v>
      </c>
      <c r="D95" s="26">
        <f t="shared" si="28"/>
        <v>-2591</v>
      </c>
      <c r="E95" s="26">
        <f t="shared" si="28"/>
        <v>-4828</v>
      </c>
      <c r="F95" s="26">
        <f t="shared" si="28"/>
        <v>-5293</v>
      </c>
      <c r="G95" s="26">
        <f t="shared" si="28"/>
        <v>2491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>
        <v>-83</v>
      </c>
      <c r="C96">
        <v>-105</v>
      </c>
      <c r="D96">
        <v>-20</v>
      </c>
      <c r="E96">
        <v>45</v>
      </c>
      <c r="F96">
        <v>-129</v>
      </c>
      <c r="G96">
        <v>-66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-3935</v>
      </c>
      <c r="C97" s="13">
        <f t="shared" si="29"/>
        <v>-3243</v>
      </c>
      <c r="D97" s="13">
        <f t="shared" si="29"/>
        <v>-3828</v>
      </c>
      <c r="E97" s="13">
        <f t="shared" si="29"/>
        <v>-4204</v>
      </c>
      <c r="F97" s="13">
        <f t="shared" si="29"/>
        <v>-4595</v>
      </c>
      <c r="G97" s="13">
        <f t="shared" si="29"/>
        <v>-8414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8">
        <v>2220</v>
      </c>
      <c r="C98" s="8">
        <v>3852</v>
      </c>
      <c r="D98" s="8">
        <v>3138</v>
      </c>
      <c r="E98" s="8">
        <v>3808</v>
      </c>
      <c r="F98" s="8">
        <v>4249</v>
      </c>
      <c r="G98" s="8">
        <v>4466</v>
      </c>
      <c r="H98" s="3"/>
      <c r="I98" s="3"/>
    </row>
    <row r="99" spans="1:9" x14ac:dyDescent="0.2">
      <c r="A99" s="2" t="s">
        <v>17</v>
      </c>
      <c r="B99" s="8">
        <v>3852</v>
      </c>
      <c r="C99" s="8">
        <v>3138</v>
      </c>
      <c r="D99" s="8">
        <v>3808</v>
      </c>
      <c r="E99" s="8">
        <v>4249</v>
      </c>
      <c r="F99" s="8">
        <v>4466</v>
      </c>
      <c r="G99" s="8">
        <v>8348</v>
      </c>
      <c r="H99" s="3"/>
      <c r="I99" s="3"/>
    </row>
    <row r="100" spans="1:9" x14ac:dyDescent="0.2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>+SUM(B108:B110)</f>
        <v>13740</v>
      </c>
      <c r="C107" s="3">
        <f t="shared" ref="C107:G107" si="30">+SUM(C108:C110)</f>
        <v>14764</v>
      </c>
      <c r="D107" s="3">
        <f t="shared" si="30"/>
        <v>15216</v>
      </c>
      <c r="E107" s="3">
        <f t="shared" si="30"/>
        <v>14855</v>
      </c>
      <c r="F107" s="3">
        <f t="shared" si="30"/>
        <v>15902</v>
      </c>
      <c r="G107" s="3">
        <f t="shared" si="30"/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G111" si="32">+SUM(B112:B114)</f>
        <v>7126</v>
      </c>
      <c r="C111" s="3">
        <f t="shared" si="32"/>
        <v>7568</v>
      </c>
      <c r="D111" s="3">
        <f t="shared" si="32"/>
        <v>7970</v>
      </c>
      <c r="E111" s="3">
        <f t="shared" si="32"/>
        <v>9242</v>
      </c>
      <c r="F111" s="3">
        <f t="shared" si="32"/>
        <v>9812</v>
      </c>
      <c r="G111" s="3">
        <f t="shared" si="32"/>
        <v>9347</v>
      </c>
      <c r="H111" s="3">
        <f t="shared" ref="H111" si="33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G115" si="34">+SUM(B116:B118)</f>
        <v>3067</v>
      </c>
      <c r="C115" s="3">
        <f t="shared" si="34"/>
        <v>3785</v>
      </c>
      <c r="D115" s="3">
        <f t="shared" si="34"/>
        <v>4237</v>
      </c>
      <c r="E115" s="3">
        <f t="shared" si="34"/>
        <v>5134</v>
      </c>
      <c r="F115" s="3">
        <f t="shared" si="34"/>
        <v>6208</v>
      </c>
      <c r="G115" s="3">
        <f t="shared" si="34"/>
        <v>6679</v>
      </c>
      <c r="H115" s="3">
        <f t="shared" ref="H115" si="35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G119" si="36">+SUM(B120:B122)</f>
        <v>4653</v>
      </c>
      <c r="C119" s="3">
        <f t="shared" si="36"/>
        <v>4317</v>
      </c>
      <c r="D119" s="3">
        <f t="shared" si="36"/>
        <v>4737</v>
      </c>
      <c r="E119" s="3">
        <f t="shared" si="36"/>
        <v>5166</v>
      </c>
      <c r="F119" s="3">
        <f t="shared" si="36"/>
        <v>5254</v>
      </c>
      <c r="G119" s="3">
        <f t="shared" si="36"/>
        <v>5028</v>
      </c>
      <c r="H119" s="3">
        <f t="shared" ref="H119" si="37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28701</v>
      </c>
      <c r="C124" s="5">
        <f>+C107+C111+C115+C119+C123</f>
        <v>30507</v>
      </c>
      <c r="D124" s="5">
        <f t="shared" ref="D124:G124" si="38">+D107+D111+D115+D119+D123</f>
        <v>32233</v>
      </c>
      <c r="E124" s="5">
        <f t="shared" si="38"/>
        <v>34485</v>
      </c>
      <c r="F124" s="5">
        <f t="shared" si="38"/>
        <v>37218</v>
      </c>
      <c r="G124" s="5">
        <f t="shared" si="38"/>
        <v>35568</v>
      </c>
      <c r="H124" s="5">
        <f t="shared" ref="H124:I124" si="39">+H107+H111+H115+H119+H123</f>
        <v>42293</v>
      </c>
      <c r="I124" s="5">
        <f t="shared" si="39"/>
        <v>44436</v>
      </c>
    </row>
    <row r="125" spans="1:9" x14ac:dyDescent="0.2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f>SUM(F126:F129)</f>
        <v>1906</v>
      </c>
      <c r="G125" s="8">
        <f>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64"/>
      <c r="C126" s="64"/>
      <c r="D126" s="64"/>
      <c r="E126" s="64"/>
      <c r="F126" s="3">
        <f>1658</f>
        <v>1658</v>
      </c>
      <c r="G126" s="3">
        <f>1642</f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64"/>
      <c r="C127" s="64"/>
      <c r="D127" s="64"/>
      <c r="E127" s="64"/>
      <c r="F127" s="3">
        <f>118</f>
        <v>118</v>
      </c>
      <c r="G127" s="3">
        <f>89</f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64"/>
      <c r="C128" s="64"/>
      <c r="D128" s="64"/>
      <c r="E128" s="64"/>
      <c r="F128" s="3">
        <f>24</f>
        <v>24</v>
      </c>
      <c r="G128" s="3">
        <f>25</f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64"/>
      <c r="C129" s="64"/>
      <c r="D129" s="64"/>
      <c r="E129" s="64"/>
      <c r="F129" s="3">
        <f>106</f>
        <v>106</v>
      </c>
      <c r="G129" s="3">
        <f>90</f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ref="H131" si="41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62">
        <f>B131-B2</f>
        <v>0</v>
      </c>
      <c r="C132" s="62">
        <f t="shared" ref="C132:G132" si="42">C131-C2</f>
        <v>0</v>
      </c>
      <c r="D132" s="62">
        <f t="shared" si="42"/>
        <v>0</v>
      </c>
      <c r="E132" s="62">
        <f t="shared" si="42"/>
        <v>0</v>
      </c>
      <c r="F132" s="62">
        <f t="shared" si="42"/>
        <v>0</v>
      </c>
      <c r="G132" s="62">
        <f t="shared" si="42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3">+SUM(B134:B138)</f>
        <v>4817</v>
      </c>
      <c r="C139" s="5">
        <f t="shared" si="43"/>
        <v>5328</v>
      </c>
      <c r="D139" s="5">
        <f t="shared" si="43"/>
        <v>5192</v>
      </c>
      <c r="E139" s="5">
        <f t="shared" si="43"/>
        <v>5525</v>
      </c>
      <c r="F139" s="5">
        <f t="shared" si="43"/>
        <v>6357</v>
      </c>
      <c r="G139" s="5">
        <f t="shared" si="43"/>
        <v>4646</v>
      </c>
      <c r="H139" s="5">
        <f t="shared" ref="H139:I139" si="44">+SUM(H134:H138)</f>
        <v>8641</v>
      </c>
      <c r="I139" s="5">
        <f t="shared" si="44"/>
        <v>8406</v>
      </c>
    </row>
    <row r="140" spans="1:9" x14ac:dyDescent="0.2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-1101</v>
      </c>
      <c r="C141" s="3">
        <v>-1173</v>
      </c>
      <c r="D141" s="3">
        <v>-724</v>
      </c>
      <c r="E141" s="8">
        <v>-1456</v>
      </c>
      <c r="F141" s="8">
        <v>-1810</v>
      </c>
      <c r="G141" s="8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G142" si="45">+SUM(B139:B141)</f>
        <v>4233</v>
      </c>
      <c r="C142" s="7">
        <f t="shared" si="45"/>
        <v>4642</v>
      </c>
      <c r="D142" s="7">
        <f t="shared" si="45"/>
        <v>4945</v>
      </c>
      <c r="E142" s="7">
        <f t="shared" si="45"/>
        <v>4379</v>
      </c>
      <c r="F142" s="7">
        <f t="shared" si="45"/>
        <v>4850</v>
      </c>
      <c r="G142" s="7">
        <f t="shared" si="45"/>
        <v>2976</v>
      </c>
      <c r="H142" s="7">
        <f t="shared" ref="H142" si="46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7">+B142-B10-B8</f>
        <v>0</v>
      </c>
      <c r="C143" s="13">
        <f t="shared" si="47"/>
        <v>0</v>
      </c>
      <c r="D143" s="13">
        <f t="shared" si="47"/>
        <v>0</v>
      </c>
      <c r="E143" s="13">
        <f t="shared" si="47"/>
        <v>0</v>
      </c>
      <c r="F143" s="13">
        <f t="shared" si="47"/>
        <v>0</v>
      </c>
      <c r="G143" s="13">
        <f t="shared" si="47"/>
        <v>0</v>
      </c>
      <c r="H143" s="13">
        <f t="shared" si="47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f>632</f>
        <v>632</v>
      </c>
      <c r="C145" s="3">
        <f>742</f>
        <v>742</v>
      </c>
      <c r="D145" s="3">
        <f>819</f>
        <v>819</v>
      </c>
      <c r="E145" s="3">
        <f>848</f>
        <v>848</v>
      </c>
      <c r="F145" s="3">
        <f>814</f>
        <v>814</v>
      </c>
      <c r="G145">
        <f>645</f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f>451</f>
        <v>451</v>
      </c>
      <c r="C146" s="3">
        <f>589</f>
        <v>589</v>
      </c>
      <c r="D146" s="3">
        <f>709</f>
        <v>709</v>
      </c>
      <c r="E146" s="3">
        <f>849</f>
        <v>849</v>
      </c>
      <c r="F146" s="3">
        <f>929</f>
        <v>929</v>
      </c>
      <c r="G146">
        <f>885</f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f>47</f>
        <v>47</v>
      </c>
      <c r="C147" s="3">
        <f>50</f>
        <v>50</v>
      </c>
      <c r="D147" s="3">
        <f>225</f>
        <v>225</v>
      </c>
      <c r="E147" s="3">
        <f>256</f>
        <v>256</v>
      </c>
      <c r="F147" s="3">
        <f>237</f>
        <v>237</v>
      </c>
      <c r="G147">
        <f>214</f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f>254+205+103</f>
        <v>562</v>
      </c>
      <c r="C148" s="3">
        <f>234</f>
        <v>234</v>
      </c>
      <c r="D148" s="3">
        <f>340</f>
        <v>340</v>
      </c>
      <c r="E148" s="3">
        <f>339</f>
        <v>339</v>
      </c>
      <c r="F148" s="3">
        <f>326</f>
        <v>326</v>
      </c>
      <c r="G148">
        <f>296</f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f>484</f>
        <v>484</v>
      </c>
      <c r="C149" s="3">
        <f>511+223+109</f>
        <v>843</v>
      </c>
      <c r="D149" s="3">
        <f>533</f>
        <v>533</v>
      </c>
      <c r="E149" s="3">
        <f>597</f>
        <v>597</v>
      </c>
      <c r="F149" s="3">
        <f>665</f>
        <v>665</v>
      </c>
      <c r="G149">
        <f>830</f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E150" si="48">+SUM(B145:B149)</f>
        <v>2176</v>
      </c>
      <c r="C150" s="5">
        <f t="shared" si="48"/>
        <v>2458</v>
      </c>
      <c r="D150" s="5">
        <f t="shared" si="48"/>
        <v>2626</v>
      </c>
      <c r="E150" s="5">
        <f t="shared" si="48"/>
        <v>2889</v>
      </c>
      <c r="F150" s="5">
        <f>+SUM(F145:F149)</f>
        <v>2971</v>
      </c>
      <c r="G150" s="5">
        <f>+SUM(G145:G149)</f>
        <v>2870</v>
      </c>
      <c r="H150" s="5">
        <f t="shared" ref="H150:I150" si="49">+SUM(H145:H149)</f>
        <v>2971</v>
      </c>
      <c r="I150" s="5">
        <f t="shared" si="49"/>
        <v>2925</v>
      </c>
    </row>
    <row r="151" spans="1:9" x14ac:dyDescent="0.2">
      <c r="A151" s="2" t="s">
        <v>104</v>
      </c>
      <c r="B151" s="3">
        <f>122</f>
        <v>122</v>
      </c>
      <c r="C151" s="3">
        <f>125</f>
        <v>125</v>
      </c>
      <c r="D151" s="3">
        <f>125</f>
        <v>125</v>
      </c>
      <c r="E151" s="3">
        <f>115</f>
        <v>115</v>
      </c>
      <c r="F151" s="3">
        <f>100</f>
        <v>100</v>
      </c>
      <c r="G151">
        <f>80</f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f>713</f>
        <v>713</v>
      </c>
      <c r="C152" s="3">
        <f>937</f>
        <v>937</v>
      </c>
      <c r="D152" s="3">
        <f>1238</f>
        <v>1238</v>
      </c>
      <c r="E152" s="3">
        <f>1450</f>
        <v>1450</v>
      </c>
      <c r="F152" s="3">
        <f>1673</f>
        <v>1673</v>
      </c>
      <c r="G152">
        <f>1916</f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E153" si="50">+SUM(B150:B152)</f>
        <v>3011</v>
      </c>
      <c r="C153" s="7">
        <f t="shared" si="50"/>
        <v>3520</v>
      </c>
      <c r="D153" s="7">
        <f t="shared" si="50"/>
        <v>3989</v>
      </c>
      <c r="E153" s="7">
        <f t="shared" si="50"/>
        <v>4454</v>
      </c>
      <c r="F153" s="7">
        <f>+SUM(F150:F152)</f>
        <v>4744</v>
      </c>
      <c r="G153" s="7">
        <f>+SUM(G150:G152)</f>
        <v>4866</v>
      </c>
      <c r="H153" s="7">
        <f t="shared" ref="H153" si="51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2">+B153-B31</f>
        <v>0</v>
      </c>
      <c r="C154" s="13">
        <f t="shared" si="52"/>
        <v>0</v>
      </c>
      <c r="D154" s="13">
        <f t="shared" si="52"/>
        <v>0</v>
      </c>
      <c r="E154" s="13">
        <f t="shared" si="52"/>
        <v>0</v>
      </c>
      <c r="F154" s="13">
        <f t="shared" si="52"/>
        <v>0</v>
      </c>
      <c r="G154" s="13">
        <f t="shared" si="52"/>
        <v>0</v>
      </c>
      <c r="H154" s="13">
        <f t="shared" si="52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f>208</f>
        <v>208</v>
      </c>
      <c r="C156" s="3">
        <f>242</f>
        <v>242</v>
      </c>
      <c r="D156" s="3">
        <f>223</f>
        <v>223</v>
      </c>
      <c r="E156" s="3">
        <f>196</f>
        <v>196</v>
      </c>
      <c r="F156" s="3">
        <f>117</f>
        <v>117</v>
      </c>
      <c r="G156" s="3">
        <f>110</f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f>216</f>
        <v>216</v>
      </c>
      <c r="C157" s="3">
        <f>215</f>
        <v>215</v>
      </c>
      <c r="D157" s="3">
        <f>173</f>
        <v>173</v>
      </c>
      <c r="E157" s="3">
        <f>240</f>
        <v>240</v>
      </c>
      <c r="F157" s="3">
        <f>233</f>
        <v>233</v>
      </c>
      <c r="G157" s="3">
        <f>139</f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f>20</f>
        <v>20</v>
      </c>
      <c r="C158" s="3">
        <f>17</f>
        <v>17</v>
      </c>
      <c r="D158" s="3">
        <f>51</f>
        <v>51</v>
      </c>
      <c r="E158" s="3">
        <f>76</f>
        <v>76</v>
      </c>
      <c r="F158" s="3">
        <f>49</f>
        <v>49</v>
      </c>
      <c r="G158" s="3">
        <f>28</f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f>69</f>
        <v>69</v>
      </c>
      <c r="C159" s="3">
        <f>44</f>
        <v>44</v>
      </c>
      <c r="D159" s="3">
        <f>59</f>
        <v>59</v>
      </c>
      <c r="E159" s="3">
        <f>49</f>
        <v>49</v>
      </c>
      <c r="F159" s="3">
        <f>47</f>
        <v>47</v>
      </c>
      <c r="G159" s="3">
        <f>41</f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f>15+37+225</f>
        <v>277</v>
      </c>
      <c r="C160" s="3">
        <f>13+51+258</f>
        <v>322</v>
      </c>
      <c r="D160" s="3">
        <f>278</f>
        <v>278</v>
      </c>
      <c r="E160" s="3">
        <f>286</f>
        <v>286</v>
      </c>
      <c r="F160" s="3">
        <f>278</f>
        <v>278</v>
      </c>
      <c r="G160" s="3">
        <f>438</f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3">+SUM(B156:B160)</f>
        <v>790</v>
      </c>
      <c r="C161" s="5">
        <f t="shared" si="53"/>
        <v>840</v>
      </c>
      <c r="D161" s="5">
        <f t="shared" si="53"/>
        <v>784</v>
      </c>
      <c r="E161" s="5">
        <f t="shared" si="53"/>
        <v>847</v>
      </c>
      <c r="F161" s="5">
        <f t="shared" si="53"/>
        <v>724</v>
      </c>
      <c r="G161" s="5">
        <f t="shared" si="53"/>
        <v>756</v>
      </c>
      <c r="H161" s="5">
        <f t="shared" ref="H161:I161" si="54">+SUM(H156:H160)</f>
        <v>677</v>
      </c>
      <c r="I161" s="5">
        <f t="shared" si="54"/>
        <v>699</v>
      </c>
    </row>
    <row r="162" spans="1:9" x14ac:dyDescent="0.2">
      <c r="A162" s="2" t="s">
        <v>104</v>
      </c>
      <c r="B162" s="3">
        <f>27</f>
        <v>27</v>
      </c>
      <c r="C162" s="3">
        <f>39</f>
        <v>39</v>
      </c>
      <c r="D162" s="3">
        <f>30</f>
        <v>30</v>
      </c>
      <c r="E162" s="3">
        <f>22</f>
        <v>22</v>
      </c>
      <c r="F162" s="3">
        <f>18</f>
        <v>18</v>
      </c>
      <c r="G162" s="3">
        <f>12</f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84</f>
        <v>84</v>
      </c>
      <c r="C163" s="3">
        <f>312</f>
        <v>312</v>
      </c>
      <c r="D163" s="3">
        <f>387</f>
        <v>387</v>
      </c>
      <c r="E163" s="3">
        <f>325</f>
        <v>325</v>
      </c>
      <c r="F163" s="3">
        <f>333</f>
        <v>333</v>
      </c>
      <c r="G163" s="3">
        <f>356</f>
        <v>356</v>
      </c>
      <c r="H163" s="3">
        <f t="shared" ref="H163" si="55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6">+SUM(B161:B163)</f>
        <v>901</v>
      </c>
      <c r="C164" s="7">
        <f t="shared" si="56"/>
        <v>1191</v>
      </c>
      <c r="D164" s="7">
        <f t="shared" si="56"/>
        <v>1201</v>
      </c>
      <c r="E164" s="7">
        <f t="shared" si="56"/>
        <v>1194</v>
      </c>
      <c r="F164" s="7">
        <f t="shared" si="56"/>
        <v>1075</v>
      </c>
      <c r="G164" s="7">
        <f t="shared" si="56"/>
        <v>1124</v>
      </c>
      <c r="H164" s="7">
        <f t="shared" ref="H164" si="57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/>
      <c r="C165" s="13"/>
      <c r="D165" s="13"/>
      <c r="E165" s="13"/>
      <c r="F165" s="13"/>
      <c r="G165" s="13"/>
      <c r="H165" s="13">
        <f t="shared" ref="H165" si="58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f>121</f>
        <v>121</v>
      </c>
      <c r="C167" s="3">
        <f>133</f>
        <v>133</v>
      </c>
      <c r="D167" s="3">
        <f>140</f>
        <v>140</v>
      </c>
      <c r="E167" s="3">
        <f>160</f>
        <v>160</v>
      </c>
      <c r="F167" s="3">
        <f>149</f>
        <v>149</v>
      </c>
      <c r="G167" s="3">
        <f>148</f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f>75</f>
        <v>75</v>
      </c>
      <c r="C168" s="3">
        <f>72</f>
        <v>72</v>
      </c>
      <c r="D168" s="3">
        <f>91</f>
        <v>91</v>
      </c>
      <c r="E168" s="3">
        <f>116</f>
        <v>116</v>
      </c>
      <c r="F168" s="3">
        <f>111</f>
        <v>111</v>
      </c>
      <c r="G168" s="3">
        <f>132</f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f>12</f>
        <v>12</v>
      </c>
      <c r="C169" s="3">
        <f>12</f>
        <v>12</v>
      </c>
      <c r="D169" s="3">
        <f>13</f>
        <v>13</v>
      </c>
      <c r="E169" s="3">
        <f>56</f>
        <v>56</v>
      </c>
      <c r="F169" s="3">
        <f>50</f>
        <v>50</v>
      </c>
      <c r="G169" s="3">
        <f>44</f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f>46</f>
        <v>46</v>
      </c>
      <c r="C170" s="3">
        <f>48+18+25</f>
        <v>91</v>
      </c>
      <c r="D170" s="3">
        <f>54</f>
        <v>54</v>
      </c>
      <c r="E170" s="3">
        <f>55</f>
        <v>55</v>
      </c>
      <c r="F170" s="3">
        <f>53</f>
        <v>53</v>
      </c>
      <c r="G170" s="3">
        <f>46</f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f>22+27+210</f>
        <v>259</v>
      </c>
      <c r="C171" s="3">
        <f>230</f>
        <v>230</v>
      </c>
      <c r="D171" s="3">
        <f>18+38+233</f>
        <v>289</v>
      </c>
      <c r="E171" s="3">
        <f>217</f>
        <v>217</v>
      </c>
      <c r="F171" s="3">
        <f>195</f>
        <v>195</v>
      </c>
      <c r="G171" s="3">
        <f>214</f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H172:I172" si="60">+SUM(H167:H171)</f>
        <v>577</v>
      </c>
      <c r="I172" s="5">
        <f t="shared" si="60"/>
        <v>561</v>
      </c>
    </row>
    <row r="173" spans="1:9" x14ac:dyDescent="0.2">
      <c r="A173" s="2" t="s">
        <v>104</v>
      </c>
      <c r="B173" s="3">
        <f>18</f>
        <v>18</v>
      </c>
      <c r="C173" s="3">
        <f>27</f>
        <v>27</v>
      </c>
      <c r="D173" s="3">
        <f>28</f>
        <v>28</v>
      </c>
      <c r="E173" s="3">
        <f>33</f>
        <v>33</v>
      </c>
      <c r="F173" s="3">
        <f>31</f>
        <v>31</v>
      </c>
      <c r="G173" s="3">
        <f>25</f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</f>
        <v>75</v>
      </c>
      <c r="C174" s="3">
        <f>84</f>
        <v>84</v>
      </c>
      <c r="D174" s="3">
        <f>91</f>
        <v>91</v>
      </c>
      <c r="E174" s="3">
        <f>110</f>
        <v>110</v>
      </c>
      <c r="F174" s="3">
        <f>116</f>
        <v>116</v>
      </c>
      <c r="G174" s="3">
        <f>112</f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H175" si="62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/>
      <c r="C176" s="13"/>
      <c r="D176" s="13"/>
      <c r="E176" s="13"/>
      <c r="F176" s="13"/>
      <c r="G176" s="13"/>
      <c r="H176" s="13">
        <f t="shared" ref="H176" si="63">+H175-H66</f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 t="e">
        <f>B107/K107-1</f>
        <v>#DIV/0!</v>
      </c>
      <c r="C179" s="34">
        <f t="shared" ref="C179:H194" si="64">C107/B107-1</f>
        <v>7.4526928675400228E-2</v>
      </c>
      <c r="D179" s="34">
        <f t="shared" si="64"/>
        <v>3.0615009482525046E-2</v>
      </c>
      <c r="E179" s="34">
        <f t="shared" si="64"/>
        <v>-2.372502628811779E-2</v>
      </c>
      <c r="F179" s="34">
        <f t="shared" si="64"/>
        <v>7.0481319421070276E-2</v>
      </c>
      <c r="G179" s="34">
        <f t="shared" si="64"/>
        <v>-8.9171173437303519E-2</v>
      </c>
      <c r="H179" s="34">
        <f t="shared" si="64"/>
        <v>0.18606738470035911</v>
      </c>
      <c r="I179" s="34">
        <v>7.0000000000000007E-2</v>
      </c>
    </row>
    <row r="180" spans="1:9" x14ac:dyDescent="0.2">
      <c r="A180" s="31" t="s">
        <v>113</v>
      </c>
      <c r="B180" s="65" t="e">
        <f t="shared" ref="B180:B200" si="65">B108/K108-1</f>
        <v>#DIV/0!</v>
      </c>
      <c r="C180" s="30">
        <f t="shared" si="64"/>
        <v>9.3228309428638578E-2</v>
      </c>
      <c r="D180" s="30">
        <f t="shared" si="64"/>
        <v>4.1402301322722934E-2</v>
      </c>
      <c r="E180" s="30">
        <f t="shared" si="64"/>
        <v>-3.7381247418422192E-2</v>
      </c>
      <c r="F180" s="30">
        <f t="shared" si="64"/>
        <v>7.755846384895948E-2</v>
      </c>
      <c r="G180" s="30">
        <f t="shared" si="64"/>
        <v>-7.1279243404678949E-2</v>
      </c>
      <c r="H180" s="30">
        <f t="shared" si="64"/>
        <v>0.24815092721620746</v>
      </c>
      <c r="I180" s="30">
        <v>0.05</v>
      </c>
    </row>
    <row r="181" spans="1:9" x14ac:dyDescent="0.2">
      <c r="A181" s="31" t="s">
        <v>114</v>
      </c>
      <c r="B181" s="65" t="e">
        <f t="shared" si="65"/>
        <v>#DIV/0!</v>
      </c>
      <c r="C181" s="30">
        <f t="shared" si="64"/>
        <v>7.6190476190476142E-2</v>
      </c>
      <c r="D181" s="30">
        <f t="shared" si="64"/>
        <v>2.9498525073746285E-2</v>
      </c>
      <c r="E181" s="30">
        <f t="shared" si="64"/>
        <v>1.0642652476463343E-2</v>
      </c>
      <c r="F181" s="30">
        <f t="shared" si="64"/>
        <v>6.5208586472256025E-2</v>
      </c>
      <c r="G181" s="30">
        <f t="shared" si="64"/>
        <v>-0.11806083650190113</v>
      </c>
      <c r="H181" s="30">
        <f t="shared" si="64"/>
        <v>8.3854278939426541E-2</v>
      </c>
      <c r="I181" s="30">
        <v>0.09</v>
      </c>
    </row>
    <row r="182" spans="1:9" x14ac:dyDescent="0.2">
      <c r="A182" s="31" t="s">
        <v>115</v>
      </c>
      <c r="B182" s="65" t="e">
        <f t="shared" si="65"/>
        <v>#DIV/0!</v>
      </c>
      <c r="C182" s="30">
        <f t="shared" si="64"/>
        <v>-0.12742718446601942</v>
      </c>
      <c r="D182" s="30">
        <f t="shared" si="64"/>
        <v>-0.10152990264255912</v>
      </c>
      <c r="E182" s="30">
        <f t="shared" si="64"/>
        <v>-7.8947368421052655E-2</v>
      </c>
      <c r="F182" s="30">
        <f t="shared" si="64"/>
        <v>3.3613445378151141E-3</v>
      </c>
      <c r="G182" s="30">
        <f t="shared" si="64"/>
        <v>-0.13567839195979903</v>
      </c>
      <c r="H182" s="30">
        <f t="shared" si="64"/>
        <v>-1.744186046511631E-2</v>
      </c>
      <c r="I182" s="30">
        <v>0.25</v>
      </c>
    </row>
    <row r="183" spans="1:9" x14ac:dyDescent="0.2">
      <c r="A183" s="33" t="s">
        <v>101</v>
      </c>
      <c r="B183" s="34" t="e">
        <f t="shared" si="65"/>
        <v>#DIV/0!</v>
      </c>
      <c r="C183" s="34">
        <f t="shared" si="64"/>
        <v>6.2026382262138746E-2</v>
      </c>
      <c r="D183" s="34">
        <f t="shared" si="64"/>
        <v>5.3118393234672379E-2</v>
      </c>
      <c r="E183" s="34">
        <f t="shared" si="64"/>
        <v>0.15959849435382689</v>
      </c>
      <c r="F183" s="34">
        <f t="shared" si="64"/>
        <v>6.1674962129409261E-2</v>
      </c>
      <c r="G183" s="34">
        <f t="shared" si="64"/>
        <v>-4.7390949857317621E-2</v>
      </c>
      <c r="H183" s="34">
        <f t="shared" si="64"/>
        <v>0.22563389322777372</v>
      </c>
      <c r="I183" s="34">
        <v>0.12</v>
      </c>
    </row>
    <row r="184" spans="1:9" x14ac:dyDescent="0.2">
      <c r="A184" s="31" t="s">
        <v>113</v>
      </c>
      <c r="B184" s="66" t="e">
        <f t="shared" si="65"/>
        <v>#DIV/0!</v>
      </c>
      <c r="C184" s="30">
        <f t="shared" si="64"/>
        <v>7.2294280246651077E-2</v>
      </c>
      <c r="D184" s="30">
        <f>D112/C112-1</f>
        <v>2.9545905215149659E-2</v>
      </c>
      <c r="E184" s="30">
        <f>E112/D112-1</f>
        <v>0.1315485362095532</v>
      </c>
      <c r="F184" s="30">
        <f>F112/E112-1</f>
        <v>7.1148936170212673E-2</v>
      </c>
      <c r="G184" s="30">
        <f>G112/F112-1</f>
        <v>-6.3721595423486432E-2</v>
      </c>
      <c r="H184" s="30">
        <f>H112/G112-1</f>
        <v>0.18295994568907004</v>
      </c>
      <c r="I184" s="30">
        <v>0.09</v>
      </c>
    </row>
    <row r="185" spans="1:9" x14ac:dyDescent="0.2">
      <c r="A185" s="31" t="s">
        <v>114</v>
      </c>
      <c r="B185" s="66" t="e">
        <f t="shared" si="65"/>
        <v>#DIV/0!</v>
      </c>
      <c r="C185" s="30">
        <f t="shared" si="64"/>
        <v>4.7781569965870352E-2</v>
      </c>
      <c r="D185" s="30">
        <f t="shared" si="64"/>
        <v>0.11447184737087013</v>
      </c>
      <c r="E185" s="30">
        <f t="shared" si="64"/>
        <v>0.22755741127348639</v>
      </c>
      <c r="F185" s="30">
        <f t="shared" si="64"/>
        <v>5.0000000000000044E-2</v>
      </c>
      <c r="G185" s="30">
        <f t="shared" si="64"/>
        <v>-1.1013929381276322E-2</v>
      </c>
      <c r="H185" s="30">
        <f t="shared" si="64"/>
        <v>0.30887651490337364</v>
      </c>
      <c r="I185" s="30">
        <v>0.16</v>
      </c>
    </row>
    <row r="186" spans="1:9" x14ac:dyDescent="0.2">
      <c r="A186" s="31" t="s">
        <v>115</v>
      </c>
      <c r="B186" s="66" t="e">
        <f t="shared" si="65"/>
        <v>#DIV/0!</v>
      </c>
      <c r="C186" s="30">
        <f t="shared" si="64"/>
        <v>1.0752688172043001E-2</v>
      </c>
      <c r="D186" s="30">
        <f t="shared" si="64"/>
        <v>1.8617021276595702E-2</v>
      </c>
      <c r="E186" s="30">
        <f t="shared" si="64"/>
        <v>0.11488250652741505</v>
      </c>
      <c r="F186" s="30">
        <f t="shared" si="64"/>
        <v>1.1709601873536313E-2</v>
      </c>
      <c r="G186" s="30">
        <f t="shared" si="64"/>
        <v>-6.944444444444442E-2</v>
      </c>
      <c r="H186" s="30">
        <f t="shared" si="64"/>
        <v>0.21890547263681581</v>
      </c>
      <c r="I186" s="30">
        <v>0.17</v>
      </c>
    </row>
    <row r="187" spans="1:9" x14ac:dyDescent="0.2">
      <c r="A187" s="33" t="s">
        <v>102</v>
      </c>
      <c r="B187" s="34" t="e">
        <f t="shared" si="65"/>
        <v>#DIV/0!</v>
      </c>
      <c r="C187" s="34">
        <f t="shared" si="64"/>
        <v>0.23410498858819695</v>
      </c>
      <c r="D187" s="34">
        <f t="shared" si="64"/>
        <v>0.11941875825627468</v>
      </c>
      <c r="E187" s="34">
        <f t="shared" si="64"/>
        <v>0.21170639603493036</v>
      </c>
      <c r="F187" s="34">
        <f t="shared" si="64"/>
        <v>0.20919361121932223</v>
      </c>
      <c r="G187" s="34">
        <f t="shared" si="64"/>
        <v>7.5869845360824639E-2</v>
      </c>
      <c r="H187" s="34">
        <f t="shared" si="64"/>
        <v>0.24120377301991325</v>
      </c>
      <c r="I187" s="34">
        <v>-0.13</v>
      </c>
    </row>
    <row r="188" spans="1:9" x14ac:dyDescent="0.2">
      <c r="A188" s="31" t="s">
        <v>113</v>
      </c>
      <c r="B188" s="66" t="e">
        <f t="shared" si="65"/>
        <v>#DIV/0!</v>
      </c>
      <c r="C188" s="30">
        <f t="shared" si="64"/>
        <v>0.28918650793650791</v>
      </c>
      <c r="D188" s="30">
        <f t="shared" si="64"/>
        <v>0.12350904193920731</v>
      </c>
      <c r="E188" s="30">
        <f t="shared" si="64"/>
        <v>0.19726027397260282</v>
      </c>
      <c r="F188" s="30">
        <f t="shared" si="64"/>
        <v>0.21910755148741412</v>
      </c>
      <c r="G188" s="30">
        <f t="shared" si="64"/>
        <v>8.7517597372125833E-2</v>
      </c>
      <c r="H188" s="30">
        <f t="shared" si="64"/>
        <v>0.24012944983818763</v>
      </c>
      <c r="I188" s="30">
        <v>-0.1</v>
      </c>
    </row>
    <row r="189" spans="1:9" x14ac:dyDescent="0.2">
      <c r="A189" s="31" t="s">
        <v>114</v>
      </c>
      <c r="B189" s="66" t="e">
        <f t="shared" si="65"/>
        <v>#DIV/0!</v>
      </c>
      <c r="C189" s="30">
        <f t="shared" si="64"/>
        <v>0.14054054054054044</v>
      </c>
      <c r="D189" s="30">
        <f t="shared" si="64"/>
        <v>0.12606635071090055</v>
      </c>
      <c r="E189" s="30">
        <f t="shared" si="64"/>
        <v>0.26936026936026947</v>
      </c>
      <c r="F189" s="30">
        <f t="shared" si="64"/>
        <v>0.19893899204244025</v>
      </c>
      <c r="G189" s="30">
        <f t="shared" si="64"/>
        <v>4.8672566371681381E-2</v>
      </c>
      <c r="H189" s="30">
        <f t="shared" si="64"/>
        <v>0.2378691983122363</v>
      </c>
      <c r="I189" s="30">
        <v>-0.21</v>
      </c>
    </row>
    <row r="190" spans="1:9" x14ac:dyDescent="0.2">
      <c r="A190" s="31" t="s">
        <v>115</v>
      </c>
      <c r="B190" s="66" t="e">
        <f t="shared" si="65"/>
        <v>#DIV/0!</v>
      </c>
      <c r="C190" s="30">
        <f t="shared" si="64"/>
        <v>3.9682539682539764E-2</v>
      </c>
      <c r="D190" s="30">
        <f t="shared" si="64"/>
        <v>-1.5267175572519109E-2</v>
      </c>
      <c r="E190" s="30">
        <f t="shared" si="64"/>
        <v>7.7519379844961378E-3</v>
      </c>
      <c r="F190" s="30">
        <f t="shared" si="64"/>
        <v>6.1538461538461542E-2</v>
      </c>
      <c r="G190" s="30">
        <f t="shared" si="64"/>
        <v>7.2463768115942129E-2</v>
      </c>
      <c r="H190" s="30">
        <f t="shared" si="64"/>
        <v>0.31756756756756754</v>
      </c>
      <c r="I190" s="30">
        <v>-0.06</v>
      </c>
    </row>
    <row r="191" spans="1:9" x14ac:dyDescent="0.2">
      <c r="A191" s="33" t="s">
        <v>106</v>
      </c>
      <c r="B191" s="34" t="e">
        <f t="shared" si="65"/>
        <v>#DIV/0!</v>
      </c>
      <c r="C191" s="34">
        <f t="shared" si="64"/>
        <v>-7.2211476466795599E-2</v>
      </c>
      <c r="D191" s="34">
        <f t="shared" si="64"/>
        <v>9.7289784572619942E-2</v>
      </c>
      <c r="E191" s="34">
        <f t="shared" si="64"/>
        <v>9.0563647878403986E-2</v>
      </c>
      <c r="F191" s="34">
        <f t="shared" si="64"/>
        <v>1.7034456058846237E-2</v>
      </c>
      <c r="G191" s="34">
        <f t="shared" si="64"/>
        <v>-4.3014845831747195E-2</v>
      </c>
      <c r="H191" s="34">
        <f t="shared" si="64"/>
        <v>6.2649164677804237E-2</v>
      </c>
      <c r="I191" s="34">
        <v>0.16</v>
      </c>
    </row>
    <row r="192" spans="1:9" x14ac:dyDescent="0.2">
      <c r="A192" s="31" t="s">
        <v>113</v>
      </c>
      <c r="B192" s="66" t="e">
        <f t="shared" si="65"/>
        <v>#DIV/0!</v>
      </c>
      <c r="C192" s="30">
        <f t="shared" si="64"/>
        <v>-5.269964435822827E-2</v>
      </c>
      <c r="D192" s="30">
        <f t="shared" si="64"/>
        <v>0.12116040955631391</v>
      </c>
      <c r="E192" s="30">
        <f t="shared" si="64"/>
        <v>8.8280060882800715E-2</v>
      </c>
      <c r="F192" s="30">
        <f t="shared" si="64"/>
        <v>1.3146853146853044E-2</v>
      </c>
      <c r="G192" s="30">
        <f t="shared" si="64"/>
        <v>-4.7763666482606326E-2</v>
      </c>
      <c r="H192" s="30">
        <f t="shared" si="64"/>
        <v>6.0887213685126174E-2</v>
      </c>
      <c r="I192" s="30">
        <v>0.17</v>
      </c>
    </row>
    <row r="193" spans="1:9" x14ac:dyDescent="0.2">
      <c r="A193" s="31" t="s">
        <v>114</v>
      </c>
      <c r="B193" s="66" t="e">
        <f t="shared" si="65"/>
        <v>#DIV/0!</v>
      </c>
      <c r="C193" s="30">
        <f t="shared" si="64"/>
        <v>-0.10640000000000005</v>
      </c>
      <c r="D193" s="30">
        <f t="shared" si="64"/>
        <v>6.0877350044762801E-2</v>
      </c>
      <c r="E193" s="30">
        <f t="shared" si="64"/>
        <v>0.13670886075949373</v>
      </c>
      <c r="F193" s="30">
        <f t="shared" si="64"/>
        <v>3.563474387527843E-2</v>
      </c>
      <c r="G193" s="30">
        <f t="shared" si="64"/>
        <v>-2.1505376344086002E-2</v>
      </c>
      <c r="H193" s="30">
        <f t="shared" si="64"/>
        <v>9.4505494505494614E-2</v>
      </c>
      <c r="I193" s="30">
        <v>0.12</v>
      </c>
    </row>
    <row r="194" spans="1:9" x14ac:dyDescent="0.2">
      <c r="A194" s="31" t="s">
        <v>115</v>
      </c>
      <c r="B194" s="66" t="e">
        <f t="shared" si="65"/>
        <v>#DIV/0!</v>
      </c>
      <c r="C194" s="30">
        <f t="shared" si="64"/>
        <v>-0.12903225806451613</v>
      </c>
      <c r="D194" s="30">
        <f t="shared" si="64"/>
        <v>-1.1111111111111072E-2</v>
      </c>
      <c r="E194" s="30">
        <f t="shared" si="64"/>
        <v>-8.6142322097378266E-2</v>
      </c>
      <c r="F194" s="30">
        <f t="shared" si="64"/>
        <v>-2.8688524590163911E-2</v>
      </c>
      <c r="G194" s="30">
        <f t="shared" si="64"/>
        <v>-9.7046413502109741E-2</v>
      </c>
      <c r="H194" s="30">
        <f t="shared" si="64"/>
        <v>-0.11214953271028039</v>
      </c>
      <c r="I194" s="30">
        <v>0.28000000000000003</v>
      </c>
    </row>
    <row r="195" spans="1:9" x14ac:dyDescent="0.2">
      <c r="A195" s="33" t="s">
        <v>107</v>
      </c>
      <c r="B195" s="34" t="e">
        <f t="shared" si="65"/>
        <v>#DIV/0!</v>
      </c>
      <c r="C195" s="34">
        <f t="shared" ref="C195:H197" si="66">C123/B123-1</f>
        <v>-0.36521739130434783</v>
      </c>
      <c r="D195" s="34">
        <f t="shared" si="66"/>
        <v>0</v>
      </c>
      <c r="E195" s="34">
        <f t="shared" si="66"/>
        <v>0.20547945205479445</v>
      </c>
      <c r="F195" s="34">
        <f t="shared" si="66"/>
        <v>-0.52272727272727271</v>
      </c>
      <c r="G195" s="34">
        <f t="shared" si="66"/>
        <v>-0.2857142857142857</v>
      </c>
      <c r="H195" s="34">
        <f t="shared" si="66"/>
        <v>-0.16666666666666663</v>
      </c>
      <c r="I195" s="34">
        <v>3.02</v>
      </c>
    </row>
    <row r="196" spans="1:9" x14ac:dyDescent="0.2">
      <c r="A196" s="35" t="s">
        <v>103</v>
      </c>
      <c r="B196" s="67" t="e">
        <f t="shared" si="65"/>
        <v>#DIV/0!</v>
      </c>
      <c r="C196" s="37">
        <f t="shared" si="66"/>
        <v>6.2924636772237807E-2</v>
      </c>
      <c r="D196" s="37">
        <f t="shared" si="66"/>
        <v>5.6577179008096445E-2</v>
      </c>
      <c r="E196" s="37">
        <f t="shared" si="66"/>
        <v>6.9866286104303121E-2</v>
      </c>
      <c r="F196" s="37">
        <f t="shared" si="66"/>
        <v>7.9251848629839028E-2</v>
      </c>
      <c r="G196" s="37">
        <f t="shared" si="66"/>
        <v>-4.4333387070772168E-2</v>
      </c>
      <c r="H196" s="37">
        <f t="shared" si="66"/>
        <v>0.18907444894286995</v>
      </c>
      <c r="I196" s="37">
        <v>0.06</v>
      </c>
    </row>
    <row r="197" spans="1:9" x14ac:dyDescent="0.2">
      <c r="A197" s="33" t="s">
        <v>104</v>
      </c>
      <c r="B197" s="67" t="e">
        <f t="shared" si="65"/>
        <v>#DIV/0!</v>
      </c>
      <c r="C197" s="34">
        <f t="shared" si="66"/>
        <v>-1.3622603430877955E-2</v>
      </c>
      <c r="D197" s="34">
        <f t="shared" si="66"/>
        <v>4.4501278772378416E-2</v>
      </c>
      <c r="E197" s="34">
        <f t="shared" si="66"/>
        <v>-7.6395690499510338E-2</v>
      </c>
      <c r="F197" s="34">
        <f t="shared" si="66"/>
        <v>1.0604453870625585E-2</v>
      </c>
      <c r="G197" s="34">
        <f t="shared" si="66"/>
        <v>-3.147953830010497E-2</v>
      </c>
      <c r="H197" s="34">
        <f t="shared" si="66"/>
        <v>0.19447453954496208</v>
      </c>
      <c r="I197" s="34">
        <v>7.0000000000000007E-2</v>
      </c>
    </row>
    <row r="198" spans="1:9" x14ac:dyDescent="0.2">
      <c r="A198" s="31" t="s">
        <v>113</v>
      </c>
      <c r="B198" s="67" t="e">
        <f t="shared" si="65"/>
        <v>#DIV/0!</v>
      </c>
      <c r="C198" s="68"/>
      <c r="D198" s="68"/>
      <c r="E198" s="68"/>
      <c r="F198" s="68"/>
      <c r="G198" s="68"/>
      <c r="H198" s="68"/>
      <c r="I198" s="30">
        <v>0.06</v>
      </c>
    </row>
    <row r="199" spans="1:9" x14ac:dyDescent="0.2">
      <c r="A199" s="31" t="s">
        <v>114</v>
      </c>
      <c r="B199" s="67" t="e">
        <f t="shared" si="65"/>
        <v>#DIV/0!</v>
      </c>
      <c r="C199" s="68"/>
      <c r="D199" s="68"/>
      <c r="E199" s="68"/>
      <c r="F199" s="68"/>
      <c r="G199" s="68"/>
      <c r="H199" s="68"/>
      <c r="I199" s="30">
        <v>-0.03</v>
      </c>
    </row>
    <row r="200" spans="1:9" x14ac:dyDescent="0.2">
      <c r="A200" s="31" t="s">
        <v>115</v>
      </c>
      <c r="B200" s="67" t="e">
        <f t="shared" si="65"/>
        <v>#DIV/0!</v>
      </c>
      <c r="C200" s="68"/>
      <c r="D200" s="68"/>
      <c r="E200" s="68"/>
      <c r="F200" s="68"/>
      <c r="G200" s="68"/>
      <c r="H200" s="68"/>
      <c r="I200" s="30">
        <v>-0.16</v>
      </c>
    </row>
    <row r="201" spans="1:9" x14ac:dyDescent="0.2">
      <c r="A201" s="31" t="s">
        <v>121</v>
      </c>
      <c r="B201" s="69"/>
      <c r="C201" s="68"/>
      <c r="D201" s="68"/>
      <c r="E201" s="68"/>
      <c r="F201" s="68"/>
      <c r="G201" s="68"/>
      <c r="H201" s="68"/>
      <c r="I201" s="30">
        <v>0.42</v>
      </c>
    </row>
    <row r="202" spans="1:9" x14ac:dyDescent="0.2">
      <c r="A202" s="29" t="s">
        <v>108</v>
      </c>
      <c r="B202" s="68"/>
      <c r="C202" s="30">
        <f>C130/B130-1</f>
        <v>4.8780487804878092E-2</v>
      </c>
      <c r="D202" s="30">
        <f t="shared" ref="D202:H202" si="67">D130/C130-1</f>
        <v>-1.8720930232558139</v>
      </c>
      <c r="E202" s="30">
        <f t="shared" si="67"/>
        <v>-0.65333333333333332</v>
      </c>
      <c r="F202" s="30">
        <f t="shared" si="67"/>
        <v>-1.2692307692307692</v>
      </c>
      <c r="G202" s="30">
        <f t="shared" si="67"/>
        <v>0.5714285714285714</v>
      </c>
      <c r="H202" s="30">
        <f t="shared" si="67"/>
        <v>-4.6363636363636367</v>
      </c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A5" workbookViewId="0">
      <selection activeCell="R31" sqref="R3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>
        <f>I3*(1+0%)</f>
        <v>46710</v>
      </c>
      <c r="K3" s="3">
        <f t="shared" ref="K3:N3" si="2">J3*(1+0%)</f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2">
      <c r="A4" s="42" t="s">
        <v>129</v>
      </c>
      <c r="B4" s="70">
        <f>B3/[1]Historicals!K125-1</f>
        <v>0.17191329656862742</v>
      </c>
      <c r="C4" s="71">
        <f>C3/B3-1</f>
        <v>5.8004640371229765E-2</v>
      </c>
      <c r="D4" s="71">
        <f t="shared" ref="D4:I4" si="3">D3/C3-1</f>
        <v>6.0971089696071123E-2</v>
      </c>
      <c r="E4" s="71">
        <f t="shared" si="3"/>
        <v>5.95924308588065E-2</v>
      </c>
      <c r="F4" s="71">
        <f t="shared" si="3"/>
        <v>7.4731433909388079E-2</v>
      </c>
      <c r="G4" s="71">
        <f t="shared" si="3"/>
        <v>-4.3817266150267153E-2</v>
      </c>
      <c r="H4" s="71">
        <f t="shared" si="3"/>
        <v>0.19076009945726269</v>
      </c>
      <c r="I4" s="71">
        <f t="shared" si="3"/>
        <v>4.8767344739323759E-2</v>
      </c>
      <c r="J4" s="47">
        <f>J3/I3-1</f>
        <v>0</v>
      </c>
      <c r="K4" s="47">
        <f t="shared" ref="K4:N4" si="4">K3/J3-1</f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130</v>
      </c>
      <c r="B5">
        <f>B11+B8</f>
        <v>5423</v>
      </c>
      <c r="C5">
        <f t="shared" ref="C5:I5" si="5">C11+C8</f>
        <v>5977</v>
      </c>
      <c r="D5">
        <f t="shared" si="5"/>
        <v>5898</v>
      </c>
      <c r="E5">
        <f t="shared" si="5"/>
        <v>6272</v>
      </c>
      <c r="F5">
        <f t="shared" si="5"/>
        <v>7062</v>
      </c>
      <c r="G5">
        <f t="shared" si="5"/>
        <v>5367</v>
      </c>
      <c r="H5">
        <f t="shared" si="5"/>
        <v>9385</v>
      </c>
      <c r="I5">
        <f t="shared" si="5"/>
        <v>9123</v>
      </c>
      <c r="J5">
        <f>I5*(1+0%)</f>
        <v>9123</v>
      </c>
      <c r="K5">
        <f t="shared" ref="K5:N5" si="6">J5*(1+0%)</f>
        <v>9123</v>
      </c>
      <c r="L5">
        <f t="shared" si="6"/>
        <v>9123</v>
      </c>
      <c r="M5">
        <f t="shared" si="6"/>
        <v>9123</v>
      </c>
      <c r="N5">
        <f t="shared" si="6"/>
        <v>9123</v>
      </c>
      <c r="O5" t="s">
        <v>143</v>
      </c>
    </row>
    <row r="6" spans="1:15" x14ac:dyDescent="0.2">
      <c r="A6" s="42" t="s">
        <v>129</v>
      </c>
      <c r="B6" s="71">
        <f>B5/4266-1</f>
        <v>0.27121425222691053</v>
      </c>
      <c r="C6" s="71">
        <f>C5/B5-1</f>
        <v>0.10215747741102721</v>
      </c>
      <c r="D6" s="71">
        <f t="shared" ref="D6:I6" si="7">D5/C5-1</f>
        <v>-1.3217333110255969E-2</v>
      </c>
      <c r="E6" s="71">
        <f t="shared" si="7"/>
        <v>6.3411325873177438E-2</v>
      </c>
      <c r="F6" s="71">
        <f t="shared" si="7"/>
        <v>0.12595663265306123</v>
      </c>
      <c r="G6" s="71">
        <f t="shared" si="7"/>
        <v>-0.24001699235344098</v>
      </c>
      <c r="H6" s="71">
        <f t="shared" si="7"/>
        <v>0.74864915222656969</v>
      </c>
      <c r="I6" s="71">
        <f t="shared" si="7"/>
        <v>-2.7916888652104399E-2</v>
      </c>
      <c r="J6" s="47">
        <f>J5/I5-1</f>
        <v>0</v>
      </c>
      <c r="K6" s="47">
        <f t="shared" ref="K6:N6" si="8">K5/J5-1</f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">
      <c r="A7" s="42" t="s">
        <v>131</v>
      </c>
      <c r="B7" s="71">
        <f>B5/B3</f>
        <v>0.1772164308355936</v>
      </c>
      <c r="C7" s="71">
        <f t="shared" ref="C7:I7" si="9">C5/C3</f>
        <v>0.1846120583148011</v>
      </c>
      <c r="D7" s="71">
        <f t="shared" si="9"/>
        <v>0.17170305676855896</v>
      </c>
      <c r="E7" s="71">
        <f t="shared" si="9"/>
        <v>0.17232189466164793</v>
      </c>
      <c r="F7" s="71">
        <f t="shared" si="9"/>
        <v>0.18053531712554644</v>
      </c>
      <c r="G7" s="71">
        <f t="shared" si="9"/>
        <v>0.14349116381038954</v>
      </c>
      <c r="H7" s="71">
        <f t="shared" si="9"/>
        <v>0.21071893663837621</v>
      </c>
      <c r="I7" s="71">
        <f t="shared" si="9"/>
        <v>0.19531149646756582</v>
      </c>
      <c r="J7" s="47">
        <f>J5/J3</f>
        <v>0.19531149646756582</v>
      </c>
      <c r="K7" s="47">
        <f t="shared" ref="K7:N7" si="10">K5/K3</f>
        <v>0.19531149646756582</v>
      </c>
      <c r="L7" s="47">
        <f t="shared" si="10"/>
        <v>0.19531149646756582</v>
      </c>
      <c r="M7" s="47">
        <f t="shared" si="10"/>
        <v>0.19531149646756582</v>
      </c>
      <c r="N7" s="47">
        <f t="shared" si="10"/>
        <v>0.19531149646756582</v>
      </c>
    </row>
    <row r="8" spans="1:15" x14ac:dyDescent="0.2">
      <c r="A8" s="41" t="s">
        <v>132</v>
      </c>
      <c r="B8">
        <v>606</v>
      </c>
      <c r="C8">
        <v>649</v>
      </c>
      <c r="D8">
        <v>706</v>
      </c>
      <c r="E8">
        <v>747</v>
      </c>
      <c r="F8">
        <v>705</v>
      </c>
      <c r="G8">
        <v>721</v>
      </c>
      <c r="H8">
        <v>744</v>
      </c>
      <c r="I8">
        <v>717</v>
      </c>
      <c r="J8">
        <f>I8*(1+0%)</f>
        <v>717</v>
      </c>
      <c r="K8">
        <f t="shared" ref="K8:N8" si="11">J8*(1+0%)</f>
        <v>717</v>
      </c>
      <c r="L8">
        <f t="shared" si="11"/>
        <v>717</v>
      </c>
      <c r="M8">
        <f t="shared" si="11"/>
        <v>717</v>
      </c>
      <c r="N8">
        <f t="shared" si="11"/>
        <v>717</v>
      </c>
      <c r="O8" t="s">
        <v>144</v>
      </c>
    </row>
    <row r="9" spans="1:15" x14ac:dyDescent="0.2">
      <c r="A9" s="42" t="s">
        <v>129</v>
      </c>
      <c r="B9" s="71">
        <f>B8/586-1</f>
        <v>3.4129692832764569E-2</v>
      </c>
      <c r="C9" s="71">
        <f>C8/B8-1</f>
        <v>7.0957095709570872E-2</v>
      </c>
      <c r="D9" s="71">
        <f t="shared" ref="D9:I9" si="12">D8/C8-1</f>
        <v>8.7827426810477727E-2</v>
      </c>
      <c r="E9" s="71">
        <f t="shared" si="12"/>
        <v>5.8073654390934815E-2</v>
      </c>
      <c r="F9" s="71">
        <f t="shared" si="12"/>
        <v>-5.6224899598393607E-2</v>
      </c>
      <c r="G9" s="71">
        <f t="shared" si="12"/>
        <v>2.2695035460992941E-2</v>
      </c>
      <c r="H9" s="71">
        <f t="shared" si="12"/>
        <v>3.1900138696255187E-2</v>
      </c>
      <c r="I9" s="71">
        <f t="shared" si="12"/>
        <v>-3.6290322580645129E-2</v>
      </c>
      <c r="J9" s="47">
        <f>J8/I8-1</f>
        <v>0</v>
      </c>
      <c r="K9" s="47">
        <f t="shared" ref="K9:N9" si="13">K8/J8-1</f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2">
      <c r="A10" s="42" t="s">
        <v>133</v>
      </c>
      <c r="B10" s="71">
        <f>B8/B3</f>
        <v>1.9803274402797295E-2</v>
      </c>
      <c r="C10" s="71">
        <f t="shared" ref="C10:I10" si="14">C8/C3</f>
        <v>2.0045712873733631E-2</v>
      </c>
      <c r="D10" s="71">
        <f t="shared" si="14"/>
        <v>2.0553129548762736E-2</v>
      </c>
      <c r="E10" s="71">
        <f t="shared" si="14"/>
        <v>2.0523669533203285E-2</v>
      </c>
      <c r="F10" s="71">
        <f t="shared" si="14"/>
        <v>1.8022854513382928E-2</v>
      </c>
      <c r="G10" s="71">
        <f t="shared" si="14"/>
        <v>1.9276528620698875E-2</v>
      </c>
      <c r="H10" s="71">
        <f t="shared" si="14"/>
        <v>1.6704836319547355E-2</v>
      </c>
      <c r="I10" s="71">
        <f t="shared" si="14"/>
        <v>1.5350032113037893E-2</v>
      </c>
      <c r="J10" s="47">
        <f>J8/J3</f>
        <v>1.5350032113037893E-2</v>
      </c>
      <c r="K10" s="47">
        <f t="shared" ref="K10:N10" si="15">K8/K3</f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2">
      <c r="A11" s="41" t="s">
        <v>134</v>
      </c>
      <c r="B11">
        <v>4817</v>
      </c>
      <c r="C11">
        <v>5328</v>
      </c>
      <c r="D11">
        <v>5192</v>
      </c>
      <c r="E11">
        <v>5525</v>
      </c>
      <c r="F11">
        <v>6357</v>
      </c>
      <c r="G11">
        <v>4646</v>
      </c>
      <c r="H11">
        <v>8641</v>
      </c>
      <c r="I11">
        <v>8406</v>
      </c>
      <c r="J11">
        <f>I11*(1+0%)</f>
        <v>8406</v>
      </c>
      <c r="K11">
        <f t="shared" ref="K11:N11" si="16">J11*(1+0%)</f>
        <v>8406</v>
      </c>
      <c r="L11">
        <f t="shared" si="16"/>
        <v>8406</v>
      </c>
      <c r="M11">
        <f t="shared" si="16"/>
        <v>8406</v>
      </c>
      <c r="N11">
        <f t="shared" si="16"/>
        <v>8406</v>
      </c>
      <c r="O11" t="s">
        <v>145</v>
      </c>
    </row>
    <row r="12" spans="1:15" x14ac:dyDescent="0.2">
      <c r="A12" s="42" t="s">
        <v>129</v>
      </c>
      <c r="B12" s="72">
        <f>B11/3680-1</f>
        <v>0.3089673913043478</v>
      </c>
      <c r="C12" s="71">
        <f>C11/B11-1</f>
        <v>0.10608262403985891</v>
      </c>
      <c r="D12" s="71">
        <f t="shared" ref="D12:I12" si="17">D11/C11-1</f>
        <v>-2.5525525525525561E-2</v>
      </c>
      <c r="E12" s="71">
        <f t="shared" si="17"/>
        <v>6.4137134052388189E-2</v>
      </c>
      <c r="F12" s="71">
        <f t="shared" si="17"/>
        <v>0.15058823529411769</v>
      </c>
      <c r="G12" s="71">
        <f t="shared" si="17"/>
        <v>-0.26915211577788267</v>
      </c>
      <c r="H12" s="71">
        <f t="shared" si="17"/>
        <v>0.85987946620749023</v>
      </c>
      <c r="I12" s="71">
        <f t="shared" si="17"/>
        <v>-2.7195926397407755E-2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2">
      <c r="A13" s="42" t="s">
        <v>131</v>
      </c>
      <c r="B13" s="73">
        <f>B11/B3</f>
        <v>0.15741315643279633</v>
      </c>
      <c r="C13" s="73">
        <f t="shared" ref="C13:I13" si="19">C11/C3</f>
        <v>0.16456634544106746</v>
      </c>
      <c r="D13" s="73">
        <f t="shared" si="19"/>
        <v>0.15114992721979623</v>
      </c>
      <c r="E13" s="73">
        <f t="shared" si="19"/>
        <v>0.15179822512844465</v>
      </c>
      <c r="F13" s="73">
        <f t="shared" si="19"/>
        <v>0.16251246261216351</v>
      </c>
      <c r="G13" s="73">
        <f t="shared" si="19"/>
        <v>0.12421463518969067</v>
      </c>
      <c r="H13" s="73">
        <f t="shared" si="19"/>
        <v>0.19401410031882887</v>
      </c>
      <c r="I13" s="73">
        <f t="shared" si="19"/>
        <v>0.17996146435452795</v>
      </c>
      <c r="J13" s="47">
        <f t="shared" ref="J13:N13" si="20">+IFERROR(J11/J$3,"nm")</f>
        <v>0.17996146435452795</v>
      </c>
      <c r="K13" s="47">
        <f t="shared" si="20"/>
        <v>0.17996146435452795</v>
      </c>
      <c r="L13" s="47">
        <f t="shared" si="20"/>
        <v>0.17996146435452795</v>
      </c>
      <c r="M13" s="47">
        <f t="shared" si="20"/>
        <v>0.17996146435452795</v>
      </c>
      <c r="N13" s="47">
        <f t="shared" si="20"/>
        <v>0.17996146435452795</v>
      </c>
    </row>
    <row r="14" spans="1:15" x14ac:dyDescent="0.2">
      <c r="A14" s="41" t="s">
        <v>135</v>
      </c>
      <c r="B14" s="8">
        <f>[1]Historicals!B31-2834+[1]Historicals!B66</f>
        <v>64</v>
      </c>
      <c r="C14" s="8">
        <f>[1]Historicals!C31-[1]Historicals!B31+[1]Historicals!C66</f>
        <v>429</v>
      </c>
      <c r="D14" s="8">
        <f>[1]Historicals!D31-[1]Historicals!C31+[1]Historicals!D66</f>
        <v>196</v>
      </c>
      <c r="E14" s="8">
        <f>[1]Historicals!E31-[1]Historicals!D31+[1]Historicals!E66</f>
        <v>1112</v>
      </c>
      <c r="F14" s="8">
        <f>[1]Historicals!F31-[1]Historicals!E31+[1]Historicals!F66</f>
        <v>324</v>
      </c>
      <c r="G14" s="8">
        <f>[1]Historicals!G31-[1]Historicals!F31+[1]Historicals!G66</f>
        <v>-258</v>
      </c>
      <c r="H14" s="8">
        <f>[1]Historicals!H31-[1]Historicals!G31+[1]Historicals!H66</f>
        <v>782</v>
      </c>
      <c r="I14" s="8">
        <f>[1]Historicals!I31-[1]Historicals!H31+[1]Historicals!I66</f>
        <v>604</v>
      </c>
      <c r="J14">
        <f>604*(1+0%)</f>
        <v>604</v>
      </c>
      <c r="K14">
        <f t="shared" ref="K14:N14" si="21">604*(1+0%)</f>
        <v>604</v>
      </c>
      <c r="L14">
        <f t="shared" si="21"/>
        <v>604</v>
      </c>
      <c r="M14">
        <f t="shared" si="21"/>
        <v>604</v>
      </c>
      <c r="N14">
        <f t="shared" si="21"/>
        <v>604</v>
      </c>
      <c r="O14" t="s">
        <v>146</v>
      </c>
    </row>
    <row r="15" spans="1:15" x14ac:dyDescent="0.2">
      <c r="A15" s="42" t="s">
        <v>129</v>
      </c>
      <c r="B15" s="71">
        <f>1.89%</f>
        <v>1.89E-2</v>
      </c>
      <c r="C15" s="70">
        <f>C14/B14-1</f>
        <v>5.703125</v>
      </c>
      <c r="D15" s="70">
        <f t="shared" ref="D15:I15" si="22">D14/C14-1</f>
        <v>-0.54312354312354305</v>
      </c>
      <c r="E15" s="70">
        <f t="shared" si="22"/>
        <v>4.6734693877551017</v>
      </c>
      <c r="F15" s="70">
        <f t="shared" si="22"/>
        <v>-0.70863309352517989</v>
      </c>
      <c r="G15" s="70">
        <f t="shared" si="22"/>
        <v>-1.7962962962962963</v>
      </c>
      <c r="H15" s="70">
        <f t="shared" si="22"/>
        <v>-4.0310077519379846</v>
      </c>
      <c r="I15" s="70">
        <f t="shared" si="22"/>
        <v>-0.22762148337595911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2">
      <c r="A16" s="42" t="s">
        <v>133</v>
      </c>
      <c r="B16" s="71">
        <f>B14/B3</f>
        <v>2.091434920427437E-3</v>
      </c>
      <c r="C16" s="71">
        <f>C14/C3</f>
        <v>1.3250555967383247E-2</v>
      </c>
      <c r="D16" s="71">
        <f t="shared" ref="D16:I16" si="24">D14/D3</f>
        <v>5.7059679767103352E-3</v>
      </c>
      <c r="E16" s="71">
        <f t="shared" si="24"/>
        <v>3.055196856883809E-2</v>
      </c>
      <c r="F16" s="71">
        <f t="shared" si="24"/>
        <v>8.2828437763632183E-3</v>
      </c>
      <c r="G16" s="71">
        <f t="shared" si="24"/>
        <v>-6.8978424190572945E-3</v>
      </c>
      <c r="H16" s="71">
        <f t="shared" si="24"/>
        <v>1.7558040325115633E-2</v>
      </c>
      <c r="I16" s="71">
        <f t="shared" si="24"/>
        <v>1.2930849925069578E-2</v>
      </c>
      <c r="J16" s="47">
        <f t="shared" ref="J16:N16" si="25">+IFERROR(J14/J$3,"nm")</f>
        <v>1.2930849925069578E-2</v>
      </c>
      <c r="K16" s="47">
        <f t="shared" si="25"/>
        <v>1.2930849925069578E-2</v>
      </c>
      <c r="L16" s="47">
        <f t="shared" si="25"/>
        <v>1.2930849925069578E-2</v>
      </c>
      <c r="M16" s="47">
        <f t="shared" si="25"/>
        <v>1.2930849925069578E-2</v>
      </c>
      <c r="N16" s="47">
        <f t="shared" si="25"/>
        <v>1.2930849925069578E-2</v>
      </c>
    </row>
    <row r="17" spans="1:15" x14ac:dyDescent="0.2">
      <c r="A17" s="9" t="s">
        <v>141</v>
      </c>
      <c r="B17" s="8">
        <f>[2]Historicals!B31</f>
        <v>3011</v>
      </c>
      <c r="C17" s="8">
        <f>[2]Historicals!C31</f>
        <v>3520</v>
      </c>
      <c r="D17" s="8">
        <f>[2]Historicals!D31</f>
        <v>3989</v>
      </c>
      <c r="E17" s="8">
        <f>[2]Historicals!E31</f>
        <v>4454</v>
      </c>
      <c r="F17" s="8">
        <f>[2]Historicals!F31</f>
        <v>4744</v>
      </c>
      <c r="G17" s="8">
        <f>[2]Historicals!G31</f>
        <v>4866</v>
      </c>
      <c r="H17" s="8">
        <f>[2]Historicals!H31</f>
        <v>4904</v>
      </c>
      <c r="I17" s="8">
        <f>[2]Historicals!I31</f>
        <v>4791</v>
      </c>
      <c r="J17">
        <f>I17*(1+0%)</f>
        <v>4791</v>
      </c>
      <c r="K17">
        <f t="shared" ref="K17:N17" si="26">J17*(1+0%)</f>
        <v>4791</v>
      </c>
      <c r="L17">
        <f t="shared" si="26"/>
        <v>4791</v>
      </c>
      <c r="M17">
        <f t="shared" si="26"/>
        <v>4791</v>
      </c>
      <c r="N17">
        <f t="shared" si="26"/>
        <v>4791</v>
      </c>
      <c r="O17" t="s">
        <v>147</v>
      </c>
    </row>
    <row r="18" spans="1:15" x14ac:dyDescent="0.2">
      <c r="A18" s="42" t="s">
        <v>129</v>
      </c>
      <c r="B18" s="47" t="e">
        <f>B17/B54-1</f>
        <v>#DIV/0!</v>
      </c>
      <c r="C18" s="47">
        <f>C17/B17-1</f>
        <v>0.16904682829624718</v>
      </c>
      <c r="D18" s="47">
        <f t="shared" ref="D18:I18" si="27">D17/C17-1</f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 t="shared" si="27"/>
        <v>-2.3042414355628038E-2</v>
      </c>
      <c r="J18" s="47">
        <f>J17/I17-1</f>
        <v>0</v>
      </c>
      <c r="K18" s="47">
        <f t="shared" ref="K18:N18" si="28">K17/J17-1</f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2">
      <c r="A19" s="42" t="s">
        <v>133</v>
      </c>
      <c r="B19" s="47">
        <f>B17/B3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>J17/J3</f>
        <v>0.10256904303147078</v>
      </c>
      <c r="K19" s="47">
        <f t="shared" ref="K19:N19" si="30">K17/K3</f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+[2]Historicals!B107</f>
        <v>13740</v>
      </c>
      <c r="C21" s="9">
        <f>+[2]Historicals!C107</f>
        <v>14764</v>
      </c>
      <c r="D21" s="9">
        <f>+[2]Historicals!D107</f>
        <v>15216</v>
      </c>
      <c r="E21" s="9">
        <f>+[2]Historicals!E107</f>
        <v>14855</v>
      </c>
      <c r="F21" s="9">
        <f>+[2]Historicals!F107</f>
        <v>15902</v>
      </c>
      <c r="G21" s="9">
        <f>+[2]Historicals!G107</f>
        <v>14484</v>
      </c>
      <c r="H21" s="9">
        <f>+[2]Historicals!H107</f>
        <v>17179</v>
      </c>
      <c r="I21" s="9">
        <f>+[2]Historicals!I107</f>
        <v>18353</v>
      </c>
      <c r="J21" s="9">
        <f>I21*(1+0%)</f>
        <v>18353</v>
      </c>
      <c r="K21" s="9">
        <f t="shared" ref="K21:N21" si="31">J21*(1+0%)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2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>J21/I21-1</f>
        <v>0</v>
      </c>
      <c r="K22" s="47">
        <f t="shared" ref="K22:N22" si="33">K21/J21-1</f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2">
      <c r="A23" s="45" t="s">
        <v>113</v>
      </c>
      <c r="B23" s="3">
        <f>+[2]Historicals!B108</f>
        <v>8506</v>
      </c>
      <c r="C23" s="3">
        <f>+[2]Historicals!C108</f>
        <v>9299</v>
      </c>
      <c r="D23" s="3">
        <f>+[2]Historicals!D108</f>
        <v>9684</v>
      </c>
      <c r="E23" s="3">
        <f>+[2]Historicals!E108</f>
        <v>9322</v>
      </c>
      <c r="F23" s="3">
        <f>+[2]Historicals!F108</f>
        <v>10045</v>
      </c>
      <c r="G23" s="3">
        <f>+[2]Historicals!G108</f>
        <v>9329</v>
      </c>
      <c r="H23" s="3">
        <f>+[2]Historicals!H108</f>
        <v>11644</v>
      </c>
      <c r="I23" s="3">
        <f>+[2]Historicals!I108</f>
        <v>12228</v>
      </c>
      <c r="J23" s="3">
        <f>I23*(1+0%)</f>
        <v>12228</v>
      </c>
      <c r="K23" s="3">
        <f t="shared" ref="K23:N23" si="34">J23*(1+0%)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2">
      <c r="A24" s="44" t="s">
        <v>129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J23/I23-1</f>
        <v>0</v>
      </c>
      <c r="K24" s="47">
        <f t="shared" ref="K24:N24" si="36">K23/J23-1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5" x14ac:dyDescent="0.2">
      <c r="A25" s="44" t="s">
        <v>137</v>
      </c>
      <c r="B25" s="47" t="e">
        <f>+[2]Historicals!B180</f>
        <v>#DIV/0!</v>
      </c>
      <c r="C25" s="47">
        <f>+[2]Historicals!C180</f>
        <v>9.3228309428638578E-2</v>
      </c>
      <c r="D25" s="47">
        <f>+[2]Historicals!D180</f>
        <v>4.1402301322722934E-2</v>
      </c>
      <c r="E25" s="47">
        <f>+[2]Historicals!E180</f>
        <v>-3.7381247418422192E-2</v>
      </c>
      <c r="F25" s="47">
        <f>+[2]Historicals!F180</f>
        <v>7.755846384895948E-2</v>
      </c>
      <c r="G25" s="47">
        <f>+[2]Historicals!G180</f>
        <v>-7.1279243404678949E-2</v>
      </c>
      <c r="H25" s="47">
        <f>+[2]Historicals!H180</f>
        <v>0</v>
      </c>
      <c r="I25" s="47">
        <f>+[2]Historicals!I180</f>
        <v>0.05</v>
      </c>
      <c r="J25" s="49">
        <f>J24</f>
        <v>0</v>
      </c>
      <c r="K25" s="49">
        <f t="shared" ref="K25:N26" si="37">K24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5" x14ac:dyDescent="0.2">
      <c r="A26" s="44" t="s">
        <v>138</v>
      </c>
      <c r="B26" s="47" t="str">
        <f t="shared" ref="B26:H26" si="38">+IFERROR(B24-B25,"nm")</f>
        <v>nm</v>
      </c>
      <c r="C26" s="47">
        <f t="shared" si="38"/>
        <v>0</v>
      </c>
      <c r="D26" s="47">
        <f t="shared" si="38"/>
        <v>0</v>
      </c>
      <c r="E26" s="47">
        <f t="shared" si="38"/>
        <v>0</v>
      </c>
      <c r="F26" s="47">
        <f t="shared" si="38"/>
        <v>0</v>
      </c>
      <c r="G26" s="47">
        <f t="shared" si="38"/>
        <v>0</v>
      </c>
      <c r="H26" s="47">
        <f t="shared" si="38"/>
        <v>0.24815092721620746</v>
      </c>
      <c r="I26" s="47">
        <f>+IFERROR(I24-I25,"nm")</f>
        <v>1.5458605290268046E-4</v>
      </c>
      <c r="J26" s="49">
        <f>J25</f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5" x14ac:dyDescent="0.2">
      <c r="A27" s="45" t="s">
        <v>114</v>
      </c>
      <c r="B27" s="3">
        <f>+[2]Historicals!B109</f>
        <v>4410</v>
      </c>
      <c r="C27" s="3">
        <f>+[2]Historicals!C109</f>
        <v>4746</v>
      </c>
      <c r="D27" s="3">
        <f>+[2]Historicals!D109</f>
        <v>4886</v>
      </c>
      <c r="E27" s="3">
        <f>+[2]Historicals!E109</f>
        <v>4938</v>
      </c>
      <c r="F27" s="3">
        <f>+[2]Historicals!F109</f>
        <v>5260</v>
      </c>
      <c r="G27" s="3">
        <f>+[2]Historicals!G109</f>
        <v>4639</v>
      </c>
      <c r="H27" s="3">
        <f>+[2]Historicals!H109</f>
        <v>5028</v>
      </c>
      <c r="I27" s="3">
        <f>+[2]Historicals!I109</f>
        <v>5492</v>
      </c>
      <c r="J27" s="3">
        <f>I27*(1+0%)</f>
        <v>5492</v>
      </c>
      <c r="K27" s="3">
        <f>J27*(1+0%)</f>
        <v>5492</v>
      </c>
      <c r="L27" s="3">
        <f>K27*(1+0%)</f>
        <v>5492</v>
      </c>
      <c r="M27" s="3">
        <f>L27*(1+0%)</f>
        <v>5492</v>
      </c>
      <c r="N27" s="3">
        <f>M27*(1+0%)</f>
        <v>5492</v>
      </c>
    </row>
    <row r="28" spans="1:15" x14ac:dyDescent="0.2">
      <c r="A28" s="44" t="s">
        <v>129</v>
      </c>
      <c r="B28" s="47" t="str">
        <f t="shared" ref="B28:H28" si="39">+IFERROR(B27/A27-1,"nm")</f>
        <v>nm</v>
      </c>
      <c r="C28" s="47">
        <f t="shared" si="39"/>
        <v>7.6190476190476142E-2</v>
      </c>
      <c r="D28" s="47">
        <f t="shared" si="39"/>
        <v>2.9498525073746285E-2</v>
      </c>
      <c r="E28" s="47">
        <f t="shared" si="39"/>
        <v>1.0642652476463343E-2</v>
      </c>
      <c r="F28" s="47">
        <f t="shared" si="39"/>
        <v>6.5208586472256025E-2</v>
      </c>
      <c r="G28" s="47">
        <f t="shared" si="39"/>
        <v>-0.11806083650190113</v>
      </c>
      <c r="H28" s="47">
        <f t="shared" si="39"/>
        <v>8.3854278939426541E-2</v>
      </c>
      <c r="I28" s="47">
        <f>+IFERROR(I27/H27-1,"nm")</f>
        <v>9.2283214001591007E-2</v>
      </c>
      <c r="J28" s="47">
        <f>J27/I27-1</f>
        <v>0</v>
      </c>
      <c r="K28" s="47">
        <f t="shared" ref="K28:N28" si="40">K27/J27-1</f>
        <v>0</v>
      </c>
      <c r="L28" s="47">
        <f t="shared" si="40"/>
        <v>0</v>
      </c>
      <c r="M28" s="47">
        <f t="shared" si="40"/>
        <v>0</v>
      </c>
      <c r="N28" s="47">
        <f t="shared" si="40"/>
        <v>0</v>
      </c>
    </row>
    <row r="29" spans="1:15" x14ac:dyDescent="0.2">
      <c r="A29" s="44" t="s">
        <v>137</v>
      </c>
      <c r="B29" s="47" t="e">
        <f>+[2]Historicals!B184</f>
        <v>#DIV/0!</v>
      </c>
      <c r="C29" s="47">
        <f>+[2]Historicals!C184</f>
        <v>7.2294280246651077E-2</v>
      </c>
      <c r="D29" s="47">
        <f>+[2]Historicals!D184</f>
        <v>2.9545905215149659E-2</v>
      </c>
      <c r="E29" s="47">
        <f>+[2]Historicals!E184</f>
        <v>0.1315485362095532</v>
      </c>
      <c r="F29" s="47">
        <f>+[2]Historicals!F184</f>
        <v>7.1148936170212673E-2</v>
      </c>
      <c r="G29" s="47">
        <f>+[2]Historicals!G184</f>
        <v>-6.3721595423486432E-2</v>
      </c>
      <c r="H29" s="47">
        <f>+[2]Historicals!H184</f>
        <v>0</v>
      </c>
      <c r="I29" s="47">
        <f>+[2]Historicals!I184</f>
        <v>0.09</v>
      </c>
      <c r="J29" s="49">
        <f>0%</f>
        <v>0</v>
      </c>
      <c r="K29" s="49">
        <f>0%</f>
        <v>0</v>
      </c>
      <c r="L29" s="49">
        <f>0%</f>
        <v>0</v>
      </c>
      <c r="M29" s="49">
        <f>0%</f>
        <v>0</v>
      </c>
      <c r="N29" s="49">
        <f>0%</f>
        <v>0</v>
      </c>
    </row>
    <row r="30" spans="1:15" x14ac:dyDescent="0.2">
      <c r="A30" s="44" t="s">
        <v>138</v>
      </c>
      <c r="B30" s="47" t="str">
        <f t="shared" ref="B30:H30" si="41">+IFERROR(B28-B29,"nm")</f>
        <v>nm</v>
      </c>
      <c r="C30" s="47">
        <f t="shared" si="41"/>
        <v>3.8961959438250648E-3</v>
      </c>
      <c r="D30" s="47">
        <f t="shared" si="41"/>
        <v>-4.7380141403374765E-5</v>
      </c>
      <c r="E30" s="47">
        <f t="shared" si="41"/>
        <v>-0.12090588373308986</v>
      </c>
      <c r="F30" s="47">
        <f t="shared" si="41"/>
        <v>-5.9403496979566484E-3</v>
      </c>
      <c r="G30" s="47">
        <f t="shared" si="41"/>
        <v>-5.4339241078414702E-2</v>
      </c>
      <c r="H30" s="47">
        <f t="shared" si="41"/>
        <v>8.3854278939426541E-2</v>
      </c>
      <c r="I30" s="47">
        <f>+IFERROR(I28-I29,"nm")</f>
        <v>2.2832140015910107E-3</v>
      </c>
      <c r="J30" s="49">
        <f>0%</f>
        <v>0</v>
      </c>
      <c r="K30" s="49">
        <f>0%</f>
        <v>0</v>
      </c>
      <c r="L30" s="49">
        <f>0%</f>
        <v>0</v>
      </c>
      <c r="M30" s="49">
        <f>0%</f>
        <v>0</v>
      </c>
      <c r="N30" s="49">
        <f>0%</f>
        <v>0</v>
      </c>
    </row>
    <row r="31" spans="1:15" x14ac:dyDescent="0.2">
      <c r="A31" s="45" t="s">
        <v>115</v>
      </c>
      <c r="B31" s="3">
        <f>+[2]Historicals!B110</f>
        <v>824</v>
      </c>
      <c r="C31" s="3">
        <f>+[2]Historicals!C110</f>
        <v>719</v>
      </c>
      <c r="D31" s="3">
        <f>+[2]Historicals!D110</f>
        <v>646</v>
      </c>
      <c r="E31" s="3">
        <f>+[2]Historicals!E110</f>
        <v>595</v>
      </c>
      <c r="F31" s="3">
        <f>+[2]Historicals!F110</f>
        <v>597</v>
      </c>
      <c r="G31" s="3">
        <f>+[2]Historicals!G110</f>
        <v>516</v>
      </c>
      <c r="H31" s="3">
        <f>+[2]Historicals!H110</f>
        <v>507</v>
      </c>
      <c r="I31" s="3">
        <f>+[2]Historicals!I110</f>
        <v>633</v>
      </c>
      <c r="J31" s="3">
        <f>I31*(1+0%)</f>
        <v>633</v>
      </c>
      <c r="K31" s="3">
        <f t="shared" ref="K31:N31" si="42">J31*(1+0%)</f>
        <v>633</v>
      </c>
      <c r="L31" s="3">
        <f t="shared" si="42"/>
        <v>633</v>
      </c>
      <c r="M31" s="3">
        <f t="shared" si="42"/>
        <v>633</v>
      </c>
      <c r="N31" s="3">
        <f t="shared" si="42"/>
        <v>633</v>
      </c>
    </row>
    <row r="32" spans="1:15" x14ac:dyDescent="0.2">
      <c r="A32" s="44" t="s">
        <v>129</v>
      </c>
      <c r="B32" s="47" t="str">
        <f t="shared" ref="B32:H32" si="43">+IFERROR(B31/A31-1,"nm")</f>
        <v>nm</v>
      </c>
      <c r="C32" s="47">
        <f t="shared" si="43"/>
        <v>-0.12742718446601942</v>
      </c>
      <c r="D32" s="47">
        <f t="shared" si="43"/>
        <v>-0.10152990264255912</v>
      </c>
      <c r="E32" s="47">
        <f t="shared" si="43"/>
        <v>-7.8947368421052655E-2</v>
      </c>
      <c r="F32" s="47">
        <f t="shared" si="43"/>
        <v>3.3613445378151141E-3</v>
      </c>
      <c r="G32" s="47">
        <f t="shared" si="43"/>
        <v>-0.13567839195979903</v>
      </c>
      <c r="H32" s="47">
        <f t="shared" si="43"/>
        <v>-1.744186046511631E-2</v>
      </c>
      <c r="I32" s="47">
        <f>+IFERROR(I31/H31-1,"nm")</f>
        <v>0.24852071005917153</v>
      </c>
      <c r="J32" s="47">
        <f>J31/I31-1</f>
        <v>0</v>
      </c>
      <c r="K32" s="47">
        <f t="shared" ref="K32:N32" si="44">K31/J31-1</f>
        <v>0</v>
      </c>
      <c r="L32" s="47">
        <f t="shared" si="44"/>
        <v>0</v>
      </c>
      <c r="M32" s="47">
        <f t="shared" si="44"/>
        <v>0</v>
      </c>
      <c r="N32" s="47">
        <f t="shared" si="44"/>
        <v>0</v>
      </c>
    </row>
    <row r="33" spans="1:14" x14ac:dyDescent="0.2">
      <c r="A33" s="44" t="s">
        <v>137</v>
      </c>
      <c r="B33" s="47" t="e">
        <f>+[2]Historicals!B182</f>
        <v>#DIV/0!</v>
      </c>
      <c r="C33" s="47">
        <f>+[2]Historicals!C182</f>
        <v>-0.12742718446601942</v>
      </c>
      <c r="D33" s="47">
        <f>+[2]Historicals!D182</f>
        <v>-0.10152990264255912</v>
      </c>
      <c r="E33" s="47">
        <f>+[2]Historicals!E182</f>
        <v>-7.8947368421052655E-2</v>
      </c>
      <c r="F33" s="47">
        <f>+[2]Historicals!F182</f>
        <v>3.3613445378151141E-3</v>
      </c>
      <c r="G33" s="47">
        <f>+[2]Historicals!G182</f>
        <v>-0.13567839195979903</v>
      </c>
      <c r="H33" s="47">
        <f>+[2]Historicals!H182</f>
        <v>0</v>
      </c>
      <c r="I33" s="47">
        <f>+[2]Historicals!I182</f>
        <v>0.25</v>
      </c>
      <c r="J33" s="74">
        <f>0%</f>
        <v>0</v>
      </c>
      <c r="K33" s="74">
        <f>0%</f>
        <v>0</v>
      </c>
      <c r="L33" s="74">
        <f>0%</f>
        <v>0</v>
      </c>
      <c r="M33" s="74">
        <f>0%</f>
        <v>0</v>
      </c>
      <c r="N33" s="74">
        <f>0%</f>
        <v>0</v>
      </c>
    </row>
    <row r="34" spans="1:14" x14ac:dyDescent="0.2">
      <c r="A34" s="44" t="s">
        <v>138</v>
      </c>
      <c r="B34" s="47" t="str">
        <f t="shared" ref="B34:H34" si="45">+IFERROR(B32-B33,"nm")</f>
        <v>nm</v>
      </c>
      <c r="C34" s="47">
        <f t="shared" si="45"/>
        <v>0</v>
      </c>
      <c r="D34" s="47">
        <f t="shared" si="45"/>
        <v>0</v>
      </c>
      <c r="E34" s="47">
        <f t="shared" si="45"/>
        <v>0</v>
      </c>
      <c r="F34" s="47">
        <f t="shared" si="45"/>
        <v>0</v>
      </c>
      <c r="G34" s="47">
        <f t="shared" si="45"/>
        <v>0</v>
      </c>
      <c r="H34" s="47">
        <f t="shared" si="45"/>
        <v>-1.744186046511631E-2</v>
      </c>
      <c r="I34" s="47">
        <f>+IFERROR(I32-I33,"nm")</f>
        <v>-1.4792899408284654E-3</v>
      </c>
      <c r="J34" s="74">
        <f>0%</f>
        <v>0</v>
      </c>
      <c r="K34" s="74">
        <f>0%</f>
        <v>0</v>
      </c>
      <c r="L34" s="74">
        <f>0%</f>
        <v>0</v>
      </c>
      <c r="M34" s="74">
        <f>0%</f>
        <v>0</v>
      </c>
      <c r="N34" s="74">
        <f>0%</f>
        <v>0</v>
      </c>
    </row>
    <row r="35" spans="1:14" x14ac:dyDescent="0.2">
      <c r="A35" s="9" t="s">
        <v>130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I35*(1+0%)</f>
        <v>5238</v>
      </c>
      <c r="K35" s="48">
        <f t="shared" ref="K35:N35" si="47">J35*(1+0%)</f>
        <v>5238</v>
      </c>
      <c r="L35" s="48">
        <f t="shared" si="47"/>
        <v>5238</v>
      </c>
      <c r="M35" s="48">
        <f t="shared" si="47"/>
        <v>5238</v>
      </c>
      <c r="N35" s="48">
        <f t="shared" si="47"/>
        <v>5238</v>
      </c>
    </row>
    <row r="36" spans="1:14" x14ac:dyDescent="0.2">
      <c r="A36" s="46" t="s">
        <v>129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47">
        <f>J35/I35-1</f>
        <v>0</v>
      </c>
      <c r="K36" s="47">
        <f t="shared" ref="K36:N36" si="49">K35/J35-1</f>
        <v>0</v>
      </c>
      <c r="L36" s="47">
        <f t="shared" si="49"/>
        <v>0</v>
      </c>
      <c r="M36" s="47">
        <f t="shared" si="49"/>
        <v>0</v>
      </c>
      <c r="N36" s="47">
        <f t="shared" si="49"/>
        <v>0</v>
      </c>
    </row>
    <row r="37" spans="1:14" x14ac:dyDescent="0.2">
      <c r="A37" s="46" t="s">
        <v>131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9">
        <f>J35/J21</f>
        <v>0.28540293140086087</v>
      </c>
      <c r="K37" s="49">
        <f t="shared" ref="K37:N37" si="51">K35/K21</f>
        <v>0.28540293140086087</v>
      </c>
      <c r="L37" s="49">
        <f t="shared" si="51"/>
        <v>0.28540293140086087</v>
      </c>
      <c r="M37" s="49">
        <f t="shared" si="51"/>
        <v>0.28540293140086087</v>
      </c>
      <c r="N37" s="49">
        <f t="shared" si="51"/>
        <v>0.28540293140086087</v>
      </c>
    </row>
    <row r="38" spans="1:14" x14ac:dyDescent="0.2">
      <c r="A38" s="9" t="s">
        <v>132</v>
      </c>
      <c r="B38" s="9">
        <f>+[2]Historicals!B167</f>
        <v>121</v>
      </c>
      <c r="C38" s="9">
        <f>+[2]Historicals!C167</f>
        <v>133</v>
      </c>
      <c r="D38" s="9">
        <f>+[2]Historicals!D167</f>
        <v>140</v>
      </c>
      <c r="E38" s="9">
        <f>+[2]Historicals!E167</f>
        <v>160</v>
      </c>
      <c r="F38" s="9">
        <f>+[2]Historicals!F167</f>
        <v>149</v>
      </c>
      <c r="G38" s="9">
        <f>+[2]Historicals!G167</f>
        <v>148</v>
      </c>
      <c r="H38" s="9">
        <f>+[2]Historicals!H167</f>
        <v>130</v>
      </c>
      <c r="I38" s="9">
        <f>+[2]Historicals!I167</f>
        <v>124</v>
      </c>
      <c r="J38" s="48">
        <f>I38*(1+0%)</f>
        <v>124</v>
      </c>
      <c r="K38" s="48">
        <f t="shared" ref="K38:N38" si="52">J38*(1+0%)</f>
        <v>124</v>
      </c>
      <c r="L38" s="48">
        <f t="shared" si="52"/>
        <v>124</v>
      </c>
      <c r="M38" s="48">
        <f t="shared" si="52"/>
        <v>124</v>
      </c>
      <c r="N38" s="48">
        <f t="shared" si="52"/>
        <v>124</v>
      </c>
    </row>
    <row r="39" spans="1:14" x14ac:dyDescent="0.2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J38/I38-1</f>
        <v>0</v>
      </c>
      <c r="K39" s="47">
        <f t="shared" ref="K39:N39" si="54">K38/J38-1</f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14" x14ac:dyDescent="0.2">
      <c r="A40" s="46" t="s">
        <v>133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>J38/J21</f>
        <v>6.7563886013185855E-3</v>
      </c>
      <c r="K40" s="47">
        <f t="shared" ref="K40:N40" si="56">K38/K21</f>
        <v>6.7563886013185855E-3</v>
      </c>
      <c r="L40" s="47">
        <f t="shared" si="56"/>
        <v>6.7563886013185855E-3</v>
      </c>
      <c r="M40" s="47">
        <f t="shared" si="56"/>
        <v>6.7563886013185855E-3</v>
      </c>
      <c r="N40" s="47">
        <f t="shared" si="56"/>
        <v>6.7563886013185855E-3</v>
      </c>
    </row>
    <row r="41" spans="1:14" x14ac:dyDescent="0.2">
      <c r="A41" s="46" t="s">
        <v>140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75">
        <f>J38/J17</f>
        <v>2.588186182425381E-2</v>
      </c>
      <c r="K41" s="75">
        <f t="shared" ref="K41:N41" si="58">K38/K17</f>
        <v>2.588186182425381E-2</v>
      </c>
      <c r="L41" s="75">
        <f t="shared" si="58"/>
        <v>2.588186182425381E-2</v>
      </c>
      <c r="M41" s="75">
        <f t="shared" si="58"/>
        <v>2.588186182425381E-2</v>
      </c>
      <c r="N41" s="75">
        <f t="shared" si="58"/>
        <v>2.588186182425381E-2</v>
      </c>
    </row>
    <row r="42" spans="1:14" x14ac:dyDescent="0.2">
      <c r="A42" s="9" t="s">
        <v>134</v>
      </c>
      <c r="B42" s="9">
        <f>+[2]Historicals!B134</f>
        <v>3645</v>
      </c>
      <c r="C42" s="9">
        <f>+[2]Historicals!C134</f>
        <v>3763</v>
      </c>
      <c r="D42" s="9">
        <f>+[2]Historicals!D134</f>
        <v>3875</v>
      </c>
      <c r="E42" s="9">
        <f>+[2]Historicals!E134</f>
        <v>3600</v>
      </c>
      <c r="F42" s="9">
        <f>+[2]Historicals!F134</f>
        <v>3925</v>
      </c>
      <c r="G42" s="9">
        <f>+[2]Historicals!G134</f>
        <v>2899</v>
      </c>
      <c r="H42" s="9">
        <f>+[2]Historicals!H134</f>
        <v>5089</v>
      </c>
      <c r="I42" s="9">
        <f>+[2]Historicals!I134</f>
        <v>5114</v>
      </c>
      <c r="J42" s="60">
        <f>I42*(1+0%)</f>
        <v>5114</v>
      </c>
      <c r="K42" s="60">
        <f t="shared" ref="K42:N42" si="59">J42*(1+0%)</f>
        <v>5114</v>
      </c>
      <c r="L42" s="60">
        <f t="shared" si="59"/>
        <v>5114</v>
      </c>
      <c r="M42" s="60">
        <f t="shared" si="59"/>
        <v>5114</v>
      </c>
      <c r="N42" s="60">
        <f t="shared" si="59"/>
        <v>5114</v>
      </c>
    </row>
    <row r="43" spans="1:14" x14ac:dyDescent="0.2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J42/I42-1</f>
        <v>0</v>
      </c>
      <c r="K43" s="47">
        <f t="shared" ref="K43:N43" si="61">K42/J42-1</f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14" x14ac:dyDescent="0.2">
      <c r="A44" s="46" t="s">
        <v>131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>J42/J21</f>
        <v>0.27864654279954232</v>
      </c>
      <c r="K44" s="47">
        <f t="shared" ref="K44:N44" si="63">K42/K21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14" x14ac:dyDescent="0.2">
      <c r="A45" s="9" t="s">
        <v>135</v>
      </c>
      <c r="B45" s="9">
        <f>+[2]Historicals!B156</f>
        <v>208</v>
      </c>
      <c r="C45" s="9">
        <f>+[2]Historicals!C156</f>
        <v>242</v>
      </c>
      <c r="D45" s="9">
        <f>+[2]Historicals!D156</f>
        <v>223</v>
      </c>
      <c r="E45" s="9">
        <f>+[2]Historicals!E156</f>
        <v>196</v>
      </c>
      <c r="F45" s="9">
        <f>+[2]Historicals!F156</f>
        <v>117</v>
      </c>
      <c r="G45" s="9">
        <f>+[2]Historicals!G156</f>
        <v>110</v>
      </c>
      <c r="H45" s="9">
        <f>+[2]Historicals!H156</f>
        <v>98</v>
      </c>
      <c r="I45" s="9">
        <f>+[2]Historicals!I156</f>
        <v>146</v>
      </c>
      <c r="J45" s="48">
        <f>I45*(1+0%)</f>
        <v>146</v>
      </c>
      <c r="K45" s="48">
        <f t="shared" ref="K45:N45" si="64">J45*(1+0%)</f>
        <v>146</v>
      </c>
      <c r="L45" s="48">
        <f t="shared" si="64"/>
        <v>146</v>
      </c>
      <c r="M45" s="48">
        <f t="shared" si="64"/>
        <v>146</v>
      </c>
      <c r="N45" s="48">
        <f t="shared" si="64"/>
        <v>146</v>
      </c>
    </row>
    <row r="46" spans="1:14" x14ac:dyDescent="0.2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J45/I45-1</f>
        <v>0</v>
      </c>
      <c r="K46" s="47">
        <f t="shared" ref="K46:N46" si="66">K45/J45-1</f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14" x14ac:dyDescent="0.2">
      <c r="A47" s="46" t="s">
        <v>133</v>
      </c>
      <c r="B47" s="47">
        <f t="shared" ref="B47:H47" si="67">+IFERROR(B45/B$21,"nm")</f>
        <v>1.5138282387190683E-2</v>
      </c>
      <c r="C47" s="47">
        <f t="shared" si="67"/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9">
        <f>J45/J21</f>
        <v>7.9551027080041418E-3</v>
      </c>
      <c r="K47" s="49">
        <f t="shared" ref="K47:N47" si="68">K45/K21</f>
        <v>7.9551027080041418E-3</v>
      </c>
      <c r="L47" s="49">
        <f t="shared" si="68"/>
        <v>7.9551027080041418E-3</v>
      </c>
      <c r="M47" s="49">
        <f t="shared" si="68"/>
        <v>7.9551027080041418E-3</v>
      </c>
      <c r="N47" s="49">
        <f t="shared" si="68"/>
        <v>7.9551027080041418E-3</v>
      </c>
    </row>
    <row r="48" spans="1:14" x14ac:dyDescent="0.2">
      <c r="A48" s="9" t="s">
        <v>141</v>
      </c>
      <c r="B48" s="9">
        <f>+[2]Historicals!B145</f>
        <v>632</v>
      </c>
      <c r="C48" s="9">
        <f>+[2]Historicals!C145</f>
        <v>742</v>
      </c>
      <c r="D48" s="9">
        <f>+[2]Historicals!D145</f>
        <v>819</v>
      </c>
      <c r="E48" s="9">
        <f>+[2]Historicals!E145</f>
        <v>848</v>
      </c>
      <c r="F48" s="9">
        <f>+[2]Historicals!F145</f>
        <v>814</v>
      </c>
      <c r="G48" s="9">
        <f>+[2]Historicals!G145</f>
        <v>645</v>
      </c>
      <c r="H48" s="9">
        <f>+[2]Historicals!H145</f>
        <v>617</v>
      </c>
      <c r="I48" s="9">
        <f>+[2]Historicals!I145</f>
        <v>639</v>
      </c>
      <c r="J48" s="48">
        <f>I48*(1+0%)</f>
        <v>639</v>
      </c>
      <c r="K48" s="48">
        <f t="shared" ref="K48:N48" si="69">J48*(1+0%)</f>
        <v>639</v>
      </c>
      <c r="L48" s="48">
        <f t="shared" si="69"/>
        <v>639</v>
      </c>
      <c r="M48" s="48">
        <f t="shared" si="69"/>
        <v>639</v>
      </c>
      <c r="N48" s="48">
        <f t="shared" si="69"/>
        <v>639</v>
      </c>
    </row>
    <row r="49" spans="1:14" x14ac:dyDescent="0.2">
      <c r="A49" s="46" t="s">
        <v>129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J48/I48-1</f>
        <v>0</v>
      </c>
      <c r="K49" s="47">
        <f t="shared" ref="K49:N49" si="71">K48/J48-1</f>
        <v>0</v>
      </c>
      <c r="L49" s="47">
        <f t="shared" si="71"/>
        <v>0</v>
      </c>
      <c r="M49" s="47">
        <f t="shared" si="71"/>
        <v>0</v>
      </c>
      <c r="N49" s="47">
        <f t="shared" si="71"/>
        <v>0</v>
      </c>
    </row>
    <row r="50" spans="1:14" x14ac:dyDescent="0.2">
      <c r="A50" s="46" t="s">
        <v>133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J48/J21</f>
        <v>3.4817196098730456E-2</v>
      </c>
      <c r="K50" s="49">
        <f t="shared" ref="K50:N50" si="73">K48/K21</f>
        <v>3.4817196098730456E-2</v>
      </c>
      <c r="L50" s="49">
        <f t="shared" si="73"/>
        <v>3.4817196098730456E-2</v>
      </c>
      <c r="M50" s="49">
        <f t="shared" si="73"/>
        <v>3.4817196098730456E-2</v>
      </c>
      <c r="N50" s="49">
        <f t="shared" si="73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8"/>
  <sheetViews>
    <sheetView tabSelected="1" topLeftCell="A51" workbookViewId="0">
      <selection activeCell="M62" sqref="M6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196</v>
      </c>
    </row>
    <row r="4" spans="1:15" x14ac:dyDescent="0.2">
      <c r="A4" s="42" t="s">
        <v>129</v>
      </c>
      <c r="B4" s="55">
        <f>'Segmental forecast'!B4</f>
        <v>0.17191329656862742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0</v>
      </c>
      <c r="K4" s="55">
        <f>'Segmental forecast'!K4</f>
        <v>0</v>
      </c>
      <c r="L4" s="55">
        <f>'Segmental forecast'!L4</f>
        <v>0</v>
      </c>
      <c r="M4" s="55">
        <f>'Segmental forecast'!M4</f>
        <v>0</v>
      </c>
      <c r="N4" s="55">
        <f>'Segmental forecast'!N4</f>
        <v>0</v>
      </c>
    </row>
    <row r="5" spans="1:15" x14ac:dyDescent="0.2">
      <c r="A5" s="1" t="s">
        <v>149</v>
      </c>
      <c r="B5" s="9">
        <f>'Segmental forecast'!B5</f>
        <v>5423</v>
      </c>
      <c r="C5" s="9">
        <f>'Segmental forecast'!C5</f>
        <v>5977</v>
      </c>
      <c r="D5" s="9">
        <f>'Segmental forecast'!D5</f>
        <v>5898</v>
      </c>
      <c r="E5" s="9">
        <f>'Segmental forecast'!E5</f>
        <v>6272</v>
      </c>
      <c r="F5" s="9">
        <f>'Segmental forecast'!F5</f>
        <v>7062</v>
      </c>
      <c r="G5" s="9">
        <f>'Segmental forecast'!G5</f>
        <v>5367</v>
      </c>
      <c r="H5" s="9">
        <f>'Segmental forecast'!H5</f>
        <v>9385</v>
      </c>
      <c r="I5" s="9">
        <f>'Segmental forecast'!I5</f>
        <v>9123</v>
      </c>
      <c r="J5" s="9">
        <f>'Segmental forecast'!J5</f>
        <v>9123</v>
      </c>
      <c r="K5" s="9">
        <f>'Segmental forecast'!K5</f>
        <v>9123</v>
      </c>
      <c r="L5" s="9">
        <f>'Segmental forecast'!L5</f>
        <v>9123</v>
      </c>
      <c r="M5" s="9">
        <f>'Segmental forecast'!M5</f>
        <v>9123</v>
      </c>
      <c r="N5" s="9">
        <f>'Segmental forecast'!N5</f>
        <v>9123</v>
      </c>
    </row>
    <row r="6" spans="1:15" x14ac:dyDescent="0.2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717</v>
      </c>
      <c r="K6" s="56">
        <f>'Segmental forecast'!K8</f>
        <v>717</v>
      </c>
      <c r="L6" s="56">
        <f>'Segmental forecast'!L8</f>
        <v>717</v>
      </c>
      <c r="M6" s="56">
        <f>'Segmental forecast'!M8</f>
        <v>717</v>
      </c>
      <c r="N6" s="56">
        <f>'Segmental forecast'!N8</f>
        <v>717</v>
      </c>
    </row>
    <row r="7" spans="1:15" x14ac:dyDescent="0.2">
      <c r="A7" s="4" t="s">
        <v>134</v>
      </c>
      <c r="B7" s="5">
        <f>'Segmental forecast'!B11</f>
        <v>4817</v>
      </c>
      <c r="C7" s="5">
        <f>'Segmental forecast'!C11</f>
        <v>5328</v>
      </c>
      <c r="D7" s="5">
        <f>'Segmental forecast'!D11</f>
        <v>5192</v>
      </c>
      <c r="E7" s="5">
        <f>'Segmental forecast'!E11</f>
        <v>5525</v>
      </c>
      <c r="F7" s="5">
        <f>'Segmental forecast'!F11</f>
        <v>6357</v>
      </c>
      <c r="G7" s="5">
        <f>'Segmental forecast'!G11</f>
        <v>4646</v>
      </c>
      <c r="H7" s="5">
        <f>'Segmental forecast'!H11</f>
        <v>8641</v>
      </c>
      <c r="I7" s="5">
        <f>'Segmental forecast'!I11</f>
        <v>8406</v>
      </c>
      <c r="J7" s="5">
        <f>'Segmental forecast'!J11</f>
        <v>8406</v>
      </c>
      <c r="K7" s="5">
        <f>'Segmental forecast'!K11</f>
        <v>8406</v>
      </c>
      <c r="L7" s="5">
        <f>'Segmental forecast'!L11</f>
        <v>8406</v>
      </c>
      <c r="M7" s="5">
        <f>'Segmental forecast'!M11</f>
        <v>8406</v>
      </c>
      <c r="N7" s="5">
        <f>'Segmental forecast'!N11</f>
        <v>8406</v>
      </c>
    </row>
    <row r="8" spans="1:15" x14ac:dyDescent="0.2">
      <c r="A8" s="42" t="s">
        <v>129</v>
      </c>
      <c r="B8" s="55">
        <f>'Segmental forecast'!B9</f>
        <v>3.4129692832764569E-2</v>
      </c>
      <c r="C8" s="55">
        <f>'Segmental forecast'!C9</f>
        <v>7.0957095709570872E-2</v>
      </c>
      <c r="D8" s="55">
        <f>'Segmental forecast'!D9</f>
        <v>8.7827426810477727E-2</v>
      </c>
      <c r="E8" s="55">
        <f>'Segmental forecast'!E9</f>
        <v>5.8073654390934815E-2</v>
      </c>
      <c r="F8" s="55">
        <f>'Segmental forecast'!F9</f>
        <v>-5.6224899598393607E-2</v>
      </c>
      <c r="G8" s="55">
        <f>'Segmental forecast'!G9</f>
        <v>2.2695035460992941E-2</v>
      </c>
      <c r="H8" s="55">
        <f>'Segmental forecast'!H9</f>
        <v>3.1900138696255187E-2</v>
      </c>
      <c r="I8" s="55">
        <f>'Segmental forecast'!I9</f>
        <v>-3.6290322580645129E-2</v>
      </c>
      <c r="J8" s="55">
        <f>'Segmental forecast'!J9</f>
        <v>0</v>
      </c>
      <c r="K8" s="55">
        <f>'Segmental forecast'!K9</f>
        <v>0</v>
      </c>
      <c r="L8" s="55">
        <f>'Segmental forecast'!L9</f>
        <v>0</v>
      </c>
      <c r="M8" s="55">
        <f>'Segmental forecast'!M9</f>
        <v>0</v>
      </c>
      <c r="N8" s="55">
        <f>'Segmental forecast'!N9</f>
        <v>0</v>
      </c>
    </row>
    <row r="9" spans="1:15" x14ac:dyDescent="0.2">
      <c r="A9" s="42" t="s">
        <v>131</v>
      </c>
      <c r="B9" s="55">
        <f>'Segmental forecast'!B10</f>
        <v>1.9803274402797295E-2</v>
      </c>
      <c r="C9" s="55">
        <f>'Segmental forecast'!C10</f>
        <v>2.0045712873733631E-2</v>
      </c>
      <c r="D9" s="55">
        <f>'Segmental forecast'!D10</f>
        <v>2.0553129548762736E-2</v>
      </c>
      <c r="E9" s="55">
        <f>'Segmental forecast'!E10</f>
        <v>2.0523669533203285E-2</v>
      </c>
      <c r="F9" s="55">
        <f>'Segmental forecast'!F10</f>
        <v>1.8022854513382928E-2</v>
      </c>
      <c r="G9" s="55">
        <f>'Segmental forecast'!G10</f>
        <v>1.9276528620698875E-2</v>
      </c>
      <c r="H9" s="55">
        <f>'Segmental forecast'!H10</f>
        <v>1.6704836319547355E-2</v>
      </c>
      <c r="I9" s="55">
        <f>'Segmental forecast'!I10</f>
        <v>1.5350032113037893E-2</v>
      </c>
      <c r="J9" s="55">
        <f>'Segmental forecast'!J10</f>
        <v>1.5350032113037893E-2</v>
      </c>
      <c r="K9" s="55">
        <f>'Segmental forecast'!K10</f>
        <v>1.5350032113037893E-2</v>
      </c>
      <c r="L9" s="55">
        <f>'Segmental forecast'!L10</f>
        <v>1.5350032113037893E-2</v>
      </c>
      <c r="M9" s="55">
        <f>'Segmental forecast'!M10</f>
        <v>1.5350032113037893E-2</v>
      </c>
      <c r="N9" s="55">
        <f>'Segmental forecast'!N10</f>
        <v>1.5350032113037893E-2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I10+(1*0%)</f>
        <v>205</v>
      </c>
      <c r="K10" s="3">
        <f t="shared" ref="K10:N10" si="2">J10+(1*0%)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5" x14ac:dyDescent="0.2">
      <c r="A11" s="4" t="s">
        <v>150</v>
      </c>
      <c r="B11" s="5">
        <f>B7+B10</f>
        <v>4845</v>
      </c>
      <c r="C11" s="5">
        <f t="shared" ref="C11:I11" si="3">C7+C10</f>
        <v>5347</v>
      </c>
      <c r="D11" s="5">
        <f t="shared" si="3"/>
        <v>5251</v>
      </c>
      <c r="E11" s="5">
        <f t="shared" si="3"/>
        <v>5579</v>
      </c>
      <c r="F11" s="5">
        <f t="shared" si="3"/>
        <v>6406</v>
      </c>
      <c r="G11" s="5">
        <f t="shared" si="3"/>
        <v>4735</v>
      </c>
      <c r="H11" s="5">
        <f t="shared" si="3"/>
        <v>8903</v>
      </c>
      <c r="I11" s="5">
        <f t="shared" si="3"/>
        <v>8611</v>
      </c>
      <c r="J11" s="5">
        <f>I11+(1*0%)</f>
        <v>8611</v>
      </c>
      <c r="K11" s="5">
        <f t="shared" ref="K11:N11" si="4">J11+(1*0%)</f>
        <v>8611</v>
      </c>
      <c r="L11" s="5">
        <f t="shared" si="4"/>
        <v>8611</v>
      </c>
      <c r="M11" s="5">
        <f t="shared" si="4"/>
        <v>8611</v>
      </c>
      <c r="N11" s="5">
        <f t="shared" si="4"/>
        <v>8611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I12+1*0%</f>
        <v>605</v>
      </c>
      <c r="K12" s="3">
        <f t="shared" ref="K12:N12" si="5">J12+1*0%</f>
        <v>605</v>
      </c>
      <c r="L12" s="3">
        <f t="shared" si="5"/>
        <v>605</v>
      </c>
      <c r="M12" s="3">
        <f t="shared" si="5"/>
        <v>605</v>
      </c>
      <c r="N12" s="3">
        <f t="shared" si="5"/>
        <v>605</v>
      </c>
    </row>
    <row r="13" spans="1:15" x14ac:dyDescent="0.2">
      <c r="A13" s="51" t="s">
        <v>151</v>
      </c>
      <c r="B13" s="57">
        <f>B12/B11</f>
        <v>0.19236326109391125</v>
      </c>
      <c r="C13" s="57">
        <f t="shared" ref="C13:I13" si="6">C12/C11</f>
        <v>0.16139891527959604</v>
      </c>
      <c r="D13" s="57">
        <f t="shared" si="6"/>
        <v>0.12302418586935822</v>
      </c>
      <c r="E13" s="57">
        <f t="shared" si="6"/>
        <v>0.42875067216347018</v>
      </c>
      <c r="F13" s="57">
        <f t="shared" si="6"/>
        <v>0.12051201998126757</v>
      </c>
      <c r="G13" s="57">
        <f t="shared" si="6"/>
        <v>7.3495248152059128E-2</v>
      </c>
      <c r="H13" s="57">
        <f t="shared" si="6"/>
        <v>0.10490845782320567</v>
      </c>
      <c r="I13" s="57">
        <f t="shared" si="6"/>
        <v>7.0258971083497851E-2</v>
      </c>
      <c r="J13" s="58">
        <f>I13*(1+0%)</f>
        <v>7.0258971083497851E-2</v>
      </c>
      <c r="K13" s="58">
        <f t="shared" ref="K13:N13" si="7">J13*(1+0%)</f>
        <v>7.0258971083497851E-2</v>
      </c>
      <c r="L13" s="58">
        <f t="shared" si="7"/>
        <v>7.0258971083497851E-2</v>
      </c>
      <c r="M13" s="58">
        <f t="shared" si="7"/>
        <v>7.0258971083497851E-2</v>
      </c>
      <c r="N13" s="58">
        <f t="shared" si="7"/>
        <v>7.0258971083497851E-2</v>
      </c>
    </row>
    <row r="14" spans="1:15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I14*(1+0)</f>
        <v>6046</v>
      </c>
      <c r="K14" s="7">
        <f t="shared" ref="K14:N14" si="8">J14*(1+0)</f>
        <v>6046</v>
      </c>
      <c r="L14" s="7">
        <f t="shared" si="8"/>
        <v>6046</v>
      </c>
      <c r="M14" s="7">
        <f t="shared" si="8"/>
        <v>6046</v>
      </c>
      <c r="N14" s="7">
        <f t="shared" si="8"/>
        <v>6046</v>
      </c>
    </row>
    <row r="15" spans="1:15" ht="16" thickTop="1" x14ac:dyDescent="0.2">
      <c r="A15" t="s">
        <v>153</v>
      </c>
      <c r="B15" s="59">
        <f>Historicals!B15</f>
        <v>1.85</v>
      </c>
      <c r="C15" s="59">
        <f>Historicals!C15</f>
        <v>2.16</v>
      </c>
      <c r="D15" s="59">
        <f>Historicals!D15</f>
        <v>2.5099999999999998</v>
      </c>
      <c r="E15" s="59">
        <f>Historicals!E15</f>
        <v>1.17</v>
      </c>
      <c r="F15" s="59">
        <f>Historicals!F15</f>
        <v>2.4900000000000002</v>
      </c>
      <c r="G15" s="59">
        <f>Historicals!G15</f>
        <v>1.6</v>
      </c>
      <c r="H15" s="59">
        <f>Historicals!H15</f>
        <v>3.56</v>
      </c>
      <c r="I15" s="59">
        <f>Historicals!I15</f>
        <v>3.75</v>
      </c>
      <c r="J15" s="78">
        <f>I15*(1+0%)</f>
        <v>3.75</v>
      </c>
      <c r="K15" s="78">
        <f t="shared" ref="K15:N15" si="9">J15*(1+0%)</f>
        <v>3.75</v>
      </c>
      <c r="L15" s="78">
        <f t="shared" si="9"/>
        <v>3.75</v>
      </c>
      <c r="M15" s="78">
        <f t="shared" si="9"/>
        <v>3.75</v>
      </c>
      <c r="N15" s="78">
        <f t="shared" si="9"/>
        <v>3.75</v>
      </c>
      <c r="O15" t="s">
        <v>197</v>
      </c>
    </row>
    <row r="16" spans="1:15" x14ac:dyDescent="0.2">
      <c r="A16" t="s">
        <v>154</v>
      </c>
      <c r="B16" s="76">
        <f>Historicals!B14</f>
        <v>1.9</v>
      </c>
      <c r="C16" s="76">
        <f>Historicals!C14</f>
        <v>2.21</v>
      </c>
      <c r="D16" s="76">
        <f>Historicals!D14</f>
        <v>2.56</v>
      </c>
      <c r="E16" s="76">
        <f>Historicals!E14</f>
        <v>1.19</v>
      </c>
      <c r="F16" s="76">
        <f>Historicals!F14</f>
        <v>2.5499999999999998</v>
      </c>
      <c r="G16" s="76">
        <f>Historicals!G14</f>
        <v>1.63</v>
      </c>
      <c r="H16" s="76">
        <f>Historicals!H14</f>
        <v>3.64</v>
      </c>
      <c r="I16" s="76">
        <f>Historicals!I14</f>
        <v>3.83</v>
      </c>
      <c r="J16" s="59">
        <f>I16*(1+0%)</f>
        <v>3.83</v>
      </c>
      <c r="K16" s="59">
        <f t="shared" ref="K16:N16" si="10">J16*(1+0%)</f>
        <v>3.83</v>
      </c>
      <c r="L16" s="59">
        <f t="shared" si="10"/>
        <v>3.83</v>
      </c>
      <c r="M16" s="59">
        <f t="shared" si="10"/>
        <v>3.83</v>
      </c>
      <c r="N16" s="59">
        <f t="shared" si="10"/>
        <v>3.83</v>
      </c>
    </row>
    <row r="17" spans="1:15" x14ac:dyDescent="0.2">
      <c r="A17" t="s">
        <v>155</v>
      </c>
      <c r="B17" s="63">
        <f>Historicals!B18</f>
        <v>1768</v>
      </c>
      <c r="C17" s="63">
        <f>Historicals!C18</f>
        <v>1742.5</v>
      </c>
      <c r="D17" s="63">
        <f>Historicals!D18</f>
        <v>1692</v>
      </c>
      <c r="E17" s="63">
        <f>Historicals!E18</f>
        <v>1659.1</v>
      </c>
      <c r="F17" s="63">
        <f>Historicals!F18</f>
        <v>1618.4</v>
      </c>
      <c r="G17" s="63">
        <f>Historicals!G18</f>
        <v>1591.6</v>
      </c>
      <c r="H17" s="63">
        <f>Historicals!H18</f>
        <v>1609.4</v>
      </c>
      <c r="I17" s="63">
        <f>Historicals!I18</f>
        <v>1610.8</v>
      </c>
      <c r="J17" s="3">
        <f>I17*(1+0%)</f>
        <v>1610.8</v>
      </c>
      <c r="K17" s="3">
        <f t="shared" ref="K17:N17" si="11">J17*(1+0%)</f>
        <v>1610.8</v>
      </c>
      <c r="L17" s="3">
        <f t="shared" si="11"/>
        <v>1610.8</v>
      </c>
      <c r="M17" s="3">
        <f t="shared" si="11"/>
        <v>1610.8</v>
      </c>
      <c r="N17" s="3">
        <f t="shared" si="11"/>
        <v>1610.8</v>
      </c>
    </row>
    <row r="18" spans="1:15" x14ac:dyDescent="0.2">
      <c r="A18" s="51" t="s">
        <v>129</v>
      </c>
      <c r="B18" s="57" t="s">
        <v>204</v>
      </c>
      <c r="C18" s="57">
        <f>C16/B16-1</f>
        <v>0.16315789473684217</v>
      </c>
      <c r="D18" s="57">
        <f t="shared" ref="D18:I18" si="12">D16/C16-1</f>
        <v>0.158371040723982</v>
      </c>
      <c r="E18" s="57">
        <f t="shared" si="12"/>
        <v>-0.53515625</v>
      </c>
      <c r="F18" s="57">
        <f t="shared" si="12"/>
        <v>1.1428571428571428</v>
      </c>
      <c r="G18" s="57">
        <f t="shared" si="12"/>
        <v>-0.36078431372549025</v>
      </c>
      <c r="H18" s="57">
        <f t="shared" si="12"/>
        <v>1.2331288343558287</v>
      </c>
      <c r="I18" s="57">
        <f t="shared" si="12"/>
        <v>5.2197802197802234E-2</v>
      </c>
      <c r="J18" s="58">
        <f>I18*(1+0%)</f>
        <v>5.2197802197802234E-2</v>
      </c>
      <c r="K18" s="58">
        <f t="shared" ref="K18:N18" si="13">J18*(1+0%)</f>
        <v>5.2197802197802234E-2</v>
      </c>
      <c r="L18" s="58">
        <f t="shared" si="13"/>
        <v>5.2197802197802234E-2</v>
      </c>
      <c r="M18" s="58">
        <f t="shared" si="13"/>
        <v>5.2197802197802234E-2</v>
      </c>
      <c r="N18" s="58">
        <f t="shared" si="13"/>
        <v>5.2197802197802234E-2</v>
      </c>
      <c r="O18" t="s">
        <v>198</v>
      </c>
    </row>
    <row r="19" spans="1:15" x14ac:dyDescent="0.2">
      <c r="A19" s="51" t="s">
        <v>156</v>
      </c>
      <c r="B19" s="57">
        <f>Historicals!B90/Historicals!B12</f>
        <v>-5.8050717995722576E-3</v>
      </c>
      <c r="C19" s="57" t="s">
        <v>204</v>
      </c>
      <c r="D19" s="57" t="s">
        <v>204</v>
      </c>
      <c r="E19" s="57">
        <f>Historicals!E90/Historicals!E12</f>
        <v>6.725297465080186E-3</v>
      </c>
      <c r="F19" s="57">
        <f>Historicals!F90/Historicals!F12</f>
        <v>-8.0665177463390414E-2</v>
      </c>
      <c r="G19" s="57">
        <f>Historicals!G90/Historicals!G12</f>
        <v>1.9298936589208351E-2</v>
      </c>
      <c r="H19" s="57">
        <f>Historicals!H90/Historicals!H12</f>
        <v>-0.286013619696176</v>
      </c>
      <c r="I19" s="57">
        <f>Historicals!I90/Historicals!I12</f>
        <v>-0.30383724776711873</v>
      </c>
      <c r="J19" s="57">
        <f>I19*(1+0%)</f>
        <v>-0.30383724776711873</v>
      </c>
      <c r="K19" s="57">
        <f t="shared" ref="K19:N19" si="14">J19*(1+0%)</f>
        <v>-0.30383724776711873</v>
      </c>
      <c r="L19" s="57">
        <f t="shared" si="14"/>
        <v>-0.30383724776711873</v>
      </c>
      <c r="M19" s="57">
        <f t="shared" si="14"/>
        <v>-0.30383724776711873</v>
      </c>
      <c r="N19" s="57">
        <f t="shared" si="14"/>
        <v>-0.30383724776711873</v>
      </c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I21*(1+0%)</f>
        <v>8574</v>
      </c>
      <c r="K21" s="3">
        <f t="shared" ref="K21:N21" si="15">J21*(1+0%)</f>
        <v>8574</v>
      </c>
      <c r="L21" s="3">
        <f t="shared" si="15"/>
        <v>8574</v>
      </c>
      <c r="M21" s="3">
        <f t="shared" si="15"/>
        <v>8574</v>
      </c>
      <c r="N21" s="3">
        <f t="shared" si="15"/>
        <v>8574</v>
      </c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>
        <f t="shared" ref="J22:N24" si="16">I22*(1+0%)</f>
        <v>0</v>
      </c>
      <c r="K22" s="3"/>
      <c r="L22" s="3"/>
      <c r="M22" s="3"/>
      <c r="N22" s="3"/>
    </row>
    <row r="23" spans="1:15" x14ac:dyDescent="0.2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 t="shared" si="16"/>
        <v>17483</v>
      </c>
      <c r="K23" s="3">
        <f t="shared" si="16"/>
        <v>17483</v>
      </c>
      <c r="L23" s="3">
        <f t="shared" si="16"/>
        <v>17483</v>
      </c>
      <c r="M23" s="3">
        <f t="shared" si="16"/>
        <v>17483</v>
      </c>
      <c r="N23" s="3">
        <f t="shared" si="16"/>
        <v>17483</v>
      </c>
    </row>
    <row r="24" spans="1:15" x14ac:dyDescent="0.2">
      <c r="A24" s="51" t="s">
        <v>161</v>
      </c>
      <c r="B24" s="57">
        <f>B23/B3</f>
        <v>0.30244109669618641</v>
      </c>
      <c r="C24" s="57">
        <f t="shared" ref="C24:N24" si="17">C23/C3</f>
        <v>0.29858537188040524</v>
      </c>
      <c r="D24" s="57">
        <f t="shared" si="17"/>
        <v>0.30820960698689959</v>
      </c>
      <c r="E24" s="57">
        <f t="shared" si="17"/>
        <v>0.24985575734263812</v>
      </c>
      <c r="F24" s="57">
        <f t="shared" si="17"/>
        <v>0.22136155635657132</v>
      </c>
      <c r="G24" s="57">
        <f t="shared" si="17"/>
        <v>0.32810202390182608</v>
      </c>
      <c r="H24" s="57">
        <f t="shared" si="17"/>
        <v>0.37309713054021287</v>
      </c>
      <c r="I24" s="57">
        <f t="shared" si="17"/>
        <v>0.37428816099336332</v>
      </c>
      <c r="J24" s="57">
        <f t="shared" si="17"/>
        <v>0.37428816099336332</v>
      </c>
      <c r="K24" s="57">
        <f t="shared" si="17"/>
        <v>0.37428816099336332</v>
      </c>
      <c r="L24" s="57">
        <f t="shared" si="17"/>
        <v>0.37428816099336332</v>
      </c>
      <c r="M24" s="57">
        <f t="shared" si="17"/>
        <v>0.37428816099336332</v>
      </c>
      <c r="N24" s="57">
        <f t="shared" si="17"/>
        <v>0.37428816099336332</v>
      </c>
    </row>
    <row r="25" spans="1:15" x14ac:dyDescent="0.2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I26*(1+0%)</f>
        <v>4791</v>
      </c>
      <c r="K26" s="3">
        <f t="shared" ref="K26:N26" si="18">J26*(1+0%)</f>
        <v>4791</v>
      </c>
      <c r="L26" s="3">
        <f t="shared" si="18"/>
        <v>4791</v>
      </c>
      <c r="M26" s="3">
        <f t="shared" si="18"/>
        <v>4791</v>
      </c>
      <c r="N26" s="3">
        <f t="shared" si="18"/>
        <v>4791</v>
      </c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ref="J27:N30" si="19">I27*(1+0%)</f>
        <v>286</v>
      </c>
      <c r="K27" s="3">
        <f t="shared" si="19"/>
        <v>286</v>
      </c>
      <c r="L27" s="3">
        <f t="shared" si="19"/>
        <v>286</v>
      </c>
      <c r="M27" s="3">
        <f t="shared" si="19"/>
        <v>286</v>
      </c>
      <c r="N27" s="3">
        <f t="shared" si="19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19"/>
        <v>284</v>
      </c>
      <c r="K28" s="3">
        <f t="shared" si="19"/>
        <v>284</v>
      </c>
      <c r="L28" s="3">
        <f t="shared" si="19"/>
        <v>284</v>
      </c>
      <c r="M28" s="3">
        <f t="shared" si="19"/>
        <v>284</v>
      </c>
      <c r="N28" s="3">
        <f t="shared" si="19"/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 t="str">
        <f>Historicals!F32</f>
        <v>—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19"/>
        <v>2926</v>
      </c>
      <c r="K29" s="3">
        <f t="shared" si="19"/>
        <v>2926</v>
      </c>
      <c r="L29" s="3">
        <f t="shared" si="19"/>
        <v>2926</v>
      </c>
      <c r="M29" s="3">
        <f t="shared" si="19"/>
        <v>2926</v>
      </c>
      <c r="N29" s="3">
        <f t="shared" si="19"/>
        <v>2926</v>
      </c>
    </row>
    <row r="30" spans="1:15" x14ac:dyDescent="0.2">
      <c r="A30" t="s">
        <v>165</v>
      </c>
      <c r="B30" s="3">
        <f>B31-B28-B27-B26-B23-B21</f>
        <v>5067</v>
      </c>
      <c r="C30" s="3">
        <f t="shared" ref="C30:I30" si="20">C31-C28-C27-C26-C23-C21</f>
        <v>4659</v>
      </c>
      <c r="D30" s="3">
        <f t="shared" si="20"/>
        <v>4453</v>
      </c>
      <c r="E30" s="3">
        <f t="shared" si="20"/>
        <v>4300</v>
      </c>
      <c r="F30" s="3">
        <f t="shared" si="20"/>
        <v>5411</v>
      </c>
      <c r="G30" s="3">
        <f t="shared" si="20"/>
        <v>5359</v>
      </c>
      <c r="H30" s="3">
        <f t="shared" si="20"/>
        <v>5819</v>
      </c>
      <c r="I30" s="3">
        <f t="shared" si="20"/>
        <v>8903</v>
      </c>
      <c r="J30" s="3">
        <f t="shared" si="19"/>
        <v>8903</v>
      </c>
      <c r="K30" s="3">
        <f t="shared" si="19"/>
        <v>8903</v>
      </c>
      <c r="L30" s="3">
        <f t="shared" si="19"/>
        <v>8903</v>
      </c>
      <c r="M30" s="3">
        <f t="shared" si="19"/>
        <v>8903</v>
      </c>
      <c r="N30" s="3">
        <f t="shared" si="19"/>
        <v>8903</v>
      </c>
    </row>
    <row r="31" spans="1:15" ht="16" thickBot="1" x14ac:dyDescent="0.2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I31*(1+0%)</f>
        <v>40321</v>
      </c>
      <c r="K31" s="7">
        <f t="shared" ref="K31:N31" si="21">J31*(1+0%)</f>
        <v>40321</v>
      </c>
      <c r="L31" s="7">
        <f t="shared" si="21"/>
        <v>40321</v>
      </c>
      <c r="M31" s="7">
        <f t="shared" si="21"/>
        <v>40321</v>
      </c>
      <c r="N31" s="7">
        <f t="shared" si="21"/>
        <v>40321</v>
      </c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I33*(1+0%)</f>
        <v>500</v>
      </c>
      <c r="K33" s="3">
        <f t="shared" ref="K33:N33" si="22">J33*(1+0%)</f>
        <v>500</v>
      </c>
      <c r="L33" s="3">
        <f t="shared" si="22"/>
        <v>500</v>
      </c>
      <c r="M33" s="3">
        <f t="shared" si="22"/>
        <v>500</v>
      </c>
      <c r="N33" s="3">
        <f t="shared" si="22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43" si="23">I34*(1+0%)</f>
        <v>10</v>
      </c>
      <c r="K34" s="3">
        <f t="shared" si="23"/>
        <v>10</v>
      </c>
      <c r="L34" s="3">
        <f t="shared" si="23"/>
        <v>10</v>
      </c>
      <c r="M34" s="3">
        <f t="shared" si="23"/>
        <v>10</v>
      </c>
      <c r="N34" s="3">
        <f t="shared" si="23"/>
        <v>10</v>
      </c>
    </row>
    <row r="35" spans="1:14" x14ac:dyDescent="0.2">
      <c r="A35" t="s">
        <v>168</v>
      </c>
      <c r="B35" s="3">
        <f>7630</f>
        <v>7630</v>
      </c>
      <c r="C35" s="3">
        <f>7083</f>
        <v>7083</v>
      </c>
      <c r="D35" s="3">
        <f>10852</f>
        <v>10852</v>
      </c>
      <c r="E35" s="3">
        <f>12724</f>
        <v>12724</v>
      </c>
      <c r="F35" s="3">
        <f>14677</f>
        <v>14677</v>
      </c>
      <c r="G35" s="3">
        <f>23287</f>
        <v>23287</v>
      </c>
      <c r="H35" s="3">
        <f>24973</f>
        <v>24973</v>
      </c>
      <c r="I35" s="3">
        <f>25040</f>
        <v>25040</v>
      </c>
      <c r="J35" s="3">
        <f t="shared" si="23"/>
        <v>25040</v>
      </c>
      <c r="K35" s="3">
        <f t="shared" si="23"/>
        <v>25040</v>
      </c>
      <c r="L35" s="3">
        <f t="shared" si="23"/>
        <v>25040</v>
      </c>
      <c r="M35" s="3">
        <f t="shared" si="23"/>
        <v>25040</v>
      </c>
      <c r="N35" s="3">
        <f t="shared" si="23"/>
        <v>25040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/>
      <c r="E36" s="3"/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3"/>
        <v>8920</v>
      </c>
      <c r="K36" s="3">
        <f t="shared" si="23"/>
        <v>8920</v>
      </c>
      <c r="L36" s="3">
        <f t="shared" si="23"/>
        <v>8920</v>
      </c>
      <c r="M36" s="3">
        <f t="shared" si="23"/>
        <v>8920</v>
      </c>
      <c r="N36" s="3">
        <f t="shared" si="23"/>
        <v>8920</v>
      </c>
    </row>
    <row r="37" spans="1:14" x14ac:dyDescent="0.2">
      <c r="A37" s="53" t="s">
        <v>50</v>
      </c>
      <c r="B37" s="3">
        <f>Historicals!B42</f>
        <v>0</v>
      </c>
      <c r="C37" s="3">
        <f>Historicals!C42</f>
        <v>0</v>
      </c>
      <c r="D37" s="3">
        <f>Historicals!D42</f>
        <v>0</v>
      </c>
      <c r="E37" s="3">
        <f>Historicals!E42</f>
        <v>0</v>
      </c>
      <c r="F37" s="3" t="str">
        <f>Historicals!F42</f>
        <v>—</v>
      </c>
      <c r="G37" s="3">
        <f>Historicals!G42</f>
        <v>445</v>
      </c>
      <c r="H37" s="3">
        <f>Historicals!H42</f>
        <v>467</v>
      </c>
      <c r="I37" s="3">
        <f>Historicals!I42</f>
        <v>420</v>
      </c>
      <c r="J37" s="3">
        <f t="shared" si="23"/>
        <v>420</v>
      </c>
      <c r="K37" s="3">
        <f t="shared" si="23"/>
        <v>420</v>
      </c>
      <c r="L37" s="3">
        <f t="shared" si="23"/>
        <v>420</v>
      </c>
      <c r="M37" s="3">
        <f t="shared" si="23"/>
        <v>420</v>
      </c>
      <c r="N37" s="3">
        <f t="shared" si="23"/>
        <v>420</v>
      </c>
    </row>
    <row r="38" spans="1:14" x14ac:dyDescent="0.2">
      <c r="A38" t="s">
        <v>169</v>
      </c>
      <c r="B38" s="3"/>
      <c r="C38" s="3"/>
      <c r="D38" s="3"/>
      <c r="E38" s="3"/>
      <c r="F38" s="3"/>
      <c r="G38" s="3"/>
      <c r="H38" s="3"/>
      <c r="I38" s="3"/>
      <c r="J38" s="3">
        <f t="shared" si="23"/>
        <v>0</v>
      </c>
      <c r="K38" s="3">
        <f t="shared" si="23"/>
        <v>0</v>
      </c>
      <c r="L38" s="3">
        <f t="shared" si="23"/>
        <v>0</v>
      </c>
      <c r="M38" s="3">
        <f t="shared" si="23"/>
        <v>0</v>
      </c>
      <c r="N38" s="3">
        <f t="shared" si="23"/>
        <v>0</v>
      </c>
    </row>
    <row r="39" spans="1:14" x14ac:dyDescent="0.2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>
        <f t="shared" si="23"/>
        <v>15281</v>
      </c>
      <c r="K39" s="3">
        <f t="shared" si="23"/>
        <v>15281</v>
      </c>
      <c r="L39" s="3">
        <f t="shared" si="23"/>
        <v>15281</v>
      </c>
      <c r="M39" s="3">
        <f t="shared" si="23"/>
        <v>15281</v>
      </c>
      <c r="N39" s="3">
        <f t="shared" si="23"/>
        <v>15281</v>
      </c>
    </row>
    <row r="40" spans="1:14" x14ac:dyDescent="0.2">
      <c r="A40" s="2" t="s">
        <v>171</v>
      </c>
      <c r="C40" s="3"/>
      <c r="D40" s="3"/>
      <c r="E40" s="3"/>
      <c r="F40" s="3"/>
      <c r="G40" s="3"/>
      <c r="H40" s="3"/>
      <c r="I40" s="3"/>
      <c r="J40" s="3">
        <f t="shared" si="23"/>
        <v>0</v>
      </c>
      <c r="K40" s="3">
        <f t="shared" si="23"/>
        <v>0</v>
      </c>
      <c r="L40" s="3">
        <f t="shared" si="23"/>
        <v>0</v>
      </c>
      <c r="M40" s="3">
        <f t="shared" si="23"/>
        <v>0</v>
      </c>
      <c r="N40" s="3">
        <f t="shared" si="23"/>
        <v>0</v>
      </c>
    </row>
    <row r="41" spans="1:14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23"/>
        <v>3476</v>
      </c>
      <c r="K41" s="3">
        <f t="shared" si="23"/>
        <v>3476</v>
      </c>
      <c r="L41" s="3">
        <f t="shared" si="23"/>
        <v>3476</v>
      </c>
      <c r="M41" s="3">
        <f t="shared" si="23"/>
        <v>3476</v>
      </c>
      <c r="N41" s="3">
        <f t="shared" si="23"/>
        <v>3476</v>
      </c>
    </row>
    <row r="42" spans="1:14" x14ac:dyDescent="0.2">
      <c r="A42" s="2" t="s">
        <v>173</v>
      </c>
      <c r="B42" s="3">
        <f t="shared" ref="B42:I42" si="24">B39-B41</f>
        <v>8022</v>
      </c>
      <c r="C42" s="3">
        <f t="shared" si="24"/>
        <v>8107</v>
      </c>
      <c r="D42" s="3">
        <f t="shared" si="24"/>
        <v>5500</v>
      </c>
      <c r="E42" s="3">
        <f t="shared" si="24"/>
        <v>6295</v>
      </c>
      <c r="F42" s="3">
        <f t="shared" si="24"/>
        <v>7397</v>
      </c>
      <c r="G42" s="3">
        <f t="shared" si="24"/>
        <v>8246</v>
      </c>
      <c r="H42" s="3">
        <f t="shared" si="24"/>
        <v>9588</v>
      </c>
      <c r="I42" s="3">
        <f t="shared" si="24"/>
        <v>11805</v>
      </c>
      <c r="J42" s="3">
        <f t="shared" si="23"/>
        <v>11805</v>
      </c>
      <c r="K42" s="3">
        <f t="shared" si="23"/>
        <v>11805</v>
      </c>
      <c r="L42" s="3">
        <f t="shared" si="23"/>
        <v>11805</v>
      </c>
      <c r="M42" s="3">
        <f t="shared" si="23"/>
        <v>11805</v>
      </c>
      <c r="N42" s="3">
        <f t="shared" si="23"/>
        <v>11805</v>
      </c>
    </row>
    <row r="43" spans="1:14" ht="16" thickBot="1" x14ac:dyDescent="0.25">
      <c r="A43" s="6" t="s">
        <v>174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3">
        <f t="shared" si="23"/>
        <v>40321</v>
      </c>
      <c r="K43" s="3">
        <f t="shared" si="23"/>
        <v>40321</v>
      </c>
      <c r="L43" s="3">
        <f t="shared" si="23"/>
        <v>40321</v>
      </c>
      <c r="M43" s="3">
        <f t="shared" si="23"/>
        <v>40321</v>
      </c>
      <c r="N43" s="3">
        <f t="shared" si="23"/>
        <v>40321</v>
      </c>
    </row>
    <row r="44" spans="1:14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>
        <f t="shared" ref="J44:N44" si="25">I44*(1+0%)</f>
        <v>0</v>
      </c>
      <c r="K44" s="3">
        <f t="shared" si="25"/>
        <v>0</v>
      </c>
      <c r="L44" s="3">
        <f t="shared" si="25"/>
        <v>0</v>
      </c>
      <c r="M44" s="3">
        <f t="shared" si="25"/>
        <v>0</v>
      </c>
      <c r="N44" s="3">
        <f t="shared" si="25"/>
        <v>0</v>
      </c>
    </row>
    <row r="45" spans="1:14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>
        <f t="shared" ref="J45:N45" si="26">I45*(1+0%)</f>
        <v>0</v>
      </c>
      <c r="K45" s="3">
        <f t="shared" si="26"/>
        <v>0</v>
      </c>
      <c r="L45" s="3">
        <f t="shared" si="26"/>
        <v>0</v>
      </c>
      <c r="M45" s="3">
        <f t="shared" si="26"/>
        <v>0</v>
      </c>
      <c r="N45" s="3">
        <f t="shared" si="26"/>
        <v>0</v>
      </c>
    </row>
    <row r="46" spans="1:14" x14ac:dyDescent="0.2">
      <c r="A46" s="1" t="s">
        <v>134</v>
      </c>
      <c r="B46" s="9">
        <f>B7</f>
        <v>4817</v>
      </c>
      <c r="C46" s="9">
        <f t="shared" ref="C46:I46" si="27">C7</f>
        <v>5328</v>
      </c>
      <c r="D46" s="9">
        <f t="shared" si="27"/>
        <v>5192</v>
      </c>
      <c r="E46" s="9">
        <f t="shared" si="27"/>
        <v>5525</v>
      </c>
      <c r="F46" s="9">
        <f t="shared" si="27"/>
        <v>6357</v>
      </c>
      <c r="G46" s="9">
        <f t="shared" si="27"/>
        <v>4646</v>
      </c>
      <c r="H46" s="9">
        <f t="shared" si="27"/>
        <v>8641</v>
      </c>
      <c r="I46" s="9">
        <f t="shared" si="27"/>
        <v>8406</v>
      </c>
      <c r="J46" s="3">
        <f t="shared" ref="J46:N46" si="28">I46*(1+0%)</f>
        <v>8406</v>
      </c>
      <c r="K46" s="3">
        <f t="shared" si="28"/>
        <v>8406</v>
      </c>
      <c r="L46" s="3">
        <f t="shared" si="28"/>
        <v>8406</v>
      </c>
      <c r="M46" s="3">
        <f t="shared" si="28"/>
        <v>8406</v>
      </c>
      <c r="N46" s="3">
        <f t="shared" si="28"/>
        <v>8406</v>
      </c>
    </row>
    <row r="47" spans="1:14" x14ac:dyDescent="0.2">
      <c r="A47" t="s">
        <v>132</v>
      </c>
      <c r="B47" s="60">
        <f>B6</f>
        <v>606</v>
      </c>
      <c r="C47" s="60">
        <f t="shared" ref="C47:I47" si="29">C6</f>
        <v>649</v>
      </c>
      <c r="D47" s="60">
        <f t="shared" si="29"/>
        <v>706</v>
      </c>
      <c r="E47" s="60">
        <f t="shared" si="29"/>
        <v>747</v>
      </c>
      <c r="F47" s="60">
        <f t="shared" si="29"/>
        <v>705</v>
      </c>
      <c r="G47" s="60">
        <f t="shared" si="29"/>
        <v>721</v>
      </c>
      <c r="H47" s="60">
        <f t="shared" si="29"/>
        <v>744</v>
      </c>
      <c r="I47" s="60">
        <f t="shared" si="29"/>
        <v>717</v>
      </c>
      <c r="J47" s="3">
        <f t="shared" ref="J47:N47" si="30">I47*(1+0%)</f>
        <v>717</v>
      </c>
      <c r="K47" s="3">
        <f t="shared" si="30"/>
        <v>717</v>
      </c>
      <c r="L47" s="3">
        <f t="shared" si="30"/>
        <v>717</v>
      </c>
      <c r="M47" s="3">
        <f t="shared" si="30"/>
        <v>717</v>
      </c>
      <c r="N47" s="3">
        <f t="shared" si="30"/>
        <v>717</v>
      </c>
    </row>
    <row r="48" spans="1:14" x14ac:dyDescent="0.2">
      <c r="A48" t="s">
        <v>177</v>
      </c>
      <c r="B48" s="3">
        <f>B12</f>
        <v>932</v>
      </c>
      <c r="C48" s="3">
        <f t="shared" ref="C48:I48" si="31">C12</f>
        <v>863</v>
      </c>
      <c r="D48" s="3">
        <f t="shared" si="31"/>
        <v>646</v>
      </c>
      <c r="E48" s="3">
        <f t="shared" si="31"/>
        <v>2392</v>
      </c>
      <c r="F48" s="3">
        <f t="shared" si="31"/>
        <v>772</v>
      </c>
      <c r="G48" s="3">
        <f t="shared" si="31"/>
        <v>348</v>
      </c>
      <c r="H48" s="3">
        <f t="shared" si="31"/>
        <v>934</v>
      </c>
      <c r="I48" s="3">
        <f t="shared" si="31"/>
        <v>605</v>
      </c>
      <c r="J48" s="3">
        <f t="shared" ref="J48:N48" si="32">I48*(1+0%)</f>
        <v>605</v>
      </c>
      <c r="K48" s="3">
        <f t="shared" si="32"/>
        <v>605</v>
      </c>
      <c r="L48" s="3">
        <f t="shared" si="32"/>
        <v>605</v>
      </c>
      <c r="M48" s="3">
        <f t="shared" si="32"/>
        <v>605</v>
      </c>
      <c r="N48" s="3">
        <f t="shared" si="32"/>
        <v>605</v>
      </c>
    </row>
    <row r="49" spans="1:14" x14ac:dyDescent="0.2">
      <c r="A49" s="1" t="s">
        <v>178</v>
      </c>
      <c r="B49" s="9">
        <f>Historicals!B12+'Three Statements'!B10+'Three Statements'!B12</f>
        <v>4233</v>
      </c>
      <c r="C49" s="9">
        <f>'Three Statements'!C7</f>
        <v>5328</v>
      </c>
      <c r="D49" s="9">
        <f>'Three Statements'!D7</f>
        <v>5192</v>
      </c>
      <c r="E49" s="9">
        <f>'Three Statements'!E7</f>
        <v>5525</v>
      </c>
      <c r="F49" s="9">
        <f>'Three Statements'!F7</f>
        <v>6357</v>
      </c>
      <c r="G49" s="9">
        <f>'Three Statements'!G7</f>
        <v>4646</v>
      </c>
      <c r="H49" s="9">
        <f>'Three Statements'!H7</f>
        <v>8641</v>
      </c>
      <c r="I49" s="9">
        <f>'Three Statements'!I7</f>
        <v>8406</v>
      </c>
      <c r="J49" s="3">
        <f t="shared" ref="J49:N49" si="33">I49*(1+0%)</f>
        <v>8406</v>
      </c>
      <c r="K49" s="3">
        <f t="shared" si="33"/>
        <v>8406</v>
      </c>
      <c r="L49" s="3">
        <f t="shared" si="33"/>
        <v>8406</v>
      </c>
      <c r="M49" s="3">
        <f t="shared" si="33"/>
        <v>8406</v>
      </c>
      <c r="N49" s="3">
        <f t="shared" si="33"/>
        <v>8406</v>
      </c>
    </row>
    <row r="50" spans="1:14" x14ac:dyDescent="0.2">
      <c r="A50" t="s">
        <v>179</v>
      </c>
      <c r="B50" s="3">
        <f>B10</f>
        <v>28</v>
      </c>
      <c r="C50" s="3">
        <f t="shared" ref="C50:I50" si="34">C10</f>
        <v>19</v>
      </c>
      <c r="D50" s="3">
        <f t="shared" si="34"/>
        <v>59</v>
      </c>
      <c r="E50" s="3">
        <f t="shared" si="34"/>
        <v>54</v>
      </c>
      <c r="F50" s="3">
        <f t="shared" si="34"/>
        <v>49</v>
      </c>
      <c r="G50" s="3">
        <f t="shared" si="34"/>
        <v>89</v>
      </c>
      <c r="H50" s="3">
        <f t="shared" si="34"/>
        <v>262</v>
      </c>
      <c r="I50" s="3">
        <f t="shared" si="34"/>
        <v>205</v>
      </c>
      <c r="J50" s="3">
        <f t="shared" ref="J50:N50" si="35">I50*(1+0%)</f>
        <v>205</v>
      </c>
      <c r="K50" s="3">
        <f t="shared" si="35"/>
        <v>205</v>
      </c>
      <c r="L50" s="3">
        <f t="shared" si="35"/>
        <v>205</v>
      </c>
      <c r="M50" s="3">
        <f t="shared" si="35"/>
        <v>205</v>
      </c>
      <c r="N50" s="3">
        <f t="shared" si="35"/>
        <v>205</v>
      </c>
    </row>
    <row r="51" spans="1:14" x14ac:dyDescent="0.2">
      <c r="A51" t="s">
        <v>206</v>
      </c>
      <c r="B51" s="3"/>
      <c r="C51" s="77">
        <f>C23-B23</f>
        <v>412</v>
      </c>
      <c r="D51" s="77">
        <f t="shared" ref="D51:I51" si="36">D23-C23</f>
        <v>920</v>
      </c>
      <c r="E51" s="77">
        <f t="shared" si="36"/>
        <v>-1493</v>
      </c>
      <c r="F51" s="77">
        <f t="shared" si="36"/>
        <v>-435</v>
      </c>
      <c r="G51" s="77">
        <f t="shared" si="36"/>
        <v>3613</v>
      </c>
      <c r="H51" s="77">
        <f t="shared" si="36"/>
        <v>4345</v>
      </c>
      <c r="I51" s="77">
        <f t="shared" si="36"/>
        <v>866</v>
      </c>
      <c r="J51" s="3">
        <f t="shared" ref="J51:N51" si="37">I51*(1+0%)</f>
        <v>866</v>
      </c>
      <c r="K51" s="3">
        <f t="shared" si="37"/>
        <v>866</v>
      </c>
      <c r="L51" s="3">
        <f t="shared" si="37"/>
        <v>866</v>
      </c>
      <c r="M51" s="3">
        <f t="shared" si="37"/>
        <v>866</v>
      </c>
      <c r="N51" s="3">
        <f t="shared" si="37"/>
        <v>866</v>
      </c>
    </row>
    <row r="52" spans="1:14" x14ac:dyDescent="0.2">
      <c r="A52" t="s">
        <v>135</v>
      </c>
      <c r="B52" s="9">
        <f>+[1]Historicals!B167</f>
        <v>121</v>
      </c>
      <c r="C52" s="9">
        <f>+[1]Historicals!C167</f>
        <v>133</v>
      </c>
      <c r="D52" s="9">
        <f>+[1]Historicals!D167</f>
        <v>140</v>
      </c>
      <c r="E52" s="9">
        <f>+[1]Historicals!E167</f>
        <v>160</v>
      </c>
      <c r="F52" s="9">
        <f>+[1]Historicals!F167</f>
        <v>149</v>
      </c>
      <c r="G52" s="9">
        <f>+[1]Historicals!G167</f>
        <v>148</v>
      </c>
      <c r="H52" s="9">
        <f>+[1]Historicals!H167</f>
        <v>130</v>
      </c>
      <c r="I52" s="9">
        <f>+[1]Historicals!I167</f>
        <v>124</v>
      </c>
      <c r="J52" s="60">
        <f>I52*(1+0)</f>
        <v>124</v>
      </c>
      <c r="K52" s="60">
        <f t="shared" ref="K52:N52" si="38">J52*(1+0)</f>
        <v>124</v>
      </c>
      <c r="L52" s="60">
        <f t="shared" si="38"/>
        <v>124</v>
      </c>
      <c r="M52" s="60">
        <f t="shared" si="38"/>
        <v>124</v>
      </c>
      <c r="N52" s="60">
        <f t="shared" si="38"/>
        <v>124</v>
      </c>
    </row>
    <row r="53" spans="1:14" x14ac:dyDescent="0.2">
      <c r="A53" s="1" t="s">
        <v>180</v>
      </c>
      <c r="B53" s="9">
        <f>B49+B47-B52-B23</f>
        <v>-4537</v>
      </c>
      <c r="C53" s="9">
        <f t="shared" ref="C53:I53" si="39">C49+C47-C52-C23</f>
        <v>-3823</v>
      </c>
      <c r="D53" s="9">
        <f t="shared" si="39"/>
        <v>-4829</v>
      </c>
      <c r="E53" s="9">
        <f t="shared" si="39"/>
        <v>-2982</v>
      </c>
      <c r="F53" s="9">
        <f t="shared" si="39"/>
        <v>-1746</v>
      </c>
      <c r="G53" s="9">
        <f t="shared" si="39"/>
        <v>-7053</v>
      </c>
      <c r="H53" s="9">
        <f t="shared" si="39"/>
        <v>-7362</v>
      </c>
      <c r="I53" s="9">
        <f t="shared" si="39"/>
        <v>-8484</v>
      </c>
      <c r="J53" s="9">
        <f>I53*(1+0%)</f>
        <v>-8484</v>
      </c>
      <c r="K53" s="9">
        <f t="shared" ref="K53:N53" si="40">J53*(1+0%)</f>
        <v>-8484</v>
      </c>
      <c r="L53" s="9">
        <f t="shared" si="40"/>
        <v>-8484</v>
      </c>
      <c r="M53" s="9">
        <f t="shared" si="40"/>
        <v>-8484</v>
      </c>
      <c r="N53" s="9">
        <f t="shared" si="40"/>
        <v>-8484</v>
      </c>
    </row>
    <row r="54" spans="1:14" x14ac:dyDescent="0.2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27" t="s">
        <v>182</v>
      </c>
      <c r="B55" s="26">
        <f>B14+B51</f>
        <v>3273</v>
      </c>
      <c r="C55" s="26">
        <f t="shared" ref="C55:I55" si="41">C14+C51</f>
        <v>4172</v>
      </c>
      <c r="D55" s="26">
        <f t="shared" si="41"/>
        <v>5160</v>
      </c>
      <c r="E55" s="26">
        <f t="shared" si="41"/>
        <v>440</v>
      </c>
      <c r="F55" s="26">
        <f t="shared" si="41"/>
        <v>3594</v>
      </c>
      <c r="G55" s="26">
        <f t="shared" si="41"/>
        <v>6152</v>
      </c>
      <c r="H55" s="26">
        <f t="shared" si="41"/>
        <v>10072</v>
      </c>
      <c r="I55" s="26">
        <f t="shared" si="41"/>
        <v>6912</v>
      </c>
      <c r="J55" s="26">
        <f>I55*(1+0%)</f>
        <v>6912</v>
      </c>
      <c r="K55" s="26">
        <f t="shared" ref="K55:N55" si="42">J55*(1+0%)</f>
        <v>6912</v>
      </c>
      <c r="L55" s="26">
        <f t="shared" si="42"/>
        <v>6912</v>
      </c>
      <c r="M55" s="26">
        <f t="shared" si="42"/>
        <v>6912</v>
      </c>
      <c r="N55" s="26">
        <f t="shared" si="42"/>
        <v>6912</v>
      </c>
    </row>
    <row r="56" spans="1:14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26">
        <f t="shared" ref="J56:N56" si="43">I56*(1+0%)</f>
        <v>0</v>
      </c>
      <c r="K56" s="26">
        <f t="shared" si="43"/>
        <v>0</v>
      </c>
      <c r="L56" s="26">
        <f t="shared" si="43"/>
        <v>0</v>
      </c>
      <c r="M56" s="26">
        <f t="shared" si="43"/>
        <v>0</v>
      </c>
      <c r="N56" s="26">
        <f t="shared" si="43"/>
        <v>0</v>
      </c>
    </row>
    <row r="57" spans="1:14" x14ac:dyDescent="0.2">
      <c r="A57" t="s">
        <v>184</v>
      </c>
      <c r="B57" s="3"/>
      <c r="C57" s="3"/>
      <c r="D57" s="3"/>
      <c r="E57" s="3"/>
      <c r="F57" s="3"/>
      <c r="G57" s="3"/>
      <c r="H57" s="3"/>
      <c r="I57" s="3"/>
      <c r="J57" s="26">
        <f t="shared" ref="J57:N57" si="44">I57*(1+0%)</f>
        <v>0</v>
      </c>
      <c r="K57" s="26">
        <f t="shared" si="44"/>
        <v>0</v>
      </c>
      <c r="L57" s="26">
        <f t="shared" si="44"/>
        <v>0</v>
      </c>
      <c r="M57" s="26">
        <f t="shared" si="44"/>
        <v>0</v>
      </c>
      <c r="N57" s="26">
        <f t="shared" si="44"/>
        <v>0</v>
      </c>
    </row>
    <row r="58" spans="1:14" x14ac:dyDescent="0.2">
      <c r="A58" s="27" t="s">
        <v>185</v>
      </c>
      <c r="B58" s="26">
        <f>B52+Historicals!B78-Historicals!B80</f>
        <v>-7031</v>
      </c>
      <c r="C58" s="26">
        <f>C52+Historicals!C78-Historicals!C80</f>
        <v>-7620</v>
      </c>
      <c r="D58" s="26">
        <f>D52+Historicals!D78-Historicals!D80</f>
        <v>-8211</v>
      </c>
      <c r="E58" s="26">
        <f>E52+Historicals!E78-Historicals!E80</f>
        <v>-7119</v>
      </c>
      <c r="F58" s="26">
        <f>F52+Historicals!F78-Historicals!F80</f>
        <v>-4860</v>
      </c>
      <c r="G58" s="26">
        <f>G52+Historicals!G78-Historicals!G80</f>
        <v>-4657</v>
      </c>
      <c r="H58" s="26">
        <f>H52+Historicals!H78-Historicals!H80</f>
        <v>-12280</v>
      </c>
      <c r="I58" s="26">
        <f>I52+Historicals!I78-Historicals!I80</f>
        <v>-16756</v>
      </c>
      <c r="J58" s="26">
        <f t="shared" ref="J58:N58" si="45">I58*(1+0%)</f>
        <v>-16756</v>
      </c>
      <c r="K58" s="26">
        <f t="shared" si="45"/>
        <v>-16756</v>
      </c>
      <c r="L58" s="26">
        <f t="shared" si="45"/>
        <v>-16756</v>
      </c>
      <c r="M58" s="26">
        <f t="shared" si="45"/>
        <v>-16756</v>
      </c>
      <c r="N58" s="26">
        <f t="shared" si="45"/>
        <v>-16756</v>
      </c>
    </row>
    <row r="59" spans="1:14" x14ac:dyDescent="0.2">
      <c r="A59" t="s">
        <v>186</v>
      </c>
      <c r="B59" s="3">
        <f>Historicals!B89</f>
        <v>-63</v>
      </c>
      <c r="C59" s="3">
        <f>Historicals!C89</f>
        <v>-67</v>
      </c>
      <c r="D59" s="3">
        <f>Historicals!D89</f>
        <v>327</v>
      </c>
      <c r="E59" s="3">
        <f>Historicals!E89</f>
        <v>13</v>
      </c>
      <c r="F59" s="3">
        <f>Historicals!F89</f>
        <v>0</v>
      </c>
      <c r="G59" s="3">
        <f>Historicals!G89</f>
        <v>6134</v>
      </c>
      <c r="H59" s="3">
        <f>Historicals!H89</f>
        <v>-608</v>
      </c>
      <c r="I59" s="3">
        <f>Historicals!I89</f>
        <v>-4014</v>
      </c>
      <c r="J59" s="26">
        <f t="shared" ref="J59:N59" si="46">I59*(1+0%)</f>
        <v>-4014</v>
      </c>
      <c r="K59" s="26">
        <f t="shared" si="46"/>
        <v>-4014</v>
      </c>
      <c r="L59" s="26">
        <f t="shared" si="46"/>
        <v>-4014</v>
      </c>
      <c r="M59" s="26">
        <f t="shared" si="46"/>
        <v>-4014</v>
      </c>
      <c r="N59" s="26">
        <f t="shared" si="46"/>
        <v>-4014</v>
      </c>
    </row>
    <row r="60" spans="1:14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26">
        <f t="shared" ref="J60:N60" si="47">I60*(1+0%)</f>
        <v>0</v>
      </c>
      <c r="K60" s="26">
        <f t="shared" si="47"/>
        <v>0</v>
      </c>
      <c r="L60" s="26">
        <f t="shared" si="47"/>
        <v>0</v>
      </c>
      <c r="M60" s="26">
        <f t="shared" si="47"/>
        <v>0</v>
      </c>
      <c r="N60" s="26">
        <f t="shared" si="47"/>
        <v>0</v>
      </c>
    </row>
    <row r="61" spans="1:14" x14ac:dyDescent="0.2">
      <c r="A61" t="s">
        <v>187</v>
      </c>
      <c r="B61" s="3">
        <f>Historicals!B90</f>
        <v>-19</v>
      </c>
      <c r="C61" s="3">
        <f>Historicals!C90</f>
        <v>0</v>
      </c>
      <c r="D61" s="3">
        <f>Historicals!D90</f>
        <v>0</v>
      </c>
      <c r="E61" s="3">
        <f>Historicals!E90</f>
        <v>13</v>
      </c>
      <c r="F61" s="3">
        <f>Historicals!F90</f>
        <v>-325</v>
      </c>
      <c r="G61" s="3">
        <f>Historicals!G90</f>
        <v>49</v>
      </c>
      <c r="H61" s="3">
        <f>Historicals!H90</f>
        <v>-1638</v>
      </c>
      <c r="I61" s="3">
        <f>Historicals!I90</f>
        <v>-1837</v>
      </c>
      <c r="J61" s="26">
        <f t="shared" ref="J61:N61" si="48">I61*(1+0%)</f>
        <v>-1837</v>
      </c>
      <c r="K61" s="26">
        <f t="shared" si="48"/>
        <v>-1837</v>
      </c>
      <c r="L61" s="26">
        <f t="shared" si="48"/>
        <v>-1837</v>
      </c>
      <c r="M61" s="26">
        <f t="shared" si="48"/>
        <v>-1837</v>
      </c>
      <c r="N61" s="26">
        <f t="shared" si="48"/>
        <v>-1837</v>
      </c>
    </row>
    <row r="62" spans="1:14" x14ac:dyDescent="0.2">
      <c r="A62" t="s">
        <v>188</v>
      </c>
      <c r="B62" s="3"/>
      <c r="C62" s="3"/>
      <c r="D62" s="3"/>
      <c r="E62" s="3"/>
      <c r="F62" s="3"/>
      <c r="G62" s="3"/>
      <c r="H62" s="3"/>
      <c r="I62" s="3"/>
      <c r="J62" s="26">
        <f t="shared" ref="J62:N62" si="49">I62*(1+0%)</f>
        <v>0</v>
      </c>
      <c r="K62" s="26">
        <f t="shared" si="49"/>
        <v>0</v>
      </c>
      <c r="L62" s="26">
        <f t="shared" si="49"/>
        <v>0</v>
      </c>
      <c r="M62" s="26">
        <f t="shared" si="49"/>
        <v>0</v>
      </c>
      <c r="N62" s="26">
        <f t="shared" si="49"/>
        <v>0</v>
      </c>
    </row>
    <row r="63" spans="1:14" x14ac:dyDescent="0.2">
      <c r="A63" t="s">
        <v>189</v>
      </c>
      <c r="B63" s="3"/>
      <c r="C63" s="3"/>
      <c r="D63" s="3"/>
      <c r="E63" s="3"/>
      <c r="F63" s="3"/>
      <c r="G63" s="3"/>
      <c r="H63" s="3"/>
      <c r="I63" s="3"/>
      <c r="J63" s="26">
        <f t="shared" ref="J63:N63" si="50">I63*(1+0%)</f>
        <v>0</v>
      </c>
      <c r="K63" s="26">
        <f t="shared" si="50"/>
        <v>0</v>
      </c>
      <c r="L63" s="26">
        <f t="shared" si="50"/>
        <v>0</v>
      </c>
      <c r="M63" s="26">
        <f t="shared" si="50"/>
        <v>0</v>
      </c>
      <c r="N63" s="26">
        <f t="shared" si="50"/>
        <v>0</v>
      </c>
    </row>
    <row r="64" spans="1:14" x14ac:dyDescent="0.2">
      <c r="A64" s="27" t="s">
        <v>190</v>
      </c>
      <c r="B64">
        <f>(Historicals!B85-Historicals!B87+Historicals!B88)+Historicals!B90</f>
        <v>-201</v>
      </c>
      <c r="C64">
        <f>(Historicals!C85-Historicals!C87+Historicals!C88)+Historicals!C90</f>
        <v>-2121</v>
      </c>
      <c r="D64">
        <f>(Historicals!D85-Historicals!D87+Historicals!D88)+Historicals!D90</f>
        <v>-2534</v>
      </c>
      <c r="E64">
        <f>(Historicals!E85-Historicals!E87+Historicals!E88)+Historicals!E90</f>
        <v>286</v>
      </c>
      <c r="F64">
        <f>(Historicals!F85-Historicals!F87+Historicals!F88)+Historicals!F90</f>
        <v>-589</v>
      </c>
      <c r="G64">
        <f>(Historicals!G85-Historicals!G87+Historicals!G88)+Historicals!G90</f>
        <v>-979</v>
      </c>
      <c r="H64">
        <f>(Historicals!H85-Historicals!H87+Historicals!H88)+Historicals!H90</f>
        <v>-269</v>
      </c>
      <c r="I64">
        <f>(Historicals!I85-Historicals!I87+Historicals!I88)+Historicals!I90</f>
        <v>-686</v>
      </c>
      <c r="J64" s="26">
        <f t="shared" ref="J64:N64" si="51">I64*(1+0%)</f>
        <v>-686</v>
      </c>
      <c r="K64" s="26">
        <f t="shared" si="51"/>
        <v>-686</v>
      </c>
      <c r="L64" s="26">
        <f t="shared" si="51"/>
        <v>-686</v>
      </c>
      <c r="M64" s="26">
        <f t="shared" si="51"/>
        <v>-686</v>
      </c>
      <c r="N64" s="26">
        <f t="shared" si="51"/>
        <v>-686</v>
      </c>
    </row>
    <row r="65" spans="1:14" x14ac:dyDescent="0.2">
      <c r="A65" t="s">
        <v>191</v>
      </c>
      <c r="B65" s="26"/>
      <c r="C65" s="3"/>
      <c r="D65" s="3"/>
      <c r="E65" s="3"/>
      <c r="F65" s="3"/>
      <c r="G65" s="3"/>
      <c r="H65" s="3"/>
      <c r="I65" s="3"/>
      <c r="J65" s="26">
        <f t="shared" ref="J65:N65" si="52">I65*(1+0%)</f>
        <v>0</v>
      </c>
      <c r="K65" s="26">
        <f t="shared" si="52"/>
        <v>0</v>
      </c>
      <c r="L65" s="26">
        <f t="shared" si="52"/>
        <v>0</v>
      </c>
      <c r="M65" s="26">
        <f t="shared" si="52"/>
        <v>0</v>
      </c>
      <c r="N65" s="26">
        <f t="shared" si="52"/>
        <v>0</v>
      </c>
    </row>
    <row r="66" spans="1:14" x14ac:dyDescent="0.2">
      <c r="A66" s="27" t="s">
        <v>192</v>
      </c>
      <c r="B66" s="26">
        <f>B55+B58+B64</f>
        <v>-3959</v>
      </c>
      <c r="C66" s="26">
        <f t="shared" ref="C66:I66" si="53">C55+C58+C64</f>
        <v>-5569</v>
      </c>
      <c r="D66" s="26">
        <f t="shared" si="53"/>
        <v>-5585</v>
      </c>
      <c r="E66" s="26">
        <f t="shared" si="53"/>
        <v>-6393</v>
      </c>
      <c r="F66" s="26">
        <f t="shared" si="53"/>
        <v>-1855</v>
      </c>
      <c r="G66" s="26">
        <f t="shared" si="53"/>
        <v>516</v>
      </c>
      <c r="H66" s="26">
        <f t="shared" si="53"/>
        <v>-2477</v>
      </c>
      <c r="I66" s="26">
        <f t="shared" si="53"/>
        <v>-10530</v>
      </c>
      <c r="J66" s="26">
        <f t="shared" ref="J66:N66" si="54">I66*(1+0%)</f>
        <v>-10530</v>
      </c>
      <c r="K66" s="26">
        <f t="shared" si="54"/>
        <v>-10530</v>
      </c>
      <c r="L66" s="26">
        <f t="shared" si="54"/>
        <v>-10530</v>
      </c>
      <c r="M66" s="26">
        <f t="shared" si="54"/>
        <v>-10530</v>
      </c>
      <c r="N66" s="26">
        <f t="shared" si="54"/>
        <v>-10530</v>
      </c>
    </row>
    <row r="67" spans="1:14" x14ac:dyDescent="0.2">
      <c r="A67" t="s">
        <v>193</v>
      </c>
      <c r="B67" s="3">
        <f>Historicals!B95</f>
        <v>-3008</v>
      </c>
      <c r="C67" s="3">
        <f>Historicals!C95</f>
        <v>-2945</v>
      </c>
      <c r="D67" s="3">
        <f>Historicals!D95</f>
        <v>-2591</v>
      </c>
      <c r="E67" s="3">
        <f>Historicals!E95</f>
        <v>-4828</v>
      </c>
      <c r="F67" s="3">
        <f>Historicals!F95</f>
        <v>-5293</v>
      </c>
      <c r="G67" s="3">
        <f>Historicals!G95</f>
        <v>2491</v>
      </c>
      <c r="H67" s="3">
        <f>Historicals!H95</f>
        <v>8348</v>
      </c>
      <c r="I67" s="3">
        <f>Historicals!I95</f>
        <v>9889</v>
      </c>
      <c r="J67" s="26">
        <f t="shared" ref="J67:N67" si="55">I67*(1+0%)</f>
        <v>9889</v>
      </c>
      <c r="K67" s="26">
        <f t="shared" si="55"/>
        <v>9889</v>
      </c>
      <c r="L67" s="26">
        <f t="shared" si="55"/>
        <v>9889</v>
      </c>
      <c r="M67" s="26">
        <f t="shared" si="55"/>
        <v>9889</v>
      </c>
      <c r="N67" s="26">
        <f t="shared" si="55"/>
        <v>9889</v>
      </c>
    </row>
    <row r="68" spans="1:14" ht="16" thickBot="1" x14ac:dyDescent="0.25">
      <c r="A68" s="6" t="s">
        <v>194</v>
      </c>
      <c r="B68" s="7">
        <f>Historicals!B96</f>
        <v>-83</v>
      </c>
      <c r="C68" s="7">
        <f>Historicals!C96</f>
        <v>-105</v>
      </c>
      <c r="D68" s="7">
        <f>Historicals!D96</f>
        <v>-20</v>
      </c>
      <c r="E68" s="7">
        <f>Historicals!E96</f>
        <v>45</v>
      </c>
      <c r="F68" s="7">
        <f>Historicals!F96</f>
        <v>-129</v>
      </c>
      <c r="G68" s="7">
        <f>Historicals!G96</f>
        <v>-66</v>
      </c>
      <c r="H68" s="7">
        <f>Historicals!H96</f>
        <v>9889</v>
      </c>
      <c r="I68" s="7">
        <f>Historicals!I96</f>
        <v>8574</v>
      </c>
      <c r="J68" s="26">
        <f t="shared" ref="J68:N68" si="56">I68*(1+0%)</f>
        <v>8574</v>
      </c>
      <c r="K68" s="26">
        <f t="shared" si="56"/>
        <v>8574</v>
      </c>
      <c r="L68" s="26">
        <f t="shared" si="56"/>
        <v>8574</v>
      </c>
      <c r="M68" s="26">
        <f t="shared" si="56"/>
        <v>8574</v>
      </c>
      <c r="N68" s="26">
        <f t="shared" si="56"/>
        <v>8574</v>
      </c>
    </row>
    <row r="69" spans="1:14" ht="16" thickTop="1" x14ac:dyDescent="0.2">
      <c r="A69" s="1" t="s">
        <v>195</v>
      </c>
      <c r="B69" s="48">
        <f>B68+B67</f>
        <v>-3091</v>
      </c>
      <c r="C69" s="48">
        <f t="shared" ref="C69:I69" si="57">C68+C67</f>
        <v>-3050</v>
      </c>
      <c r="D69" s="48">
        <f t="shared" si="57"/>
        <v>-2611</v>
      </c>
      <c r="E69" s="48">
        <f t="shared" si="57"/>
        <v>-4783</v>
      </c>
      <c r="F69" s="48">
        <f t="shared" si="57"/>
        <v>-5422</v>
      </c>
      <c r="G69" s="48">
        <f t="shared" si="57"/>
        <v>2425</v>
      </c>
      <c r="H69" s="48">
        <f t="shared" si="57"/>
        <v>18237</v>
      </c>
      <c r="I69" s="48">
        <f t="shared" si="57"/>
        <v>18463</v>
      </c>
      <c r="J69" s="26">
        <f t="shared" ref="J69:N69" si="58">I69*(1+0%)</f>
        <v>18463</v>
      </c>
      <c r="K69" s="26">
        <f t="shared" si="58"/>
        <v>18463</v>
      </c>
      <c r="L69" s="26">
        <f t="shared" si="58"/>
        <v>18463</v>
      </c>
      <c r="M69" s="26">
        <f t="shared" si="58"/>
        <v>18463</v>
      </c>
      <c r="N69" s="26">
        <f t="shared" si="58"/>
        <v>18463</v>
      </c>
    </row>
    <row r="73" spans="1:14" x14ac:dyDescent="0.2">
      <c r="A73" s="60"/>
      <c r="B73" s="60"/>
    </row>
    <row r="75" spans="1:14" x14ac:dyDescent="0.2">
      <c r="A75" s="60"/>
      <c r="C75" s="60"/>
      <c r="D75" s="60"/>
      <c r="E75" s="60"/>
      <c r="F75" s="60"/>
      <c r="G75" s="60"/>
      <c r="H75" s="60"/>
    </row>
    <row r="76" spans="1:14" x14ac:dyDescent="0.2">
      <c r="B76" s="60"/>
      <c r="C76" s="60"/>
      <c r="D76" s="60"/>
      <c r="E76" s="60"/>
    </row>
    <row r="78" spans="1:14" x14ac:dyDescent="0.2">
      <c r="A78" s="6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2020-05-20T17:26:08Z</dcterms:created>
  <dcterms:modified xsi:type="dcterms:W3CDTF">2024-12-03T12:10:58Z</dcterms:modified>
</cp:coreProperties>
</file>