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petrosleras/Desktop/QCP/Task11/"/>
    </mc:Choice>
  </mc:AlternateContent>
  <xr:revisionPtr revIDLastSave="0" documentId="8_{CE7DD6D1-277C-DB43-AC5D-31C510AF4AE2}" xr6:coauthVersionLast="47" xr6:coauthVersionMax="47" xr10:uidLastSave="{00000000-0000-0000-0000-000000000000}"/>
  <bookViews>
    <workbookView xWindow="0" yWindow="0" windowWidth="68800" windowHeight="288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F69" i="4"/>
  <c r="E69" i="4"/>
  <c r="D69" i="4"/>
  <c r="C69" i="4"/>
  <c r="B69" i="4"/>
  <c r="I68" i="4"/>
  <c r="I69" i="4" s="1"/>
  <c r="H68" i="4"/>
  <c r="H69" i="4" s="1"/>
  <c r="G68" i="4"/>
  <c r="G69" i="4" s="1"/>
  <c r="F68" i="4"/>
  <c r="E68" i="4"/>
  <c r="D68" i="4"/>
  <c r="C68" i="4"/>
  <c r="B68" i="4"/>
  <c r="I67" i="4"/>
  <c r="H67" i="4"/>
  <c r="G67" i="4"/>
  <c r="F67" i="4"/>
  <c r="E67" i="4"/>
  <c r="D67" i="4"/>
  <c r="C67" i="4"/>
  <c r="B67" i="4"/>
  <c r="I64" i="4"/>
  <c r="H64" i="4"/>
  <c r="G64" i="4"/>
  <c r="F64" i="4"/>
  <c r="E64" i="4"/>
  <c r="D64" i="4"/>
  <c r="C64" i="4"/>
  <c r="B64" i="4"/>
  <c r="I61" i="4"/>
  <c r="H61" i="4"/>
  <c r="G61" i="4"/>
  <c r="F61" i="4"/>
  <c r="E61" i="4"/>
  <c r="D61" i="4"/>
  <c r="C61" i="4"/>
  <c r="B61" i="4"/>
  <c r="I59" i="4"/>
  <c r="H59" i="4"/>
  <c r="G59" i="4"/>
  <c r="F59" i="4"/>
  <c r="E59" i="4"/>
  <c r="D59" i="4"/>
  <c r="C59" i="4"/>
  <c r="B59" i="4"/>
  <c r="I58" i="4"/>
  <c r="H58" i="4"/>
  <c r="G58" i="4"/>
  <c r="I52" i="4"/>
  <c r="H52" i="4"/>
  <c r="G52" i="4"/>
  <c r="F52" i="4"/>
  <c r="F58" i="4" s="1"/>
  <c r="E52" i="4"/>
  <c r="E58" i="4" s="1"/>
  <c r="D52" i="4"/>
  <c r="D58" i="4" s="1"/>
  <c r="C52" i="4"/>
  <c r="C58" i="4" s="1"/>
  <c r="B52" i="4"/>
  <c r="B58" i="4" s="1"/>
  <c r="I51" i="4"/>
  <c r="F50" i="4"/>
  <c r="I49" i="4"/>
  <c r="I53" i="4" s="1"/>
  <c r="H49" i="4"/>
  <c r="G49" i="4"/>
  <c r="F49" i="4"/>
  <c r="E49" i="4"/>
  <c r="E53" i="4" s="1"/>
  <c r="D49" i="4"/>
  <c r="D53" i="4" s="1"/>
  <c r="C49" i="4"/>
  <c r="B49" i="4"/>
  <c r="G48" i="4"/>
  <c r="E48" i="4"/>
  <c r="D48" i="4"/>
  <c r="E47" i="4"/>
  <c r="C47" i="4"/>
  <c r="B47" i="4"/>
  <c r="B53" i="4" s="1"/>
  <c r="I46" i="4"/>
  <c r="H46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I41" i="4"/>
  <c r="H41" i="4"/>
  <c r="G41" i="4"/>
  <c r="F41" i="4"/>
  <c r="E41" i="4"/>
  <c r="D41" i="4"/>
  <c r="C41" i="4"/>
  <c r="B41" i="4"/>
  <c r="I39" i="4"/>
  <c r="H39" i="4"/>
  <c r="G39" i="4"/>
  <c r="F39" i="4"/>
  <c r="E39" i="4"/>
  <c r="D39" i="4"/>
  <c r="C39" i="4"/>
  <c r="C42" i="4" s="1"/>
  <c r="B39" i="4"/>
  <c r="B42" i="4" s="1"/>
  <c r="I37" i="4"/>
  <c r="H37" i="4"/>
  <c r="G37" i="4"/>
  <c r="F37" i="4"/>
  <c r="E37" i="4"/>
  <c r="D37" i="4"/>
  <c r="C37" i="4"/>
  <c r="B37" i="4"/>
  <c r="I36" i="4"/>
  <c r="H36" i="4"/>
  <c r="G36" i="4"/>
  <c r="F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1" i="4"/>
  <c r="I30" i="4" s="1"/>
  <c r="H31" i="4"/>
  <c r="H30" i="4" s="1"/>
  <c r="G31" i="4"/>
  <c r="G30" i="4" s="1"/>
  <c r="F31" i="4"/>
  <c r="E31" i="4"/>
  <c r="D31" i="4"/>
  <c r="C31" i="4"/>
  <c r="B31" i="4"/>
  <c r="E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C30" i="4" s="1"/>
  <c r="B28" i="4"/>
  <c r="B30" i="4" s="1"/>
  <c r="I27" i="4"/>
  <c r="H27" i="4"/>
  <c r="G27" i="4"/>
  <c r="F27" i="4"/>
  <c r="E27" i="4"/>
  <c r="D27" i="4"/>
  <c r="C27" i="4"/>
  <c r="B27" i="4"/>
  <c r="I26" i="4"/>
  <c r="H26" i="4"/>
  <c r="G26" i="4"/>
  <c r="F26" i="4"/>
  <c r="F30" i="4" s="1"/>
  <c r="E26" i="4"/>
  <c r="D26" i="4"/>
  <c r="C26" i="4"/>
  <c r="B26" i="4"/>
  <c r="I24" i="4"/>
  <c r="H24" i="4"/>
  <c r="G24" i="4"/>
  <c r="F24" i="4"/>
  <c r="I23" i="4"/>
  <c r="H23" i="4"/>
  <c r="H51" i="4" s="1"/>
  <c r="G23" i="4"/>
  <c r="G51" i="4" s="1"/>
  <c r="F23" i="4"/>
  <c r="F51" i="4" s="1"/>
  <c r="E23" i="4"/>
  <c r="E51" i="4" s="1"/>
  <c r="D23" i="4"/>
  <c r="D51" i="4" s="1"/>
  <c r="C23" i="4"/>
  <c r="C51" i="4" s="1"/>
  <c r="B23" i="4"/>
  <c r="B24" i="4" s="1"/>
  <c r="I21" i="4"/>
  <c r="H21" i="4"/>
  <c r="G21" i="4"/>
  <c r="F21" i="4"/>
  <c r="E21" i="4"/>
  <c r="D21" i="4"/>
  <c r="C21" i="4"/>
  <c r="B21" i="4"/>
  <c r="I19" i="4"/>
  <c r="H19" i="4"/>
  <c r="G19" i="4"/>
  <c r="F19" i="4"/>
  <c r="E19" i="4"/>
  <c r="B19" i="4"/>
  <c r="H18" i="4"/>
  <c r="G18" i="4"/>
  <c r="F18" i="4"/>
  <c r="E18" i="4"/>
  <c r="D18" i="4"/>
  <c r="I17" i="4"/>
  <c r="H17" i="4"/>
  <c r="G17" i="4"/>
  <c r="F17" i="4"/>
  <c r="E17" i="4"/>
  <c r="D17" i="4"/>
  <c r="C17" i="4"/>
  <c r="B17" i="4"/>
  <c r="I16" i="4"/>
  <c r="I18" i="4" s="1"/>
  <c r="H16" i="4"/>
  <c r="G16" i="4"/>
  <c r="F16" i="4"/>
  <c r="E16" i="4"/>
  <c r="D16" i="4"/>
  <c r="C16" i="4"/>
  <c r="C18" i="4" s="1"/>
  <c r="B16" i="4"/>
  <c r="I15" i="4"/>
  <c r="H15" i="4"/>
  <c r="G15" i="4"/>
  <c r="F15" i="4"/>
  <c r="E15" i="4"/>
  <c r="D15" i="4"/>
  <c r="C15" i="4"/>
  <c r="B15" i="4"/>
  <c r="I14" i="4"/>
  <c r="I55" i="4" s="1"/>
  <c r="I66" i="4" s="1"/>
  <c r="H14" i="4"/>
  <c r="G14" i="4"/>
  <c r="F14" i="4"/>
  <c r="F55" i="4" s="1"/>
  <c r="F66" i="4" s="1"/>
  <c r="E14" i="4"/>
  <c r="E55" i="4" s="1"/>
  <c r="E66" i="4" s="1"/>
  <c r="D14" i="4"/>
  <c r="D55" i="4" s="1"/>
  <c r="D66" i="4" s="1"/>
  <c r="C14" i="4"/>
  <c r="C55" i="4" s="1"/>
  <c r="C66" i="4" s="1"/>
  <c r="B14" i="4"/>
  <c r="B55" i="4" s="1"/>
  <c r="B66" i="4" s="1"/>
  <c r="I12" i="4"/>
  <c r="I48" i="4" s="1"/>
  <c r="H12" i="4"/>
  <c r="H48" i="4" s="1"/>
  <c r="G12" i="4"/>
  <c r="F12" i="4"/>
  <c r="F48" i="4" s="1"/>
  <c r="E12" i="4"/>
  <c r="D12" i="4"/>
  <c r="C12" i="4"/>
  <c r="C48" i="4" s="1"/>
  <c r="B12" i="4"/>
  <c r="B48" i="4" s="1"/>
  <c r="I11" i="4"/>
  <c r="I10" i="4"/>
  <c r="I50" i="4" s="1"/>
  <c r="H10" i="4"/>
  <c r="H50" i="4" s="1"/>
  <c r="G10" i="4"/>
  <c r="G50" i="4" s="1"/>
  <c r="F10" i="4"/>
  <c r="E10" i="4"/>
  <c r="E50" i="4" s="1"/>
  <c r="D10" i="4"/>
  <c r="D50" i="4" s="1"/>
  <c r="C10" i="4"/>
  <c r="C50" i="4" s="1"/>
  <c r="B10" i="4"/>
  <c r="B50" i="4" s="1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7" i="4"/>
  <c r="H7" i="4"/>
  <c r="H11" i="4" s="1"/>
  <c r="H13" i="4" s="1"/>
  <c r="G7" i="4"/>
  <c r="G11" i="4" s="1"/>
  <c r="G13" i="4" s="1"/>
  <c r="F7" i="4"/>
  <c r="F46" i="4" s="1"/>
  <c r="E7" i="4"/>
  <c r="E46" i="4" s="1"/>
  <c r="D7" i="4"/>
  <c r="D11" i="4" s="1"/>
  <c r="D13" i="4" s="1"/>
  <c r="C7" i="4"/>
  <c r="C46" i="4" s="1"/>
  <c r="B7" i="4"/>
  <c r="B46" i="4" s="1"/>
  <c r="I6" i="4"/>
  <c r="I47" i="4" s="1"/>
  <c r="H6" i="4"/>
  <c r="H47" i="4" s="1"/>
  <c r="G6" i="4"/>
  <c r="G47" i="4" s="1"/>
  <c r="F6" i="4"/>
  <c r="F47" i="4" s="1"/>
  <c r="E6" i="4"/>
  <c r="D6" i="4"/>
  <c r="D47" i="4" s="1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3" i="4"/>
  <c r="H3" i="4"/>
  <c r="G3" i="4"/>
  <c r="F3" i="4"/>
  <c r="E3" i="4"/>
  <c r="E24" i="4" s="1"/>
  <c r="D3" i="4"/>
  <c r="C3" i="4"/>
  <c r="B3" i="4"/>
  <c r="I19" i="3"/>
  <c r="H19" i="3"/>
  <c r="I18" i="3"/>
  <c r="H18" i="3"/>
  <c r="C18" i="3"/>
  <c r="B18" i="3"/>
  <c r="I17" i="3"/>
  <c r="J17" i="3" s="1"/>
  <c r="H17" i="3"/>
  <c r="G17" i="3"/>
  <c r="G18" i="3" s="1"/>
  <c r="F17" i="3"/>
  <c r="F18" i="3" s="1"/>
  <c r="E17" i="3"/>
  <c r="E18" i="3" s="1"/>
  <c r="D17" i="3"/>
  <c r="D19" i="3" s="1"/>
  <c r="C17" i="3"/>
  <c r="C19" i="3" s="1"/>
  <c r="B17" i="3"/>
  <c r="B19" i="3" s="1"/>
  <c r="I16" i="3"/>
  <c r="H16" i="3"/>
  <c r="G16" i="3"/>
  <c r="J15" i="3"/>
  <c r="I15" i="3"/>
  <c r="H15" i="3"/>
  <c r="G15" i="3"/>
  <c r="B15" i="3"/>
  <c r="J14" i="3"/>
  <c r="J16" i="3" s="1"/>
  <c r="I14" i="3"/>
  <c r="H14" i="3"/>
  <c r="G14" i="3"/>
  <c r="F14" i="3"/>
  <c r="F15" i="3" s="1"/>
  <c r="E14" i="3"/>
  <c r="E15" i="3" s="1"/>
  <c r="D14" i="3"/>
  <c r="D15" i="3" s="1"/>
  <c r="C14" i="3"/>
  <c r="C16" i="3" s="1"/>
  <c r="B14" i="3"/>
  <c r="B16" i="3" s="1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J13" i="3" s="1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J10" i="3" s="1"/>
  <c r="I7" i="3"/>
  <c r="H7" i="3"/>
  <c r="I6" i="3"/>
  <c r="H6" i="3"/>
  <c r="C6" i="3"/>
  <c r="B6" i="3"/>
  <c r="I5" i="3"/>
  <c r="J5" i="3" s="1"/>
  <c r="H5" i="3"/>
  <c r="G5" i="3"/>
  <c r="G6" i="3" s="1"/>
  <c r="F5" i="3"/>
  <c r="F6" i="3" s="1"/>
  <c r="E5" i="3"/>
  <c r="E6" i="3" s="1"/>
  <c r="D5" i="3"/>
  <c r="D7" i="3" s="1"/>
  <c r="C5" i="3"/>
  <c r="C7" i="3" s="1"/>
  <c r="B5" i="3"/>
  <c r="B7" i="3" s="1"/>
  <c r="J4" i="3"/>
  <c r="I4" i="3"/>
  <c r="H4" i="3"/>
  <c r="G4" i="3"/>
  <c r="F4" i="3"/>
  <c r="E4" i="3"/>
  <c r="D4" i="3"/>
  <c r="C4" i="3"/>
  <c r="B4" i="3"/>
  <c r="J3" i="3"/>
  <c r="K3" i="3" s="1"/>
  <c r="H202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G202" i="1"/>
  <c r="F202" i="1"/>
  <c r="E202" i="1"/>
  <c r="D202" i="1"/>
  <c r="C202" i="1"/>
  <c r="B200" i="1"/>
  <c r="B199" i="1"/>
  <c r="B198" i="1"/>
  <c r="E197" i="1"/>
  <c r="D197" i="1"/>
  <c r="C197" i="1"/>
  <c r="B197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93" i="1"/>
  <c r="F193" i="1"/>
  <c r="E193" i="1"/>
  <c r="D193" i="1"/>
  <c r="C193" i="1"/>
  <c r="B193" i="1"/>
  <c r="G192" i="1"/>
  <c r="F192" i="1"/>
  <c r="E192" i="1"/>
  <c r="D192" i="1"/>
  <c r="C192" i="1"/>
  <c r="B192" i="1"/>
  <c r="E191" i="1"/>
  <c r="D191" i="1"/>
  <c r="B191" i="1"/>
  <c r="G190" i="1"/>
  <c r="F190" i="1"/>
  <c r="E190" i="1"/>
  <c r="D190" i="1"/>
  <c r="C190" i="1"/>
  <c r="B190" i="1"/>
  <c r="G189" i="1"/>
  <c r="F189" i="1"/>
  <c r="E189" i="1"/>
  <c r="D189" i="1"/>
  <c r="C189" i="1"/>
  <c r="B189" i="1"/>
  <c r="G188" i="1"/>
  <c r="F188" i="1"/>
  <c r="E188" i="1"/>
  <c r="D188" i="1"/>
  <c r="C188" i="1"/>
  <c r="B188" i="1"/>
  <c r="G186" i="1"/>
  <c r="F186" i="1"/>
  <c r="E186" i="1"/>
  <c r="D186" i="1"/>
  <c r="C186" i="1"/>
  <c r="B186" i="1"/>
  <c r="G185" i="1"/>
  <c r="F185" i="1"/>
  <c r="E185" i="1"/>
  <c r="D185" i="1"/>
  <c r="C185" i="1"/>
  <c r="B185" i="1"/>
  <c r="G184" i="1"/>
  <c r="F184" i="1"/>
  <c r="E184" i="1"/>
  <c r="D184" i="1"/>
  <c r="C184" i="1"/>
  <c r="B184" i="1"/>
  <c r="E183" i="1"/>
  <c r="D183" i="1"/>
  <c r="C183" i="1"/>
  <c r="B183" i="1"/>
  <c r="G182" i="1"/>
  <c r="F182" i="1"/>
  <c r="E182" i="1"/>
  <c r="D182" i="1"/>
  <c r="C182" i="1"/>
  <c r="B182" i="1"/>
  <c r="G181" i="1"/>
  <c r="F181" i="1"/>
  <c r="E181" i="1"/>
  <c r="D181" i="1"/>
  <c r="C181" i="1"/>
  <c r="B181" i="1"/>
  <c r="G180" i="1"/>
  <c r="F180" i="1"/>
  <c r="E180" i="1"/>
  <c r="D180" i="1"/>
  <c r="C180" i="1"/>
  <c r="B180" i="1"/>
  <c r="G179" i="1"/>
  <c r="F179" i="1"/>
  <c r="G174" i="1"/>
  <c r="F174" i="1"/>
  <c r="E174" i="1"/>
  <c r="D174" i="1"/>
  <c r="C174" i="1"/>
  <c r="B174" i="1"/>
  <c r="G173" i="1"/>
  <c r="F173" i="1"/>
  <c r="E173" i="1"/>
  <c r="D173" i="1"/>
  <c r="C173" i="1"/>
  <c r="B173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G172" i="1" s="1"/>
  <c r="G175" i="1" s="1"/>
  <c r="F167" i="1"/>
  <c r="F172" i="1" s="1"/>
  <c r="F175" i="1" s="1"/>
  <c r="E167" i="1"/>
  <c r="E172" i="1" s="1"/>
  <c r="E175" i="1" s="1"/>
  <c r="D167" i="1"/>
  <c r="D172" i="1" s="1"/>
  <c r="D175" i="1" s="1"/>
  <c r="C167" i="1"/>
  <c r="C172" i="1" s="1"/>
  <c r="C175" i="1" s="1"/>
  <c r="B167" i="1"/>
  <c r="B172" i="1" s="1"/>
  <c r="B175" i="1" s="1"/>
  <c r="G163" i="1"/>
  <c r="F163" i="1"/>
  <c r="E163" i="1"/>
  <c r="D163" i="1"/>
  <c r="C163" i="1"/>
  <c r="B163" i="1"/>
  <c r="G162" i="1"/>
  <c r="F162" i="1"/>
  <c r="E162" i="1"/>
  <c r="D162" i="1"/>
  <c r="C162" i="1"/>
  <c r="B162" i="1"/>
  <c r="D161" i="1"/>
  <c r="D164" i="1" s="1"/>
  <c r="G160" i="1"/>
  <c r="F160" i="1"/>
  <c r="E160" i="1"/>
  <c r="D160" i="1"/>
  <c r="C160" i="1"/>
  <c r="B160" i="1"/>
  <c r="G159" i="1"/>
  <c r="F159" i="1"/>
  <c r="F161" i="1" s="1"/>
  <c r="F164" i="1" s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G156" i="1"/>
  <c r="G161" i="1" s="1"/>
  <c r="G164" i="1" s="1"/>
  <c r="F156" i="1"/>
  <c r="E156" i="1"/>
  <c r="E161" i="1" s="1"/>
  <c r="E164" i="1" s="1"/>
  <c r="D156" i="1"/>
  <c r="C156" i="1"/>
  <c r="C161" i="1" s="1"/>
  <c r="C164" i="1" s="1"/>
  <c r="B156" i="1"/>
  <c r="B161" i="1" s="1"/>
  <c r="B164" i="1" s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G150" i="1" s="1"/>
  <c r="G153" i="1" s="1"/>
  <c r="G154" i="1" s="1"/>
  <c r="F145" i="1"/>
  <c r="F150" i="1" s="1"/>
  <c r="F153" i="1" s="1"/>
  <c r="F154" i="1" s="1"/>
  <c r="E145" i="1"/>
  <c r="E150" i="1" s="1"/>
  <c r="E153" i="1" s="1"/>
  <c r="E154" i="1" s="1"/>
  <c r="D145" i="1"/>
  <c r="D150" i="1" s="1"/>
  <c r="D153" i="1" s="1"/>
  <c r="D154" i="1" s="1"/>
  <c r="C145" i="1"/>
  <c r="C150" i="1" s="1"/>
  <c r="C153" i="1" s="1"/>
  <c r="C154" i="1" s="1"/>
  <c r="B145" i="1"/>
  <c r="B150" i="1" s="1"/>
  <c r="B153" i="1" s="1"/>
  <c r="B154" i="1" s="1"/>
  <c r="G142" i="1"/>
  <c r="F142" i="1"/>
  <c r="G139" i="1"/>
  <c r="F139" i="1"/>
  <c r="E139" i="1"/>
  <c r="E142" i="1" s="1"/>
  <c r="D139" i="1"/>
  <c r="D142" i="1" s="1"/>
  <c r="C139" i="1"/>
  <c r="C142" i="1" s="1"/>
  <c r="B139" i="1"/>
  <c r="B142" i="1" s="1"/>
  <c r="G129" i="1"/>
  <c r="F129" i="1"/>
  <c r="G128" i="1"/>
  <c r="F128" i="1"/>
  <c r="G127" i="1"/>
  <c r="F127" i="1"/>
  <c r="G126" i="1"/>
  <c r="G125" i="1" s="1"/>
  <c r="F126" i="1"/>
  <c r="F125" i="1" s="1"/>
  <c r="F197" i="1" s="1"/>
  <c r="G119" i="1"/>
  <c r="G191" i="1" s="1"/>
  <c r="F119" i="1"/>
  <c r="F191" i="1" s="1"/>
  <c r="E119" i="1"/>
  <c r="D119" i="1"/>
  <c r="C119" i="1"/>
  <c r="C191" i="1" s="1"/>
  <c r="B119" i="1"/>
  <c r="G115" i="1"/>
  <c r="G187" i="1" s="1"/>
  <c r="F115" i="1"/>
  <c r="F187" i="1" s="1"/>
  <c r="E115" i="1"/>
  <c r="E187" i="1" s="1"/>
  <c r="D115" i="1"/>
  <c r="D187" i="1" s="1"/>
  <c r="C115" i="1"/>
  <c r="C124" i="1" s="1"/>
  <c r="B115" i="1"/>
  <c r="B124" i="1" s="1"/>
  <c r="G111" i="1"/>
  <c r="G183" i="1" s="1"/>
  <c r="F111" i="1"/>
  <c r="F183" i="1" s="1"/>
  <c r="E111" i="1"/>
  <c r="D111" i="1"/>
  <c r="C111" i="1"/>
  <c r="B111" i="1"/>
  <c r="G107" i="1"/>
  <c r="G124" i="1" s="1"/>
  <c r="F107" i="1"/>
  <c r="F124" i="1" s="1"/>
  <c r="E107" i="1"/>
  <c r="E124" i="1" s="1"/>
  <c r="D107" i="1"/>
  <c r="D124" i="1" s="1"/>
  <c r="C107" i="1"/>
  <c r="C179" i="1" s="1"/>
  <c r="B107" i="1"/>
  <c r="B179" i="1" s="1"/>
  <c r="G97" i="1"/>
  <c r="F97" i="1"/>
  <c r="E97" i="1"/>
  <c r="D97" i="1"/>
  <c r="C97" i="1"/>
  <c r="B97" i="1"/>
  <c r="E95" i="1"/>
  <c r="D95" i="1"/>
  <c r="D91" i="1"/>
  <c r="D90" i="1"/>
  <c r="C90" i="1"/>
  <c r="C95" i="1" s="1"/>
  <c r="F89" i="1"/>
  <c r="G88" i="1"/>
  <c r="G95" i="1" s="1"/>
  <c r="F88" i="1"/>
  <c r="F95" i="1" s="1"/>
  <c r="G87" i="1"/>
  <c r="F87" i="1"/>
  <c r="E87" i="1"/>
  <c r="B87" i="1"/>
  <c r="B95" i="1" s="1"/>
  <c r="G85" i="1"/>
  <c r="F85" i="1"/>
  <c r="E85" i="1"/>
  <c r="D85" i="1"/>
  <c r="C85" i="1"/>
  <c r="B85" i="1"/>
  <c r="G75" i="1"/>
  <c r="G76" i="1" s="1"/>
  <c r="F75" i="1"/>
  <c r="F76" i="1" s="1"/>
  <c r="E75" i="1"/>
  <c r="E76" i="1" s="1"/>
  <c r="D75" i="1"/>
  <c r="D76" i="1" s="1"/>
  <c r="C75" i="1"/>
  <c r="C76" i="1" s="1"/>
  <c r="B75" i="1"/>
  <c r="B76" i="1" s="1"/>
  <c r="G59" i="1"/>
  <c r="G60" i="1" s="1"/>
  <c r="F59" i="1"/>
  <c r="F60" i="1" s="1"/>
  <c r="G58" i="1"/>
  <c r="F58" i="1"/>
  <c r="E58" i="1"/>
  <c r="E59" i="1" s="1"/>
  <c r="E60" i="1" s="1"/>
  <c r="D58" i="1"/>
  <c r="D59" i="1" s="1"/>
  <c r="D60" i="1" s="1"/>
  <c r="C58" i="1"/>
  <c r="C59" i="1" s="1"/>
  <c r="B58" i="1"/>
  <c r="B59" i="1" s="1"/>
  <c r="G45" i="1"/>
  <c r="F45" i="1"/>
  <c r="E45" i="1"/>
  <c r="D45" i="1"/>
  <c r="C45" i="1"/>
  <c r="B45" i="1"/>
  <c r="G36" i="1"/>
  <c r="F36" i="1"/>
  <c r="E36" i="1"/>
  <c r="D36" i="1"/>
  <c r="G30" i="1"/>
  <c r="F30" i="1"/>
  <c r="E30" i="1"/>
  <c r="D30" i="1"/>
  <c r="C30" i="1"/>
  <c r="C36" i="1" s="1"/>
  <c r="B30" i="1"/>
  <c r="B36" i="1" s="1"/>
  <c r="G20" i="1"/>
  <c r="F20" i="1"/>
  <c r="E20" i="1"/>
  <c r="D20" i="1"/>
  <c r="C20" i="1"/>
  <c r="B20" i="1"/>
  <c r="G7" i="1"/>
  <c r="G10" i="1" s="1"/>
  <c r="G12" i="1" s="1"/>
  <c r="F7" i="1"/>
  <c r="F10" i="1" s="1"/>
  <c r="F12" i="1" s="1"/>
  <c r="E7" i="1"/>
  <c r="D7" i="1"/>
  <c r="C7" i="1"/>
  <c r="B7" i="1"/>
  <c r="G4" i="1"/>
  <c r="F4" i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55" i="4" l="1"/>
  <c r="H66" i="4" s="1"/>
  <c r="H53" i="4"/>
  <c r="F53" i="4"/>
  <c r="G55" i="4"/>
  <c r="G66" i="4" s="1"/>
  <c r="G53" i="4"/>
  <c r="B11" i="4"/>
  <c r="C11" i="4"/>
  <c r="C13" i="4" s="1"/>
  <c r="B13" i="4"/>
  <c r="C24" i="4"/>
  <c r="G46" i="4"/>
  <c r="D24" i="4"/>
  <c r="D30" i="4"/>
  <c r="C53" i="4"/>
  <c r="E11" i="4"/>
  <c r="E13" i="4" s="1"/>
  <c r="I13" i="4"/>
  <c r="D46" i="4"/>
  <c r="F11" i="4"/>
  <c r="F13" i="4" s="1"/>
  <c r="J19" i="3"/>
  <c r="J18" i="3"/>
  <c r="K17" i="3"/>
  <c r="J7" i="3"/>
  <c r="J6" i="3"/>
  <c r="K5" i="3"/>
  <c r="L3" i="3"/>
  <c r="K4" i="3"/>
  <c r="E7" i="3"/>
  <c r="D16" i="3"/>
  <c r="E19" i="3"/>
  <c r="F7" i="3"/>
  <c r="K8" i="3"/>
  <c r="K14" i="3"/>
  <c r="E16" i="3"/>
  <c r="F19" i="3"/>
  <c r="G7" i="3"/>
  <c r="K11" i="3"/>
  <c r="F16" i="3"/>
  <c r="G19" i="3"/>
  <c r="D18" i="3"/>
  <c r="D6" i="3"/>
  <c r="C15" i="3"/>
  <c r="G143" i="1"/>
  <c r="D131" i="1"/>
  <c r="D132" i="1" s="1"/>
  <c r="D196" i="1"/>
  <c r="B143" i="1"/>
  <c r="C60" i="1"/>
  <c r="E196" i="1"/>
  <c r="E131" i="1"/>
  <c r="E132" i="1" s="1"/>
  <c r="C196" i="1"/>
  <c r="C131" i="1"/>
  <c r="C132" i="1" s="1"/>
  <c r="C143" i="1"/>
  <c r="B196" i="1"/>
  <c r="B131" i="1"/>
  <c r="B132" i="1" s="1"/>
  <c r="F131" i="1"/>
  <c r="F132" i="1" s="1"/>
  <c r="F196" i="1"/>
  <c r="D143" i="1"/>
  <c r="F143" i="1"/>
  <c r="B60" i="1"/>
  <c r="G196" i="1"/>
  <c r="G131" i="1"/>
  <c r="G132" i="1" s="1"/>
  <c r="G197" i="1"/>
  <c r="E143" i="1"/>
  <c r="D179" i="1"/>
  <c r="E179" i="1"/>
  <c r="B187" i="1"/>
  <c r="C187" i="1"/>
  <c r="K12" i="3" l="1"/>
  <c r="K13" i="3"/>
  <c r="L11" i="3"/>
  <c r="L4" i="3"/>
  <c r="M3" i="3"/>
  <c r="K15" i="3"/>
  <c r="K16" i="3"/>
  <c r="L14" i="3"/>
  <c r="K6" i="3"/>
  <c r="K7" i="3"/>
  <c r="L5" i="3"/>
  <c r="K9" i="3"/>
  <c r="K10" i="3"/>
  <c r="L8" i="3"/>
  <c r="K18" i="3"/>
  <c r="K19" i="3"/>
  <c r="L17" i="3"/>
  <c r="L18" i="3" l="1"/>
  <c r="L19" i="3"/>
  <c r="M17" i="3"/>
  <c r="M14" i="3"/>
  <c r="L16" i="3"/>
  <c r="L15" i="3"/>
  <c r="L9" i="3"/>
  <c r="L10" i="3"/>
  <c r="M8" i="3"/>
  <c r="M4" i="3"/>
  <c r="N3" i="3"/>
  <c r="N4" i="3" s="1"/>
  <c r="L13" i="3"/>
  <c r="L12" i="3"/>
  <c r="M11" i="3"/>
  <c r="L6" i="3"/>
  <c r="L7" i="3"/>
  <c r="M5" i="3"/>
  <c r="M7" i="3" l="1"/>
  <c r="M6" i="3"/>
  <c r="N5" i="3"/>
  <c r="M10" i="3"/>
  <c r="M9" i="3"/>
  <c r="N8" i="3"/>
  <c r="M19" i="3"/>
  <c r="M18" i="3"/>
  <c r="N17" i="3"/>
  <c r="N11" i="3"/>
  <c r="M12" i="3"/>
  <c r="M13" i="3"/>
  <c r="M16" i="3"/>
  <c r="N14" i="3"/>
  <c r="M15" i="3"/>
  <c r="N19" i="3" l="1"/>
  <c r="N18" i="3"/>
  <c r="N12" i="3"/>
  <c r="N13" i="3"/>
  <c r="N9" i="3"/>
  <c r="N10" i="3"/>
  <c r="N15" i="3"/>
  <c r="N16" i="3"/>
  <c r="N7" i="3"/>
  <c r="N6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I161" i="1"/>
  <c r="I163" i="1" s="1"/>
  <c r="I164" i="1" s="1"/>
  <c r="I165" i="1" s="1"/>
  <c r="H161" i="1"/>
  <c r="H163" i="1" s="1"/>
  <c r="H164" i="1" s="1"/>
  <c r="H165" i="1" s="1"/>
  <c r="H125" i="1"/>
  <c r="I125" i="1"/>
  <c r="H154" i="1"/>
  <c r="I150" i="1"/>
  <c r="I153" i="1" s="1"/>
  <c r="I154" i="1" s="1"/>
  <c r="H150" i="1"/>
  <c r="H153" i="1" s="1"/>
  <c r="I36" i="3" l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I119" i="1"/>
  <c r="H119" i="1"/>
  <c r="I115" i="1"/>
  <c r="H115" i="1"/>
  <c r="I111" i="1"/>
  <c r="H111" i="1"/>
  <c r="H107" i="1"/>
  <c r="H21" i="3" s="1"/>
  <c r="G21" i="3"/>
  <c r="F21" i="3"/>
  <c r="E21" i="3"/>
  <c r="E37" i="3" s="1"/>
  <c r="D21" i="3"/>
  <c r="C21" i="3"/>
  <c r="C37" i="3" s="1"/>
  <c r="B21" i="3"/>
  <c r="I107" i="1"/>
  <c r="I21" i="3" s="1"/>
  <c r="I50" i="3" s="1"/>
  <c r="J50" i="3" s="1"/>
  <c r="J48" i="3" s="1"/>
  <c r="J38" i="3" s="1"/>
  <c r="I139" i="1"/>
  <c r="I142" i="1" s="1"/>
  <c r="H139" i="1"/>
  <c r="H142" i="1" s="1"/>
  <c r="D47" i="3" l="1"/>
  <c r="D40" i="3"/>
  <c r="D22" i="3"/>
  <c r="D50" i="3"/>
  <c r="D44" i="3"/>
  <c r="N41" i="3"/>
  <c r="F50" i="3"/>
  <c r="F44" i="3"/>
  <c r="F22" i="3"/>
  <c r="F40" i="3"/>
  <c r="F47" i="3"/>
  <c r="D37" i="3"/>
  <c r="H50" i="3"/>
  <c r="H44" i="3"/>
  <c r="H47" i="3"/>
  <c r="H40" i="3"/>
  <c r="H22" i="3"/>
  <c r="E50" i="3"/>
  <c r="E40" i="3"/>
  <c r="E44" i="3"/>
  <c r="E47" i="3"/>
  <c r="E22" i="3"/>
  <c r="G44" i="3"/>
  <c r="G47" i="3"/>
  <c r="G50" i="3"/>
  <c r="G22" i="3"/>
  <c r="G40" i="3"/>
  <c r="F37" i="3"/>
  <c r="G37" i="3"/>
  <c r="J49" i="3"/>
  <c r="K50" i="3"/>
  <c r="B22" i="3"/>
  <c r="B40" i="3"/>
  <c r="B44" i="3"/>
  <c r="B50" i="3"/>
  <c r="B47" i="3"/>
  <c r="C50" i="3"/>
  <c r="C40" i="3"/>
  <c r="C44" i="3"/>
  <c r="C47" i="3"/>
  <c r="C22" i="3"/>
  <c r="B37" i="3"/>
  <c r="H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I124" i="1"/>
  <c r="N31" i="3" l="1"/>
  <c r="L50" i="3"/>
  <c r="K49" i="3"/>
  <c r="K48" i="3"/>
  <c r="K38" i="3" s="1"/>
  <c r="K47" i="3"/>
  <c r="J45" i="3"/>
  <c r="J46" i="3" s="1"/>
  <c r="K37" i="3"/>
  <c r="J35" i="3"/>
  <c r="L22" i="3"/>
  <c r="N27" i="3"/>
  <c r="N21" i="3" s="1"/>
  <c r="M21" i="3"/>
  <c r="I131" i="1"/>
  <c r="H92" i="1"/>
  <c r="I92" i="1"/>
  <c r="H83" i="1"/>
  <c r="I83" i="1"/>
  <c r="H58" i="1"/>
  <c r="I58" i="1"/>
  <c r="H45" i="1"/>
  <c r="I45" i="1"/>
  <c r="H30" i="1"/>
  <c r="H36" i="1" s="1"/>
  <c r="I30" i="1"/>
  <c r="I36" i="1" s="1"/>
  <c r="H7" i="1"/>
  <c r="I7" i="1"/>
  <c r="H4" i="1"/>
  <c r="I4" i="1"/>
  <c r="I10" i="1" s="1"/>
  <c r="L49" i="3" l="1"/>
  <c r="M50" i="3"/>
  <c r="L47" i="3"/>
  <c r="K45" i="3"/>
  <c r="K46" i="3" s="1"/>
  <c r="H59" i="1"/>
  <c r="H60" i="1" s="1"/>
  <c r="H10" i="1"/>
  <c r="L48" i="3"/>
  <c r="L38" i="3" s="1"/>
  <c r="K42" i="3"/>
  <c r="M48" i="3"/>
  <c r="M38" i="3" s="1"/>
  <c r="J36" i="3"/>
  <c r="J42" i="3"/>
  <c r="L37" i="3"/>
  <c r="K35" i="3"/>
  <c r="K36" i="3" s="1"/>
  <c r="M22" i="3"/>
  <c r="N22" i="3"/>
  <c r="H12" i="1"/>
  <c r="H20" i="1" s="1"/>
  <c r="H143" i="1"/>
  <c r="I12" i="1"/>
  <c r="I20" i="1" s="1"/>
  <c r="I143" i="1"/>
  <c r="H64" i="1"/>
  <c r="H76" i="1" s="1"/>
  <c r="H94" i="1" s="1"/>
  <c r="H96" i="1" s="1"/>
  <c r="I59" i="1"/>
  <c r="I60" i="1" s="1"/>
  <c r="J43" i="3" l="1"/>
  <c r="J44" i="3"/>
  <c r="M47" i="3"/>
  <c r="L45" i="3"/>
  <c r="L46" i="3" s="1"/>
  <c r="K43" i="3"/>
  <c r="K44" i="3"/>
  <c r="M49" i="3"/>
  <c r="N50" i="3"/>
  <c r="M37" i="3"/>
  <c r="L35" i="3"/>
  <c r="L36" i="3" s="1"/>
  <c r="I64" i="1"/>
  <c r="I76" i="1" s="1"/>
  <c r="I94" i="1" s="1"/>
  <c r="I95" i="1"/>
  <c r="I96" i="1" s="1"/>
  <c r="I97" i="1" s="1"/>
  <c r="H97" i="1"/>
  <c r="N47" i="3" l="1"/>
  <c r="M45" i="3"/>
  <c r="M46" i="3" s="1"/>
  <c r="L42" i="3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L44" i="3"/>
  <c r="L43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<sst xmlns="http://schemas.openxmlformats.org/spreadsheetml/2006/main" count="360" uniqueCount="212">
  <si>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</si>
  <si>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</si>
  <si>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</si>
  <si>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</si>
  <si>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</si>
  <si>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</si>
  <si>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</si>
  <si>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</si>
  <si>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</si>
  <si>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</si>
  <si>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</si>
  <si>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</si>
  <si>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</si>
  <si>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</si>
  <si>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</si>
  <si>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</si>
  <si>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</si>
  <si>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</si>
  <si>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</si>
  <si>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</si>
  <si>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</si>
  <si>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</si>
  <si>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</si>
  <si>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</si>
  <si>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</si>
  <si>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</si>
  <si>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</si>
  <si>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</si>
  <si>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</si>
  <si>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</si>
  <si>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</si>
  <si>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</si>
  <si>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</si>
  <si>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</si>
  <si>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</si>
  <si>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</si>
  <si>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</si>
  <si>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</si>
  <si>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</si>
  <si>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</si>
  <si>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</si>
  <si>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</si>
  <si>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</si>
  <si>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</si>
  <si>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</si>
  <si>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</si>
  <si>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</si>
  <si>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</si>
  <si>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</si>
  <si>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</si>
  <si>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</si>
  <si>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</si>
  <si>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</si>
  <si>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</si>
  <si>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</si>
  <si>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</si>
  <si>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</si>
  <si>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</si>
  <si>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</si>
  <si>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</si>
  <si>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</si>
  <si>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</si>
  <si>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</si>
  <si>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</si>
  <si>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</si>
  <si>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</si>
  <si>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</si>
  <si>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</si>
  <si>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</si>
  <si>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</si>
  <si>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</si>
  <si>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</si>
  <si>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</si>
  <si>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</si>
  <si>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</si>
  <si>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</si>
  <si>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</si>
  <si>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</si>
  <si>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</si>
  <si>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</si>
  <si>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</si>
  <si>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</si>
  <si>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</si>
  <si>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</si>
  <si>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</si>
  <si>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</si>
  <si>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</si>
  <si>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</si>
  <si>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</si>
  <si>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</si>
  <si>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</si>
  <si>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</si>
  <si>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</si>
  <si>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</si>
  <si>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</si>
  <si>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</si>
  <si>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</si>
  <si>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</si>
  <si>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</si>
  <si>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</si>
  <si>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</si>
  <si>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</si>
  <si>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</si>
  <si>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</si>
  <si>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</si>
  <si>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</si>
  <si>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</si>
  <si>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</si>
  <si>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</si>
  <si>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</si>
  <si>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</si>
  <si>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</si>
  <si>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</si>
  <si>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</si>
  <si>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</si>
  <si>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</si>
  <si>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</si>
  <si>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</si>
  <si>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</si>
  <si>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</si>
  <si>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</si>
  <si>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</si>
  <si>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</si>
  <si>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</si>
  <si>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</si>
  <si>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</si>
  <si>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</si>
  <si>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</si>
  <si>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</si>
  <si>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</si>
  <si>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</si>
  <si>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</si>
  <si>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</si>
  <si>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</si>
  <si>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</si>
  <si>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</si>
  <si>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</si>
  <si>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</si>
  <si>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</si>
  <si>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</si>
  <si>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</si>
  <si>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</si>
  <si>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</si>
  <si>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</si>
  <si>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</si>
  <si>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</si>
  <si>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</si>
  <si>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</si>
  <si>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</si>
  <si>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</si>
  <si>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</si>
  <si>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</si>
  <si>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</si>
  <si>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</si>
  <si>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</si>
  <si>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</si>
  <si>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</si>
  <si>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</si>
  <si>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</si>
  <si>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</si>
  <si>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</si>
  <si>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</si>
  <si>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</si>
  <si>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</si>
  <si>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</si>
  <si>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</si>
  <si>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</si>
  <si>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</si>
  <si>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</si>
  <si>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</si>
  <si>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</si>
  <si>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</si>
  <si>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</si>
  <si>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</si>
  <si>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</si>
  <si>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</si>
  <si>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</si>
  <si>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</si>
  <si>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</si>
  <si>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</si>
  <si>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</si>
  <si>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</si>
  <si>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</si>
  <si>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</si>
  <si>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</si>
  <si>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</si>
  <si>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</si>
  <si>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</si>
  <si>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</si>
  <si>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</si>
  <si>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</si>
  <si>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</si>
  <si>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</si>
  <si>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</si>
  <si>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</si>
  <si>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</si>
  <si>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</si>
  <si>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</si>
  <si>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</si>
  <si>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</si>
  <si>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</si>
  <si>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</si>
  <si>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</si>
  <si>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</si>
  <si>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</si>
  <si>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</si>
  <si>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</si>
  <si>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</si>
  <si>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</si>
  <si>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—</t>
  </si>
  <si>
    <t>32B64:G10373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</si>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</sst>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"/>
    <numFmt numFmtId="168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43" fontId="5" fillId="0" borderId="0" xfId="1" applyFont="1" applyBorder="1"/>
    <xf numFmtId="4" fontId="0" fillId="0" borderId="0" xfId="0" applyNumberFormat="1"/>
    <xf numFmtId="0" fontId="17" fillId="0" borderId="0" xfId="0" applyFont="1"/>
    <xf numFmtId="165" fontId="0" fillId="9" borderId="0" xfId="1" applyNumberFormat="1" applyFont="1" applyFill="1"/>
    <xf numFmtId="166" fontId="18" fillId="10" borderId="0" xfId="2" applyNumberFormat="1" applyFont="1" applyFill="1"/>
    <xf numFmtId="166" fontId="12" fillId="10" borderId="0" xfId="2" applyNumberFormat="1" applyFont="1" applyFill="1"/>
    <xf numFmtId="166" fontId="19" fillId="10" borderId="0" xfId="2" applyNumberFormat="1" applyFont="1" applyFill="1"/>
    <xf numFmtId="166" fontId="11" fillId="10" borderId="0" xfId="2" applyNumberFormat="1" applyFont="1" applyFill="1"/>
    <xf numFmtId="166" fontId="20" fillId="10" borderId="0" xfId="2" applyNumberFormat="1" applyFont="1" applyFill="1"/>
    <xf numFmtId="166" fontId="0" fillId="0" borderId="0" xfId="2" applyNumberFormat="1" applyFont="1"/>
    <xf numFmtId="10" fontId="0" fillId="0" borderId="0" xfId="2" applyNumberFormat="1" applyFont="1"/>
    <xf numFmtId="1" fontId="0" fillId="0" borderId="0" xfId="0" applyNumberFormat="1"/>
    <xf numFmtId="9" fontId="0" fillId="0" borderId="0" xfId="2" applyFont="1"/>
    <xf numFmtId="43" fontId="0" fillId="0" borderId="0" xfId="0" applyNumberFormat="1"/>
    <xf numFmtId="167" fontId="0" fillId="0" borderId="0" xfId="0" applyNumberFormat="1"/>
    <xf numFmtId="168" fontId="0" fillId="0" borderId="0" xfId="1" applyNumberFormat="1" applyFont="1"/>
    <xf numFmtId="3" fontId="0" fillId="0" borderId="0" xfId="1" applyNumberFormat="1" applyFont="1"/>
    <xf numFmtId="43" fontId="21" fillId="0" borderId="0" xfId="1" applyFont="1" applyBorder="1"/>
    <xf numFmtId="165" fontId="0" fillId="0" borderId="0" xfId="2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trosleras/Desktop/QCP/Task%208/1708510120_Task%208%20-%20Building%20the%20Revenue%20Model.xlsx" TargetMode="External"/><Relationship Id="rId1" Type="http://schemas.openxmlformats.org/officeDocument/2006/relationships/externalLinkPath" Target="/Users/petrosleras/Desktop/QCP/Task%208/1708510120_Task%208%20-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trosleras/Desktop/QCP/Task9/1710155371_Task%209%20-%20Building%20Operational%20Forecast%20Model.xlsx" TargetMode="External"/><Relationship Id="rId1" Type="http://schemas.openxmlformats.org/officeDocument/2006/relationships/externalLinkPath" Target="/Users/petrosleras/Desktop/QCP/Task9/1710155371_Task%209%20-%20Building%20Operational%20Forecast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trosleras/Desktop/QCP/task10/1730913522_Task%2010%20-%20Linking%20Balance%20sheet.xlsx" TargetMode="External"/><Relationship Id="rId1" Type="http://schemas.openxmlformats.org/officeDocument/2006/relationships/externalLinkPath" Target="/Users/petrosleras/Desktop/QCP/task10/1730913522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66">
          <cell r="B66">
            <v>-113</v>
          </cell>
          <cell r="C66">
            <v>-80</v>
          </cell>
          <cell r="D66">
            <v>-273</v>
          </cell>
          <cell r="E66">
            <v>647</v>
          </cell>
          <cell r="F66">
            <v>34</v>
          </cell>
          <cell r="G66">
            <v>-380</v>
          </cell>
          <cell r="H66">
            <v>744</v>
          </cell>
          <cell r="I66">
            <v>717</v>
          </cell>
        </row>
        <row r="125">
          <cell r="K125">
            <v>26112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4">
          <cell r="B14">
            <v>1.9</v>
          </cell>
          <cell r="C14">
            <v>2.21</v>
          </cell>
          <cell r="D14">
            <v>2.56</v>
          </cell>
          <cell r="E14">
            <v>1.19</v>
          </cell>
          <cell r="F14">
            <v>2.5499999999999998</v>
          </cell>
          <cell r="G14">
            <v>1.63</v>
          </cell>
          <cell r="H14">
            <v>3.64</v>
          </cell>
          <cell r="I14">
            <v>3.83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1768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30">
          <cell r="B30">
            <v>15587</v>
          </cell>
          <cell r="C30">
            <v>15025</v>
          </cell>
          <cell r="D30">
            <v>16061</v>
          </cell>
          <cell r="E30">
            <v>15134</v>
          </cell>
          <cell r="F30">
            <v>16525</v>
          </cell>
          <cell r="G30">
            <v>20556</v>
          </cell>
          <cell r="H30">
            <v>26291</v>
          </cell>
          <cell r="I30">
            <v>28213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F32" t="str">
            <v>—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6">
          <cell r="B36">
            <v>21597</v>
          </cell>
          <cell r="C36">
            <v>21396</v>
          </cell>
          <cell r="D36">
            <v>23259</v>
          </cell>
          <cell r="E36">
            <v>22536</v>
          </cell>
          <cell r="F36">
            <v>23717</v>
          </cell>
          <cell r="G36">
            <v>31342</v>
          </cell>
          <cell r="H36">
            <v>37740</v>
          </cell>
          <cell r="I36">
            <v>40321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2">
          <cell r="F42" t="str">
            <v>—</v>
          </cell>
          <cell r="G42">
            <v>445</v>
          </cell>
          <cell r="H42">
            <v>467</v>
          </cell>
          <cell r="I42">
            <v>420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58">
          <cell r="B58">
            <v>12707</v>
          </cell>
          <cell r="C58">
            <v>12258</v>
          </cell>
          <cell r="D58">
            <v>12407</v>
          </cell>
          <cell r="E58">
            <v>9812</v>
          </cell>
          <cell r="F58">
            <v>9040</v>
          </cell>
          <cell r="G58">
            <v>8055</v>
          </cell>
          <cell r="H58">
            <v>12767</v>
          </cell>
          <cell r="I58">
            <v>15281</v>
          </cell>
        </row>
        <row r="59">
          <cell r="B59">
            <v>21597</v>
          </cell>
          <cell r="C59">
            <v>21396</v>
          </cell>
          <cell r="D59">
            <v>23259</v>
          </cell>
          <cell r="E59">
            <v>22536</v>
          </cell>
          <cell r="F59">
            <v>23717</v>
          </cell>
          <cell r="G59">
            <v>31342</v>
          </cell>
          <cell r="H59">
            <v>37740</v>
          </cell>
          <cell r="I59">
            <v>40321</v>
          </cell>
        </row>
        <row r="78">
          <cell r="B78">
            <v>-4936</v>
          </cell>
          <cell r="C78">
            <v>-5367</v>
          </cell>
          <cell r="D78">
            <v>-5928</v>
          </cell>
          <cell r="E78">
            <v>-4783</v>
          </cell>
          <cell r="F78">
            <v>-2937</v>
          </cell>
          <cell r="G78">
            <v>-2426</v>
          </cell>
          <cell r="H78">
            <v>-9961</v>
          </cell>
          <cell r="I78">
            <v>-12913</v>
          </cell>
        </row>
        <row r="80">
          <cell r="B80">
            <v>2216</v>
          </cell>
          <cell r="C80">
            <v>2386</v>
          </cell>
          <cell r="D80">
            <v>2423</v>
          </cell>
          <cell r="E80">
            <v>2496</v>
          </cell>
          <cell r="F80">
            <v>2072</v>
          </cell>
          <cell r="G80">
            <v>2379</v>
          </cell>
          <cell r="H80">
            <v>2449</v>
          </cell>
          <cell r="I80">
            <v>3967</v>
          </cell>
        </row>
        <row r="85">
          <cell r="B85">
            <v>-175</v>
          </cell>
          <cell r="C85">
            <v>-1034</v>
          </cell>
          <cell r="D85">
            <v>-1008</v>
          </cell>
          <cell r="E85">
            <v>279</v>
          </cell>
          <cell r="F85">
            <v>-264</v>
          </cell>
          <cell r="G85">
            <v>-1028</v>
          </cell>
          <cell r="H85">
            <v>0</v>
          </cell>
          <cell r="I85">
            <v>0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0</v>
          </cell>
          <cell r="H87">
            <v>-197</v>
          </cell>
          <cell r="I87">
            <v>0</v>
          </cell>
        </row>
        <row r="88">
          <cell r="B88">
            <v>-7</v>
          </cell>
          <cell r="C88">
            <v>-106</v>
          </cell>
          <cell r="D88">
            <v>-44</v>
          </cell>
          <cell r="E88">
            <v>-6</v>
          </cell>
          <cell r="F88">
            <v>0</v>
          </cell>
          <cell r="G88">
            <v>0</v>
          </cell>
          <cell r="H88">
            <v>1172</v>
          </cell>
          <cell r="I88">
            <v>1151</v>
          </cell>
        </row>
        <row r="89">
          <cell r="B89">
            <v>-63</v>
          </cell>
          <cell r="C89">
            <v>-67</v>
          </cell>
          <cell r="D89">
            <v>327</v>
          </cell>
          <cell r="E89">
            <v>13</v>
          </cell>
          <cell r="F89">
            <v>0</v>
          </cell>
          <cell r="G89">
            <v>6134</v>
          </cell>
          <cell r="H89">
            <v>-608</v>
          </cell>
          <cell r="I89">
            <v>-4014</v>
          </cell>
        </row>
        <row r="90">
          <cell r="B90">
            <v>-19</v>
          </cell>
          <cell r="C90">
            <v>0</v>
          </cell>
          <cell r="D90">
            <v>0</v>
          </cell>
          <cell r="E90">
            <v>13</v>
          </cell>
          <cell r="F90">
            <v>-325</v>
          </cell>
          <cell r="G90">
            <v>49</v>
          </cell>
          <cell r="H90">
            <v>-1638</v>
          </cell>
          <cell r="I90">
            <v>-1837</v>
          </cell>
        </row>
        <row r="95">
          <cell r="B95">
            <v>-3008</v>
          </cell>
          <cell r="C95">
            <v>-2945</v>
          </cell>
          <cell r="D95">
            <v>-2591</v>
          </cell>
          <cell r="E95">
            <v>-4828</v>
          </cell>
          <cell r="F95">
            <v>-5293</v>
          </cell>
          <cell r="G95">
            <v>2491</v>
          </cell>
          <cell r="H95">
            <v>8348</v>
          </cell>
          <cell r="I95">
            <v>9889</v>
          </cell>
        </row>
        <row r="96">
          <cell r="B96">
            <v>-83</v>
          </cell>
          <cell r="C96">
            <v>-105</v>
          </cell>
          <cell r="D96">
            <v>-20</v>
          </cell>
          <cell r="E96">
            <v>45</v>
          </cell>
          <cell r="F96">
            <v>-129</v>
          </cell>
          <cell r="G96">
            <v>-66</v>
          </cell>
          <cell r="H96">
            <v>9889</v>
          </cell>
          <cell r="I96">
            <v>8574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4">
          <cell r="B4">
            <v>0.17191329656862742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5423</v>
          </cell>
          <cell r="C5">
            <v>5977</v>
          </cell>
          <cell r="D5">
            <v>5898</v>
          </cell>
          <cell r="E5">
            <v>6272</v>
          </cell>
          <cell r="F5">
            <v>7062</v>
          </cell>
          <cell r="G5">
            <v>5367</v>
          </cell>
          <cell r="H5">
            <v>9385</v>
          </cell>
          <cell r="I5">
            <v>9123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9">
          <cell r="B9">
            <v>3.4129692832764569E-2</v>
          </cell>
          <cell r="C9">
            <v>7.0957095709570872E-2</v>
          </cell>
          <cell r="D9">
            <v>8.7827426810477727E-2</v>
          </cell>
          <cell r="E9">
            <v>5.8073654390934815E-2</v>
          </cell>
          <cell r="F9">
            <v>-5.6224899598393607E-2</v>
          </cell>
          <cell r="G9">
            <v>2.2695035460992941E-2</v>
          </cell>
          <cell r="H9">
            <v>3.1900138696255187E-2</v>
          </cell>
          <cell r="I9">
            <v>-3.6290322580645129E-2</v>
          </cell>
        </row>
        <row r="10">
          <cell r="B10">
            <v>1.9803274402797295E-2</v>
          </cell>
          <cell r="C10">
            <v>2.0045712873733631E-2</v>
          </cell>
          <cell r="D10">
            <v>2.0553129548762736E-2</v>
          </cell>
          <cell r="E10">
            <v>2.0523669533203285E-2</v>
          </cell>
          <cell r="F10">
            <v>1.8022854513382928E-2</v>
          </cell>
          <cell r="G10">
            <v>1.9276528620698875E-2</v>
          </cell>
          <cell r="H10">
            <v>1.6704836319547355E-2</v>
          </cell>
          <cell r="I10">
            <v>1.5350032113037893E-2</v>
          </cell>
        </row>
        <row r="11">
          <cell r="B11">
            <v>4817</v>
          </cell>
          <cell r="C11">
            <v>5328</v>
          </cell>
          <cell r="D11">
            <v>5192</v>
          </cell>
          <cell r="E11">
            <v>5525</v>
          </cell>
          <cell r="F11">
            <v>6357</v>
          </cell>
          <cell r="G11">
            <v>4646</v>
          </cell>
          <cell r="H11">
            <v>8641</v>
          </cell>
          <cell r="I11">
            <v>8406</v>
          </cell>
        </row>
      </sheetData>
      <sheetData sheetId="3">
        <row r="7">
          <cell r="C7">
            <v>5328</v>
          </cell>
          <cell r="D7">
            <v>5192</v>
          </cell>
          <cell r="E7">
            <v>5525</v>
          </cell>
          <cell r="F7">
            <v>6357</v>
          </cell>
          <cell r="G7">
            <v>4646</v>
          </cell>
          <cell r="H7">
            <v>8641</v>
          </cell>
          <cell r="I7">
            <v>8406</v>
          </cell>
        </row>
        <row r="10">
          <cell r="B10">
            <v>28</v>
          </cell>
        </row>
        <row r="12">
          <cell r="B12">
            <v>932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3" activePane="bottomLeft" state="frozen"/>
      <selection pane="bottomLeft" activeCell="H179" sqref="H179:H20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B4:H4" si="2">+H2-H3</f>
        <v>19962</v>
      </c>
      <c r="I4" s="9">
        <f>+I2-I3</f>
        <v>21479</v>
      </c>
    </row>
    <row r="5" spans="1:9" x14ac:dyDescent="0.2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2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2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B10: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B12: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1542</v>
      </c>
      <c r="C17" s="62">
        <v>1697.9</v>
      </c>
      <c r="D17" s="62">
        <v>1657.8</v>
      </c>
      <c r="E17" s="62">
        <v>1623.8</v>
      </c>
      <c r="F17" s="62">
        <v>1579.7</v>
      </c>
      <c r="G17" s="62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1768</v>
      </c>
      <c r="C18" s="62">
        <v>1742.5</v>
      </c>
      <c r="D18" s="62">
        <v>1692</v>
      </c>
      <c r="E18" s="62">
        <v>1659.1</v>
      </c>
      <c r="F18" s="62">
        <v>1618.4</v>
      </c>
      <c r="G18" s="62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63">
        <f>0</f>
        <v>0</v>
      </c>
      <c r="C20" s="63">
        <f>0</f>
        <v>0</v>
      </c>
      <c r="D20" s="63">
        <f>0</f>
        <v>0</v>
      </c>
      <c r="E20" s="63">
        <f>0</f>
        <v>0</v>
      </c>
      <c r="F20" s="63">
        <f>0</f>
        <v>0</v>
      </c>
      <c r="G20" s="63">
        <f>0</f>
        <v>0</v>
      </c>
      <c r="H20" s="13">
        <f t="shared" ref="B20:H20" si="9">+ROUND(((H12/H18)-H15),2)</f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B30: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2">
      <c r="A32" s="2" t="s">
        <v>38</v>
      </c>
      <c r="F32" t="s">
        <v>209</v>
      </c>
      <c r="G32" s="8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2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B36: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9" x14ac:dyDescent="0.2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t="s">
        <v>209</v>
      </c>
      <c r="G42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B45: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8">
        <v>1079</v>
      </c>
      <c r="C46" s="8">
        <v>2010</v>
      </c>
      <c r="D46" t="s">
        <v>209</v>
      </c>
      <c r="E46" t="s">
        <v>209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t="s">
        <v>209</v>
      </c>
      <c r="C47" t="s">
        <v>209</v>
      </c>
      <c r="D47" s="8">
        <v>3471</v>
      </c>
      <c r="E47" s="8">
        <v>3468</v>
      </c>
      <c r="F47" t="s">
        <v>209</v>
      </c>
      <c r="G47" s="8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2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B58: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B59: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B60: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  <c r="B63" s="1" t="s">
        <v>210</v>
      </c>
      <c r="C63" s="8">
        <v>3760</v>
      </c>
      <c r="D63" s="8">
        <v>4240</v>
      </c>
      <c r="E63" s="8">
        <v>1933</v>
      </c>
      <c r="F63" s="8">
        <v>4029</v>
      </c>
      <c r="G63" s="8">
        <v>2539</v>
      </c>
    </row>
    <row r="64" spans="1:9" s="1" customFormat="1" x14ac:dyDescent="0.2">
      <c r="A64" s="10" t="s">
        <v>64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>
        <v>606</v>
      </c>
      <c r="C65">
        <v>649</v>
      </c>
      <c r="D65">
        <v>706</v>
      </c>
      <c r="E65">
        <v>747</v>
      </c>
      <c r="F65">
        <v>705</v>
      </c>
      <c r="G65">
        <v>721</v>
      </c>
      <c r="H65" s="3"/>
      <c r="I65" s="3"/>
    </row>
    <row r="66" spans="1:9" x14ac:dyDescent="0.2">
      <c r="A66" s="11" t="s">
        <v>66</v>
      </c>
      <c r="B66">
        <v>-113</v>
      </c>
      <c r="C66">
        <v>-80</v>
      </c>
      <c r="D66">
        <v>-273</v>
      </c>
      <c r="E66">
        <v>647</v>
      </c>
      <c r="F66">
        <v>34</v>
      </c>
      <c r="G66">
        <v>-380</v>
      </c>
      <c r="H66" s="3">
        <v>744</v>
      </c>
      <c r="I66" s="3">
        <v>717</v>
      </c>
    </row>
    <row r="67" spans="1:9" x14ac:dyDescent="0.2">
      <c r="A67" s="11" t="s">
        <v>67</v>
      </c>
      <c r="B67">
        <v>191</v>
      </c>
      <c r="C67">
        <v>236</v>
      </c>
      <c r="D67">
        <v>215</v>
      </c>
      <c r="E67">
        <v>218</v>
      </c>
      <c r="F67">
        <v>325</v>
      </c>
      <c r="G67">
        <v>429</v>
      </c>
      <c r="H67" s="3">
        <v>-385</v>
      </c>
      <c r="I67" s="3">
        <v>-650</v>
      </c>
    </row>
    <row r="68" spans="1:9" x14ac:dyDescent="0.2">
      <c r="A68" s="11" t="s">
        <v>68</v>
      </c>
      <c r="B68">
        <v>43</v>
      </c>
      <c r="C68">
        <v>13</v>
      </c>
      <c r="D68">
        <v>10</v>
      </c>
      <c r="E68">
        <v>27</v>
      </c>
      <c r="F68">
        <v>15</v>
      </c>
      <c r="G68">
        <v>398</v>
      </c>
      <c r="H68" s="3">
        <v>611</v>
      </c>
      <c r="I68" s="3">
        <v>638</v>
      </c>
    </row>
    <row r="69" spans="1:9" x14ac:dyDescent="0.2">
      <c r="A69" s="11" t="s">
        <v>69</v>
      </c>
      <c r="B69">
        <v>424</v>
      </c>
      <c r="C69">
        <v>98</v>
      </c>
      <c r="D69">
        <v>-117</v>
      </c>
      <c r="E69">
        <v>-99</v>
      </c>
      <c r="F69">
        <v>233</v>
      </c>
      <c r="G69">
        <v>23</v>
      </c>
      <c r="H69" s="3">
        <v>53</v>
      </c>
      <c r="I69" s="3">
        <v>123</v>
      </c>
    </row>
    <row r="70" spans="1:9" x14ac:dyDescent="0.2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">
      <c r="A71" s="2" t="s">
        <v>71</v>
      </c>
      <c r="B71">
        <v>-216</v>
      </c>
      <c r="C71">
        <v>60</v>
      </c>
      <c r="D71">
        <v>-426</v>
      </c>
      <c r="E71">
        <v>187</v>
      </c>
      <c r="F71">
        <v>-270</v>
      </c>
      <c r="G71" s="8">
        <v>1239</v>
      </c>
      <c r="H71" s="3"/>
      <c r="I71" s="3"/>
    </row>
    <row r="72" spans="1:9" x14ac:dyDescent="0.2">
      <c r="A72" s="11" t="s">
        <v>72</v>
      </c>
      <c r="B72">
        <v>-621</v>
      </c>
      <c r="C72">
        <v>-590</v>
      </c>
      <c r="D72">
        <v>-231</v>
      </c>
      <c r="E72">
        <v>-255</v>
      </c>
      <c r="F72">
        <v>-490</v>
      </c>
      <c r="G72" s="8">
        <v>-1854</v>
      </c>
      <c r="H72" s="3">
        <v>-1606</v>
      </c>
      <c r="I72" s="3">
        <v>-504</v>
      </c>
    </row>
    <row r="73" spans="1:9" x14ac:dyDescent="0.2">
      <c r="A73" s="11" t="s">
        <v>73</v>
      </c>
      <c r="B73">
        <v>-144</v>
      </c>
      <c r="C73">
        <v>-161</v>
      </c>
      <c r="D73">
        <v>-120</v>
      </c>
      <c r="E73">
        <v>35</v>
      </c>
      <c r="F73">
        <v>-203</v>
      </c>
      <c r="G73">
        <v>-654</v>
      </c>
      <c r="H73" s="3">
        <v>507</v>
      </c>
      <c r="I73" s="3">
        <v>-1676</v>
      </c>
    </row>
    <row r="74" spans="1:9" x14ac:dyDescent="0.2">
      <c r="A74" s="11" t="s">
        <v>98</v>
      </c>
      <c r="B74" s="8">
        <v>1237</v>
      </c>
      <c r="C74">
        <v>-586</v>
      </c>
      <c r="D74">
        <v>-158</v>
      </c>
      <c r="E74" s="8">
        <v>1515</v>
      </c>
      <c r="F74" s="8">
        <v>1525</v>
      </c>
      <c r="G74">
        <v>24</v>
      </c>
      <c r="H74" s="3">
        <v>-182</v>
      </c>
      <c r="I74" s="3">
        <v>-845</v>
      </c>
    </row>
    <row r="75" spans="1:9" x14ac:dyDescent="0.2">
      <c r="A75" s="11" t="s">
        <v>97</v>
      </c>
      <c r="B75" s="26">
        <f t="shared" ref="B75:G75" si="22">+SUM(B63:B74)</f>
        <v>1407</v>
      </c>
      <c r="C75" s="26">
        <f t="shared" si="22"/>
        <v>3399</v>
      </c>
      <c r="D75" s="26">
        <f t="shared" si="22"/>
        <v>3846</v>
      </c>
      <c r="E75" s="26">
        <f t="shared" si="22"/>
        <v>4955</v>
      </c>
      <c r="F75" s="26">
        <f t="shared" si="22"/>
        <v>5903</v>
      </c>
      <c r="G75" s="26">
        <f t="shared" si="22"/>
        <v>2485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3">+SUM(B63:B75)</f>
        <v>2814</v>
      </c>
      <c r="C76" s="26">
        <f t="shared" si="23"/>
        <v>6798</v>
      </c>
      <c r="D76" s="26">
        <f t="shared" si="23"/>
        <v>7692</v>
      </c>
      <c r="E76" s="26">
        <f t="shared" si="23"/>
        <v>9910</v>
      </c>
      <c r="F76" s="26">
        <f t="shared" si="23"/>
        <v>11806</v>
      </c>
      <c r="G76" s="26">
        <f t="shared" si="23"/>
        <v>4970</v>
      </c>
      <c r="H76" s="26">
        <f t="shared" ref="B76:H76" si="24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>
        <v>-150</v>
      </c>
      <c r="C81">
        <v>150</v>
      </c>
      <c r="D81" t="s">
        <v>209</v>
      </c>
      <c r="E81" t="s">
        <v>209</v>
      </c>
      <c r="F81" t="s">
        <v>209</v>
      </c>
      <c r="G81" t="s">
        <v>209</v>
      </c>
      <c r="H81" s="3">
        <v>-695</v>
      </c>
      <c r="I81" s="3">
        <v>-758</v>
      </c>
    </row>
    <row r="82" spans="1:9" x14ac:dyDescent="0.2">
      <c r="A82" s="2" t="s">
        <v>79</v>
      </c>
      <c r="B82">
        <v>-963</v>
      </c>
      <c r="C82" s="8">
        <v>-1143</v>
      </c>
      <c r="D82" s="8">
        <v>-1105</v>
      </c>
      <c r="E82" s="8">
        <v>-1028</v>
      </c>
      <c r="F82" s="8">
        <v>-1119</v>
      </c>
      <c r="G82" s="8">
        <v>-1086</v>
      </c>
      <c r="H82" s="3">
        <v>171</v>
      </c>
      <c r="I82" s="3">
        <v>-19</v>
      </c>
    </row>
    <row r="83" spans="1:9" x14ac:dyDescent="0.2">
      <c r="A83" s="27" t="s">
        <v>80</v>
      </c>
      <c r="B83">
        <v>3</v>
      </c>
      <c r="C83">
        <v>10</v>
      </c>
      <c r="D83">
        <v>13</v>
      </c>
      <c r="E83">
        <v>3</v>
      </c>
      <c r="F83" t="s">
        <v>209</v>
      </c>
      <c r="G83" t="s">
        <v>209</v>
      </c>
      <c r="H83" s="26">
        <f t="shared" ref="B83:H83" si="25">+SUM(H78:H82)</f>
        <v>-3800</v>
      </c>
      <c r="I83" s="26">
        <f>+SUM(I78:I82)</f>
        <v>-1524</v>
      </c>
    </row>
    <row r="84" spans="1:9" x14ac:dyDescent="0.2">
      <c r="A84" s="1" t="s">
        <v>81</v>
      </c>
      <c r="B84" t="s">
        <v>209</v>
      </c>
      <c r="C84">
        <v>6</v>
      </c>
      <c r="D84">
        <v>-34</v>
      </c>
      <c r="E84">
        <v>-22</v>
      </c>
      <c r="F84">
        <v>5</v>
      </c>
      <c r="G84">
        <v>31</v>
      </c>
      <c r="H84" s="3"/>
      <c r="I84" s="3"/>
    </row>
    <row r="85" spans="1:9" x14ac:dyDescent="0.2">
      <c r="A85" s="2" t="s">
        <v>82</v>
      </c>
      <c r="B85" s="26">
        <f>-175</f>
        <v>-175</v>
      </c>
      <c r="C85" s="26">
        <f>-1034</f>
        <v>-1034</v>
      </c>
      <c r="D85" s="26">
        <f t="shared" ref="D85:G85" si="26">+SUM(D78:D84)</f>
        <v>-1008</v>
      </c>
      <c r="E85" s="26">
        <f t="shared" si="26"/>
        <v>279</v>
      </c>
      <c r="F85" s="26">
        <f t="shared" si="26"/>
        <v>-264</v>
      </c>
      <c r="G85" s="26">
        <f t="shared" si="26"/>
        <v>-1028</v>
      </c>
      <c r="H85" s="3">
        <v>0</v>
      </c>
      <c r="I85" s="3">
        <v>0</v>
      </c>
    </row>
    <row r="86" spans="1:9" x14ac:dyDescent="0.2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">
      <c r="A87" s="2" t="s">
        <v>84</v>
      </c>
      <c r="B87">
        <f>0</f>
        <v>0</v>
      </c>
      <c r="C87">
        <v>981</v>
      </c>
      <c r="D87" s="8">
        <v>1482</v>
      </c>
      <c r="E87">
        <f>0</f>
        <v>0</v>
      </c>
      <c r="F87">
        <f>0</f>
        <v>0</v>
      </c>
      <c r="G87">
        <f>0</f>
        <v>0</v>
      </c>
      <c r="H87" s="3">
        <v>-197</v>
      </c>
      <c r="I87" s="3">
        <v>0</v>
      </c>
    </row>
    <row r="88" spans="1:9" x14ac:dyDescent="0.2">
      <c r="A88" s="2" t="s">
        <v>85</v>
      </c>
      <c r="B88">
        <v>-7</v>
      </c>
      <c r="C88">
        <v>-106</v>
      </c>
      <c r="D88">
        <v>-44</v>
      </c>
      <c r="E88">
        <v>-6</v>
      </c>
      <c r="F88">
        <f>0</f>
        <v>0</v>
      </c>
      <c r="G88">
        <f>0</f>
        <v>0</v>
      </c>
      <c r="H88" s="3">
        <v>1172</v>
      </c>
      <c r="I88" s="3">
        <v>1151</v>
      </c>
    </row>
    <row r="89" spans="1:9" x14ac:dyDescent="0.2">
      <c r="A89" s="2" t="s">
        <v>16</v>
      </c>
      <c r="B89">
        <v>-63</v>
      </c>
      <c r="C89">
        <v>-67</v>
      </c>
      <c r="D89">
        <v>327</v>
      </c>
      <c r="E89">
        <v>13</v>
      </c>
      <c r="F89">
        <f>0</f>
        <v>0</v>
      </c>
      <c r="G89" s="8">
        <v>6134</v>
      </c>
      <c r="H89" s="3">
        <v>-608</v>
      </c>
      <c r="I89" s="3">
        <v>-4014</v>
      </c>
    </row>
    <row r="90" spans="1:9" x14ac:dyDescent="0.2">
      <c r="A90" s="2" t="s">
        <v>86</v>
      </c>
      <c r="B90">
        <v>-19</v>
      </c>
      <c r="C90">
        <f>0</f>
        <v>0</v>
      </c>
      <c r="D90">
        <f>0</f>
        <v>0</v>
      </c>
      <c r="E90">
        <v>13</v>
      </c>
      <c r="F90">
        <v>-325</v>
      </c>
      <c r="G90">
        <v>49</v>
      </c>
      <c r="H90" s="3">
        <v>-1638</v>
      </c>
      <c r="I90" s="3">
        <v>-1837</v>
      </c>
    </row>
    <row r="91" spans="1:9" x14ac:dyDescent="0.2">
      <c r="A91" s="2" t="s">
        <v>87</v>
      </c>
      <c r="B91">
        <v>514</v>
      </c>
      <c r="C91">
        <v>507</v>
      </c>
      <c r="D91">
        <f>0</f>
        <v>0</v>
      </c>
      <c r="E91">
        <v>733</v>
      </c>
      <c r="F91">
        <v>700</v>
      </c>
      <c r="G91">
        <v>885</v>
      </c>
      <c r="H91" s="3">
        <v>-136</v>
      </c>
      <c r="I91" s="3">
        <v>-151</v>
      </c>
    </row>
    <row r="92" spans="1:9" x14ac:dyDescent="0.2">
      <c r="A92" s="27" t="s">
        <v>88</v>
      </c>
      <c r="B92" s="8">
        <v>-2534</v>
      </c>
      <c r="C92" s="8">
        <v>-3238</v>
      </c>
      <c r="D92" s="8">
        <v>-3223</v>
      </c>
      <c r="E92" s="8">
        <v>-4254</v>
      </c>
      <c r="F92" s="8">
        <v>-4286</v>
      </c>
      <c r="G92" s="8">
        <v>-3067</v>
      </c>
      <c r="H92" s="26">
        <f t="shared" ref="B92:H92" si="27">+SUM(H85:H91)</f>
        <v>-1459</v>
      </c>
      <c r="I92" s="26">
        <f>+SUM(I85:I91)</f>
        <v>-4836</v>
      </c>
    </row>
    <row r="93" spans="1:9" x14ac:dyDescent="0.2">
      <c r="A93" s="2" t="s">
        <v>89</v>
      </c>
      <c r="B93">
        <v>-899</v>
      </c>
      <c r="C93" s="8">
        <v>-1022</v>
      </c>
      <c r="D93" s="8">
        <v>-1133</v>
      </c>
      <c r="E93" s="8">
        <v>-1243</v>
      </c>
      <c r="F93" s="8">
        <v>-1332</v>
      </c>
      <c r="G93" s="8">
        <v>-1452</v>
      </c>
      <c r="H93" s="3">
        <v>143</v>
      </c>
      <c r="I93" s="3">
        <v>-143</v>
      </c>
    </row>
    <row r="94" spans="1:9" x14ac:dyDescent="0.2">
      <c r="A94" s="27" t="s">
        <v>90</v>
      </c>
      <c r="B94" s="3"/>
      <c r="C94" s="3"/>
      <c r="D94" s="3"/>
      <c r="E94">
        <v>-84</v>
      </c>
      <c r="F94">
        <v>-50</v>
      </c>
      <c r="G94">
        <v>-58</v>
      </c>
      <c r="H94" s="26">
        <f t="shared" ref="B94: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26">
        <f t="shared" ref="B95:G95" si="29">+SUM(B87:B94)</f>
        <v>-3008</v>
      </c>
      <c r="C95" s="26">
        <f t="shared" si="29"/>
        <v>-2945</v>
      </c>
      <c r="D95" s="26">
        <f t="shared" si="29"/>
        <v>-2591</v>
      </c>
      <c r="E95" s="26">
        <f t="shared" si="29"/>
        <v>-4828</v>
      </c>
      <c r="F95" s="26">
        <f t="shared" si="29"/>
        <v>-5293</v>
      </c>
      <c r="G95" s="26">
        <f t="shared" si="29"/>
        <v>2491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>
        <v>-83</v>
      </c>
      <c r="C96">
        <v>-105</v>
      </c>
      <c r="D96">
        <v>-20</v>
      </c>
      <c r="E96">
        <v>45</v>
      </c>
      <c r="F96">
        <v>-129</v>
      </c>
      <c r="G96">
        <v>-66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30">+B96-B25</f>
        <v>-3935</v>
      </c>
      <c r="C97" s="13">
        <f t="shared" si="30"/>
        <v>-3243</v>
      </c>
      <c r="D97" s="13">
        <f t="shared" si="30"/>
        <v>-3828</v>
      </c>
      <c r="E97" s="13">
        <f t="shared" si="30"/>
        <v>-4204</v>
      </c>
      <c r="F97" s="13">
        <f t="shared" si="30"/>
        <v>-4595</v>
      </c>
      <c r="G97" s="13">
        <f t="shared" si="30"/>
        <v>-8414</v>
      </c>
      <c r="H97" s="13">
        <f t="shared" ref="B97:H97" si="31">+H96-H25</f>
        <v>0</v>
      </c>
      <c r="I97" s="13">
        <f>+I96-I25</f>
        <v>0</v>
      </c>
    </row>
    <row r="98" spans="1:9" x14ac:dyDescent="0.2">
      <c r="A98" t="s">
        <v>93</v>
      </c>
      <c r="B98" s="8">
        <v>2220</v>
      </c>
      <c r="C98" s="8">
        <v>3852</v>
      </c>
      <c r="D98" s="8">
        <v>3138</v>
      </c>
      <c r="E98" s="8">
        <v>3808</v>
      </c>
      <c r="F98" s="8">
        <v>4249</v>
      </c>
      <c r="G98" s="8">
        <v>4466</v>
      </c>
      <c r="H98" s="3"/>
      <c r="I98" s="3"/>
    </row>
    <row r="99" spans="1:9" x14ac:dyDescent="0.2">
      <c r="A99" s="2" t="s">
        <v>17</v>
      </c>
      <c r="B99" s="8">
        <v>3852</v>
      </c>
      <c r="C99" s="8">
        <v>3138</v>
      </c>
      <c r="D99" s="8">
        <v>3808</v>
      </c>
      <c r="E99" s="8">
        <v>4249</v>
      </c>
      <c r="F99" s="8">
        <v>4466</v>
      </c>
      <c r="G99" s="8">
        <v>8348</v>
      </c>
      <c r="H99" s="3"/>
      <c r="I99" s="3"/>
    </row>
    <row r="100" spans="1:9" x14ac:dyDescent="0.2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>+SUM(B108:B110)</f>
        <v>13740</v>
      </c>
      <c r="C107" s="3">
        <f t="shared" ref="C107:G107" si="32">+SUM(C108:C110)</f>
        <v>14764</v>
      </c>
      <c r="D107" s="3">
        <f t="shared" si="32"/>
        <v>15216</v>
      </c>
      <c r="E107" s="3">
        <f t="shared" si="32"/>
        <v>14855</v>
      </c>
      <c r="F107" s="3">
        <f t="shared" si="32"/>
        <v>15902</v>
      </c>
      <c r="G107" s="3">
        <f t="shared" si="32"/>
        <v>14484</v>
      </c>
      <c r="H107" s="3">
        <f t="shared" ref="B107:H107" si="33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:G111" si="34">+SUM(B112:B114)</f>
        <v>7126</v>
      </c>
      <c r="C111" s="3">
        <f t="shared" si="34"/>
        <v>7568</v>
      </c>
      <c r="D111" s="3">
        <f t="shared" si="34"/>
        <v>7970</v>
      </c>
      <c r="E111" s="3">
        <f t="shared" si="34"/>
        <v>9242</v>
      </c>
      <c r="F111" s="3">
        <f t="shared" si="34"/>
        <v>9812</v>
      </c>
      <c r="G111" s="3">
        <f t="shared" si="34"/>
        <v>9347</v>
      </c>
      <c r="H111" s="3">
        <f t="shared" ref="B111:I111" si="35">+SUM(H112:H114)</f>
        <v>11456</v>
      </c>
      <c r="I111" s="3">
        <f t="shared" si="35"/>
        <v>12479</v>
      </c>
    </row>
    <row r="112" spans="1:9" x14ac:dyDescent="0.2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:G115" si="36">+SUM(B116:B118)</f>
        <v>3067</v>
      </c>
      <c r="C115" s="3">
        <f t="shared" si="36"/>
        <v>3785</v>
      </c>
      <c r="D115" s="3">
        <f t="shared" si="36"/>
        <v>4237</v>
      </c>
      <c r="E115" s="3">
        <f t="shared" si="36"/>
        <v>5134</v>
      </c>
      <c r="F115" s="3">
        <f t="shared" si="36"/>
        <v>6208</v>
      </c>
      <c r="G115" s="3">
        <f t="shared" si="36"/>
        <v>6679</v>
      </c>
      <c r="H115" s="3">
        <f t="shared" ref="B115:I115" si="37">+SUM(H116:H118)</f>
        <v>8290</v>
      </c>
      <c r="I115" s="3">
        <f t="shared" si="37"/>
        <v>7547</v>
      </c>
    </row>
    <row r="116" spans="1:9" x14ac:dyDescent="0.2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G119" si="38">+SUM(B120:B122)</f>
        <v>4653</v>
      </c>
      <c r="C119" s="3">
        <f t="shared" si="38"/>
        <v>4317</v>
      </c>
      <c r="D119" s="3">
        <f t="shared" si="38"/>
        <v>4737</v>
      </c>
      <c r="E119" s="3">
        <f t="shared" si="38"/>
        <v>5166</v>
      </c>
      <c r="F119" s="3">
        <f t="shared" si="38"/>
        <v>5254</v>
      </c>
      <c r="G119" s="3">
        <f t="shared" si="38"/>
        <v>5028</v>
      </c>
      <c r="H119" s="3">
        <f t="shared" ref="B119:I119" si="39">+SUM(H120:H122)</f>
        <v>5343</v>
      </c>
      <c r="I119" s="3">
        <f t="shared" si="39"/>
        <v>5955</v>
      </c>
    </row>
    <row r="120" spans="1:9" x14ac:dyDescent="0.2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28701</v>
      </c>
      <c r="C124" s="5">
        <f>+C107+C111+C115+C119+C123</f>
        <v>30507</v>
      </c>
      <c r="D124" s="5">
        <f t="shared" ref="D124:G124" si="40">+D107+D111+D115+D119+D123</f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ref="B124:I124" si="41">+H107+H111+H115+H119+H123</f>
        <v>42293</v>
      </c>
      <c r="I124" s="5">
        <f t="shared" si="41"/>
        <v>44436</v>
      </c>
    </row>
    <row r="125" spans="1:9" x14ac:dyDescent="0.2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f>SUM(F126:F129)</f>
        <v>1906</v>
      </c>
      <c r="G125" s="8">
        <f>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64"/>
      <c r="C126" s="64"/>
      <c r="D126" s="64"/>
      <c r="E126" s="64"/>
      <c r="F126" s="3">
        <f>1658</f>
        <v>1658</v>
      </c>
      <c r="G126" s="3">
        <f>1642</f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64"/>
      <c r="C127" s="64"/>
      <c r="D127" s="64"/>
      <c r="E127" s="64"/>
      <c r="F127" s="3">
        <f>118</f>
        <v>118</v>
      </c>
      <c r="G127" s="3">
        <f>89</f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64"/>
      <c r="C128" s="64"/>
      <c r="D128" s="64"/>
      <c r="E128" s="64"/>
      <c r="F128" s="3">
        <f>24</f>
        <v>24</v>
      </c>
      <c r="G128" s="3">
        <f>25</f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64"/>
      <c r="C129" s="64"/>
      <c r="D129" s="64"/>
      <c r="E129" s="64"/>
      <c r="F129" s="3">
        <f>106</f>
        <v>106</v>
      </c>
      <c r="G129" s="3">
        <f>90</f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ref="B131:H131" si="43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63">
        <f>B131-B2</f>
        <v>0</v>
      </c>
      <c r="C132" s="63">
        <f t="shared" ref="C132:G132" si="44">C131-C2</f>
        <v>0</v>
      </c>
      <c r="D132" s="63">
        <f t="shared" si="44"/>
        <v>0</v>
      </c>
      <c r="E132" s="63">
        <f t="shared" si="44"/>
        <v>0</v>
      </c>
      <c r="F132" s="63">
        <f t="shared" si="44"/>
        <v>0</v>
      </c>
      <c r="G132" s="63">
        <f t="shared" si="44"/>
        <v>0</v>
      </c>
      <c r="H132" s="13">
        <f t="shared" ref="C132:H132" si="45"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6">+SUM(B134:B138)</f>
        <v>4817</v>
      </c>
      <c r="C139" s="5">
        <f t="shared" si="46"/>
        <v>5328</v>
      </c>
      <c r="D139" s="5">
        <f t="shared" si="46"/>
        <v>5192</v>
      </c>
      <c r="E139" s="5">
        <f t="shared" si="46"/>
        <v>5525</v>
      </c>
      <c r="F139" s="5">
        <f t="shared" si="46"/>
        <v>6357</v>
      </c>
      <c r="G139" s="5">
        <f t="shared" si="46"/>
        <v>4646</v>
      </c>
      <c r="H139" s="5">
        <f t="shared" ref="B139:I139" si="47">+SUM(H134:H138)</f>
        <v>8641</v>
      </c>
      <c r="I139" s="5">
        <f t="shared" si="47"/>
        <v>8406</v>
      </c>
    </row>
    <row r="140" spans="1:9" x14ac:dyDescent="0.2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-1101</v>
      </c>
      <c r="C141" s="3">
        <v>-1173</v>
      </c>
      <c r="D141" s="3">
        <v>-724</v>
      </c>
      <c r="E141" s="8">
        <v>-1456</v>
      </c>
      <c r="F141" s="8">
        <v>-1810</v>
      </c>
      <c r="G141" s="8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G142" si="48">+SUM(B139:B141)</f>
        <v>4233</v>
      </c>
      <c r="C142" s="7">
        <f t="shared" si="48"/>
        <v>4642</v>
      </c>
      <c r="D142" s="7">
        <f t="shared" si="48"/>
        <v>4945</v>
      </c>
      <c r="E142" s="7">
        <f t="shared" si="48"/>
        <v>4379</v>
      </c>
      <c r="F142" s="7">
        <f t="shared" si="48"/>
        <v>4850</v>
      </c>
      <c r="G142" s="7">
        <f t="shared" si="48"/>
        <v>2976</v>
      </c>
      <c r="H142" s="7">
        <f t="shared" ref="B142:I142" si="49">+SUM(H139:H141)</f>
        <v>6923</v>
      </c>
      <c r="I142" s="7">
        <f t="shared" si="49"/>
        <v>6856</v>
      </c>
    </row>
    <row r="143" spans="1:9" s="12" customFormat="1" ht="16" thickTop="1" x14ac:dyDescent="0.2">
      <c r="A143" s="12" t="s">
        <v>111</v>
      </c>
      <c r="B143" s="13">
        <f t="shared" ref="B143:G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ref="B143:H143" si="51">+H142-H10-H8</f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f>632</f>
        <v>632</v>
      </c>
      <c r="C145" s="3">
        <f>742</f>
        <v>742</v>
      </c>
      <c r="D145" s="3">
        <f>819</f>
        <v>819</v>
      </c>
      <c r="E145" s="3">
        <f>848</f>
        <v>848</v>
      </c>
      <c r="F145" s="3">
        <f>814</f>
        <v>814</v>
      </c>
      <c r="G145">
        <f>645</f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f>451</f>
        <v>451</v>
      </c>
      <c r="C146" s="3">
        <f>589</f>
        <v>589</v>
      </c>
      <c r="D146" s="3">
        <f>709</f>
        <v>709</v>
      </c>
      <c r="E146" s="3">
        <f>849</f>
        <v>849</v>
      </c>
      <c r="F146" s="3">
        <f>929</f>
        <v>929</v>
      </c>
      <c r="G146">
        <f>885</f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f>47</f>
        <v>47</v>
      </c>
      <c r="C147" s="3">
        <f>50</f>
        <v>50</v>
      </c>
      <c r="D147" s="3">
        <f>225</f>
        <v>225</v>
      </c>
      <c r="E147" s="3">
        <f>256</f>
        <v>256</v>
      </c>
      <c r="F147" s="3">
        <f>237</f>
        <v>237</v>
      </c>
      <c r="G147">
        <f>214</f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f>254+205+103</f>
        <v>562</v>
      </c>
      <c r="C148" s="3">
        <f>234</f>
        <v>234</v>
      </c>
      <c r="D148" s="3">
        <f>340</f>
        <v>340</v>
      </c>
      <c r="E148" s="3">
        <f>339</f>
        <v>339</v>
      </c>
      <c r="F148" s="3">
        <f>326</f>
        <v>326</v>
      </c>
      <c r="G148">
        <f>296</f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f>484</f>
        <v>484</v>
      </c>
      <c r="C149" s="3">
        <f>511+223+109</f>
        <v>843</v>
      </c>
      <c r="D149" s="3">
        <f>533</f>
        <v>533</v>
      </c>
      <c r="E149" s="3">
        <f>597</f>
        <v>597</v>
      </c>
      <c r="F149" s="3">
        <f>665</f>
        <v>665</v>
      </c>
      <c r="G149">
        <f>830</f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E150" si="52">+SUM(B145:B149)</f>
        <v>2176</v>
      </c>
      <c r="C150" s="5">
        <f t="shared" si="52"/>
        <v>2458</v>
      </c>
      <c r="D150" s="5">
        <f t="shared" si="52"/>
        <v>2626</v>
      </c>
      <c r="E150" s="5">
        <f t="shared" si="52"/>
        <v>2889</v>
      </c>
      <c r="F150" s="5">
        <f>+SUM(F145:F149)</f>
        <v>2971</v>
      </c>
      <c r="G150" s="5">
        <f>+SUM(G145:G149)</f>
        <v>2870</v>
      </c>
      <c r="H150" s="5">
        <f t="shared" ref="B150:I150" si="53">+SUM(H145:H149)</f>
        <v>2971</v>
      </c>
      <c r="I150" s="5">
        <f t="shared" si="53"/>
        <v>2925</v>
      </c>
    </row>
    <row r="151" spans="1:9" x14ac:dyDescent="0.2">
      <c r="A151" s="2" t="s">
        <v>104</v>
      </c>
      <c r="B151" s="3">
        <f>122</f>
        <v>122</v>
      </c>
      <c r="C151" s="3">
        <f>125</f>
        <v>125</v>
      </c>
      <c r="D151" s="3">
        <f>125</f>
        <v>125</v>
      </c>
      <c r="E151" s="3">
        <f>115</f>
        <v>115</v>
      </c>
      <c r="F151" s="3">
        <f>100</f>
        <v>100</v>
      </c>
      <c r="G151">
        <f>80</f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f>713</f>
        <v>713</v>
      </c>
      <c r="C152" s="3">
        <f>937</f>
        <v>937</v>
      </c>
      <c r="D152" s="3">
        <f>1238</f>
        <v>1238</v>
      </c>
      <c r="E152" s="3">
        <f>1450</f>
        <v>1450</v>
      </c>
      <c r="F152" s="3">
        <f>1673</f>
        <v>1673</v>
      </c>
      <c r="G152">
        <f>1916</f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E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>+SUM(F150:F152)</f>
        <v>4744</v>
      </c>
      <c r="G153" s="7">
        <f>+SUM(G150:G152)</f>
        <v>4866</v>
      </c>
      <c r="H153" s="7">
        <f t="shared" ref="B153:H153" si="55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G154" si="56">+B153-B31</f>
        <v>0</v>
      </c>
      <c r="C154" s="13">
        <f t="shared" si="56"/>
        <v>0</v>
      </c>
      <c r="D154" s="13">
        <f t="shared" si="56"/>
        <v>0</v>
      </c>
      <c r="E154" s="13">
        <f t="shared" si="56"/>
        <v>0</v>
      </c>
      <c r="F154" s="13">
        <f t="shared" si="56"/>
        <v>0</v>
      </c>
      <c r="G154" s="13">
        <f t="shared" si="56"/>
        <v>0</v>
      </c>
      <c r="H154" s="13">
        <f t="shared" ref="B154:H154" si="57">+H153-H31</f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f>208</f>
        <v>208</v>
      </c>
      <c r="C156" s="3">
        <f>242</f>
        <v>242</v>
      </c>
      <c r="D156" s="3">
        <f>223</f>
        <v>223</v>
      </c>
      <c r="E156" s="3">
        <f>196</f>
        <v>196</v>
      </c>
      <c r="F156" s="3">
        <f>117</f>
        <v>117</v>
      </c>
      <c r="G156" s="3">
        <f>110</f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f>216</f>
        <v>216</v>
      </c>
      <c r="C157" s="3">
        <f>215</f>
        <v>215</v>
      </c>
      <c r="D157" s="3">
        <f>173</f>
        <v>173</v>
      </c>
      <c r="E157" s="3">
        <f>240</f>
        <v>240</v>
      </c>
      <c r="F157" s="3">
        <f>233</f>
        <v>233</v>
      </c>
      <c r="G157" s="3">
        <f>139</f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f>20</f>
        <v>20</v>
      </c>
      <c r="C158" s="3">
        <f>17</f>
        <v>17</v>
      </c>
      <c r="D158" s="3">
        <f>51</f>
        <v>51</v>
      </c>
      <c r="E158" s="3">
        <f>76</f>
        <v>76</v>
      </c>
      <c r="F158" s="3">
        <f>49</f>
        <v>49</v>
      </c>
      <c r="G158" s="3">
        <f>28</f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f>69</f>
        <v>69</v>
      </c>
      <c r="C159" s="3">
        <f>44</f>
        <v>44</v>
      </c>
      <c r="D159" s="3">
        <f>59</f>
        <v>59</v>
      </c>
      <c r="E159" s="3">
        <f>49</f>
        <v>49</v>
      </c>
      <c r="F159" s="3">
        <f>47</f>
        <v>47</v>
      </c>
      <c r="G159" s="3">
        <f>41</f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f>15+37+225</f>
        <v>277</v>
      </c>
      <c r="C160" s="3">
        <f>13+51+258</f>
        <v>322</v>
      </c>
      <c r="D160" s="3">
        <f>278</f>
        <v>278</v>
      </c>
      <c r="E160" s="3">
        <f>286</f>
        <v>286</v>
      </c>
      <c r="F160" s="3">
        <f>278</f>
        <v>278</v>
      </c>
      <c r="G160" s="3">
        <f>438</f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8">+SUM(B156:B160)</f>
        <v>790</v>
      </c>
      <c r="C161" s="5">
        <f t="shared" si="58"/>
        <v>840</v>
      </c>
      <c r="D161" s="5">
        <f t="shared" si="58"/>
        <v>784</v>
      </c>
      <c r="E161" s="5">
        <f t="shared" si="58"/>
        <v>847</v>
      </c>
      <c r="F161" s="5">
        <f t="shared" si="58"/>
        <v>724</v>
      </c>
      <c r="G161" s="5">
        <f t="shared" si="58"/>
        <v>756</v>
      </c>
      <c r="H161" s="5">
        <f t="shared" ref="B161:I161" si="59">+SUM(H156:H160)</f>
        <v>677</v>
      </c>
      <c r="I161" s="5">
        <f t="shared" si="59"/>
        <v>699</v>
      </c>
    </row>
    <row r="162" spans="1:9" x14ac:dyDescent="0.2">
      <c r="A162" s="2" t="s">
        <v>104</v>
      </c>
      <c r="B162" s="3">
        <f>27</f>
        <v>27</v>
      </c>
      <c r="C162" s="3">
        <f>39</f>
        <v>39</v>
      </c>
      <c r="D162" s="3">
        <f>30</f>
        <v>30</v>
      </c>
      <c r="E162" s="3">
        <f>22</f>
        <v>22</v>
      </c>
      <c r="F162" s="3">
        <f>18</f>
        <v>18</v>
      </c>
      <c r="G162" s="3">
        <f>12</f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84</f>
        <v>84</v>
      </c>
      <c r="C163" s="3">
        <f>312</f>
        <v>312</v>
      </c>
      <c r="D163" s="3">
        <f>387</f>
        <v>387</v>
      </c>
      <c r="E163" s="3">
        <f>325</f>
        <v>325</v>
      </c>
      <c r="F163" s="3">
        <f>333</f>
        <v>333</v>
      </c>
      <c r="G163" s="3">
        <f>356</f>
        <v>356</v>
      </c>
      <c r="H163" s="3">
        <f t="shared" ref="B163:H163" si="60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61">+SUM(B161:B163)</f>
        <v>901</v>
      </c>
      <c r="C164" s="7">
        <f t="shared" si="61"/>
        <v>1191</v>
      </c>
      <c r="D164" s="7">
        <f t="shared" si="61"/>
        <v>1201</v>
      </c>
      <c r="E164" s="7">
        <f t="shared" si="61"/>
        <v>1194</v>
      </c>
      <c r="F164" s="7">
        <f t="shared" si="61"/>
        <v>1075</v>
      </c>
      <c r="G164" s="7">
        <f t="shared" si="61"/>
        <v>1124</v>
      </c>
      <c r="H164" s="7">
        <f t="shared" ref="B164:H164" si="62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/>
      <c r="C165" s="13"/>
      <c r="D165" s="13"/>
      <c r="E165" s="13"/>
      <c r="F165" s="13"/>
      <c r="G165" s="13"/>
      <c r="H165" s="13">
        <f t="shared" ref="B165:H165" si="63">+H164+H81</f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f>121</f>
        <v>121</v>
      </c>
      <c r="C167" s="3">
        <f>133</f>
        <v>133</v>
      </c>
      <c r="D167" s="3">
        <f>140</f>
        <v>140</v>
      </c>
      <c r="E167" s="3">
        <f>160</f>
        <v>160</v>
      </c>
      <c r="F167" s="3">
        <f>149</f>
        <v>149</v>
      </c>
      <c r="G167" s="3">
        <f>148</f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f>75</f>
        <v>75</v>
      </c>
      <c r="C168" s="3">
        <f>72</f>
        <v>72</v>
      </c>
      <c r="D168" s="3">
        <f>91</f>
        <v>91</v>
      </c>
      <c r="E168" s="3">
        <f>116</f>
        <v>116</v>
      </c>
      <c r="F168" s="3">
        <f>111</f>
        <v>111</v>
      </c>
      <c r="G168" s="3">
        <f>132</f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f>12</f>
        <v>12</v>
      </c>
      <c r="C169" s="3">
        <f>12</f>
        <v>12</v>
      </c>
      <c r="D169" s="3">
        <f>13</f>
        <v>13</v>
      </c>
      <c r="E169" s="3">
        <f>56</f>
        <v>56</v>
      </c>
      <c r="F169" s="3">
        <f>50</f>
        <v>50</v>
      </c>
      <c r="G169" s="3">
        <f>44</f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f>46</f>
        <v>46</v>
      </c>
      <c r="C170" s="3">
        <f>48+18+25</f>
        <v>91</v>
      </c>
      <c r="D170" s="3">
        <f>54</f>
        <v>54</v>
      </c>
      <c r="E170" s="3">
        <f>55</f>
        <v>55</v>
      </c>
      <c r="F170" s="3">
        <f>53</f>
        <v>53</v>
      </c>
      <c r="G170" s="3">
        <f>46</f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f>22+27+210</f>
        <v>259</v>
      </c>
      <c r="C171" s="3">
        <f>230</f>
        <v>230</v>
      </c>
      <c r="D171" s="3">
        <f>18+38+233</f>
        <v>289</v>
      </c>
      <c r="E171" s="3">
        <f>217</f>
        <v>217</v>
      </c>
      <c r="F171" s="3">
        <f>195</f>
        <v>195</v>
      </c>
      <c r="G171" s="3">
        <f>214</f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64">+SUM(B167:B171)</f>
        <v>513</v>
      </c>
      <c r="C172" s="5">
        <f t="shared" si="64"/>
        <v>538</v>
      </c>
      <c r="D172" s="5">
        <f t="shared" si="64"/>
        <v>587</v>
      </c>
      <c r="E172" s="5">
        <f t="shared" si="64"/>
        <v>604</v>
      </c>
      <c r="F172" s="5">
        <f t="shared" si="64"/>
        <v>558</v>
      </c>
      <c r="G172" s="5">
        <f t="shared" si="64"/>
        <v>584</v>
      </c>
      <c r="H172" s="5">
        <f t="shared" ref="B172:I172" si="65">+SUM(H167:H171)</f>
        <v>577</v>
      </c>
      <c r="I172" s="5">
        <f t="shared" si="65"/>
        <v>561</v>
      </c>
    </row>
    <row r="173" spans="1:9" x14ac:dyDescent="0.2">
      <c r="A173" s="2" t="s">
        <v>104</v>
      </c>
      <c r="B173" s="3">
        <f>18</f>
        <v>18</v>
      </c>
      <c r="C173" s="3">
        <f>27</f>
        <v>27</v>
      </c>
      <c r="D173" s="3">
        <f>28</f>
        <v>28</v>
      </c>
      <c r="E173" s="3">
        <f>33</f>
        <v>33</v>
      </c>
      <c r="F173" s="3">
        <f>31</f>
        <v>31</v>
      </c>
      <c r="G173" s="3">
        <f>25</f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</f>
        <v>75</v>
      </c>
      <c r="C174" s="3">
        <f>84</f>
        <v>84</v>
      </c>
      <c r="D174" s="3">
        <f>91</f>
        <v>91</v>
      </c>
      <c r="E174" s="3">
        <f>110</f>
        <v>110</v>
      </c>
      <c r="F174" s="3">
        <f>116</f>
        <v>116</v>
      </c>
      <c r="G174" s="3">
        <f>112</f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66">+SUM(B172:B174)</f>
        <v>606</v>
      </c>
      <c r="C175" s="7">
        <f t="shared" si="66"/>
        <v>649</v>
      </c>
      <c r="D175" s="7">
        <f t="shared" si="66"/>
        <v>706</v>
      </c>
      <c r="E175" s="7">
        <f t="shared" si="66"/>
        <v>747</v>
      </c>
      <c r="F175" s="7">
        <f t="shared" si="66"/>
        <v>705</v>
      </c>
      <c r="G175" s="7">
        <f t="shared" si="66"/>
        <v>721</v>
      </c>
      <c r="H175" s="7">
        <f t="shared" ref="B175:H175" si="67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/>
      <c r="C176" s="13"/>
      <c r="D176" s="13"/>
      <c r="E176" s="13"/>
      <c r="F176" s="13"/>
      <c r="G176" s="13"/>
      <c r="H176" s="13">
        <f t="shared" ref="B176:H176" si="68">+H175-H66</f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 t="e">
        <f>B107/K107-1</f>
        <v>#DIV/0!</v>
      </c>
      <c r="C179" s="34">
        <f t="shared" ref="C179:H194" si="69">C107/B107-1</f>
        <v>7.4526928675400228E-2</v>
      </c>
      <c r="D179" s="34">
        <f t="shared" si="69"/>
        <v>3.0615009482525046E-2</v>
      </c>
      <c r="E179" s="34">
        <f t="shared" si="69"/>
        <v>-2.372502628811779E-2</v>
      </c>
      <c r="F179" s="34">
        <f t="shared" si="69"/>
        <v>7.0481319421070276E-2</v>
      </c>
      <c r="G179" s="34">
        <f t="shared" si="69"/>
        <v>-8.9171173437303519E-2</v>
      </c>
      <c r="H179" s="34">
        <f t="shared" si="69"/>
        <v>0.18606738470035911</v>
      </c>
      <c r="I179" s="34">
        <v>7.0000000000000007E-2</v>
      </c>
    </row>
    <row r="180" spans="1:9" x14ac:dyDescent="0.2">
      <c r="A180" s="31" t="s">
        <v>113</v>
      </c>
      <c r="B180" s="65" t="e">
        <f t="shared" ref="B180:B200" si="70">B108/K108-1</f>
        <v>#DIV/0!</v>
      </c>
      <c r="C180" s="30">
        <f t="shared" si="69"/>
        <v>9.3228309428638578E-2</v>
      </c>
      <c r="D180" s="30">
        <f t="shared" si="69"/>
        <v>4.1402301322722934E-2</v>
      </c>
      <c r="E180" s="30">
        <f t="shared" si="69"/>
        <v>-3.7381247418422192E-2</v>
      </c>
      <c r="F180" s="30">
        <f t="shared" si="69"/>
        <v>7.755846384895948E-2</v>
      </c>
      <c r="G180" s="30">
        <f t="shared" si="69"/>
        <v>-7.1279243404678949E-2</v>
      </c>
      <c r="H180" s="30">
        <f t="shared" si="69"/>
        <v>0.24815092721620746</v>
      </c>
      <c r="I180" s="30">
        <v>0.05</v>
      </c>
    </row>
    <row r="181" spans="1:9" x14ac:dyDescent="0.2">
      <c r="A181" s="31" t="s">
        <v>114</v>
      </c>
      <c r="B181" s="65" t="e">
        <f t="shared" si="70"/>
        <v>#DIV/0!</v>
      </c>
      <c r="C181" s="30">
        <f t="shared" si="69"/>
        <v>7.6190476190476142E-2</v>
      </c>
      <c r="D181" s="30">
        <f t="shared" si="69"/>
        <v>2.9498525073746285E-2</v>
      </c>
      <c r="E181" s="30">
        <f t="shared" si="69"/>
        <v>1.0642652476463343E-2</v>
      </c>
      <c r="F181" s="30">
        <f t="shared" si="69"/>
        <v>6.5208586472256025E-2</v>
      </c>
      <c r="G181" s="30">
        <f t="shared" si="69"/>
        <v>-0.11806083650190113</v>
      </c>
      <c r="H181" s="30">
        <f t="shared" si="69"/>
        <v>8.3854278939426541E-2</v>
      </c>
      <c r="I181" s="30">
        <v>0.09</v>
      </c>
    </row>
    <row r="182" spans="1:9" x14ac:dyDescent="0.2">
      <c r="A182" s="31" t="s">
        <v>115</v>
      </c>
      <c r="B182" s="65" t="e">
        <f t="shared" si="70"/>
        <v>#DIV/0!</v>
      </c>
      <c r="C182" s="30">
        <f t="shared" si="69"/>
        <v>-0.12742718446601942</v>
      </c>
      <c r="D182" s="30">
        <f t="shared" si="69"/>
        <v>-0.10152990264255912</v>
      </c>
      <c r="E182" s="30">
        <f t="shared" si="69"/>
        <v>-7.8947368421052655E-2</v>
      </c>
      <c r="F182" s="30">
        <f t="shared" si="69"/>
        <v>3.3613445378151141E-3</v>
      </c>
      <c r="G182" s="30">
        <f t="shared" si="69"/>
        <v>-0.13567839195979903</v>
      </c>
      <c r="H182" s="30">
        <f t="shared" si="69"/>
        <v>-1.744186046511631E-2</v>
      </c>
      <c r="I182" s="30">
        <v>0.25</v>
      </c>
    </row>
    <row r="183" spans="1:9" x14ac:dyDescent="0.2">
      <c r="A183" s="33" t="s">
        <v>101</v>
      </c>
      <c r="B183" s="34" t="e">
        <f t="shared" si="70"/>
        <v>#DIV/0!</v>
      </c>
      <c r="C183" s="34">
        <f t="shared" si="69"/>
        <v>6.2026382262138746E-2</v>
      </c>
      <c r="D183" s="34">
        <f t="shared" si="69"/>
        <v>5.3118393234672379E-2</v>
      </c>
      <c r="E183" s="34">
        <f t="shared" si="69"/>
        <v>0.15959849435382689</v>
      </c>
      <c r="F183" s="34">
        <f t="shared" si="69"/>
        <v>6.1674962129409261E-2</v>
      </c>
      <c r="G183" s="34">
        <f t="shared" si="69"/>
        <v>-4.7390949857317621E-2</v>
      </c>
      <c r="H183" s="34">
        <f t="shared" si="69"/>
        <v>0.22563389322777372</v>
      </c>
      <c r="I183" s="34">
        <v>0.12</v>
      </c>
    </row>
    <row r="184" spans="1:9" x14ac:dyDescent="0.2">
      <c r="A184" s="31" t="s">
        <v>113</v>
      </c>
      <c r="B184" s="66" t="e">
        <f t="shared" si="70"/>
        <v>#DIV/0!</v>
      </c>
      <c r="C184" s="30">
        <f t="shared" si="69"/>
        <v>7.2294280246651077E-2</v>
      </c>
      <c r="D184" s="30">
        <f>D112/C112-1</f>
        <v>2.9545905215149659E-2</v>
      </c>
      <c r="E184" s="30">
        <f>E112/D112-1</f>
        <v>0.1315485362095532</v>
      </c>
      <c r="F184" s="30">
        <f>F112/E112-1</f>
        <v>7.1148936170212673E-2</v>
      </c>
      <c r="G184" s="30">
        <f>G112/F112-1</f>
        <v>-6.3721595423486432E-2</v>
      </c>
      <c r="H184" s="30">
        <f>H112/G112-1</f>
        <v>0.18295994568907004</v>
      </c>
      <c r="I184" s="30">
        <v>0.09</v>
      </c>
    </row>
    <row r="185" spans="1:9" x14ac:dyDescent="0.2">
      <c r="A185" s="31" t="s">
        <v>114</v>
      </c>
      <c r="B185" s="66" t="e">
        <f t="shared" si="70"/>
        <v>#DIV/0!</v>
      </c>
      <c r="C185" s="30">
        <f t="shared" si="69"/>
        <v>4.7781569965870352E-2</v>
      </c>
      <c r="D185" s="30">
        <f t="shared" si="69"/>
        <v>0.11447184737087013</v>
      </c>
      <c r="E185" s="30">
        <f t="shared" si="69"/>
        <v>0.22755741127348639</v>
      </c>
      <c r="F185" s="30">
        <f t="shared" si="69"/>
        <v>5.0000000000000044E-2</v>
      </c>
      <c r="G185" s="30">
        <f t="shared" si="69"/>
        <v>-1.1013929381276322E-2</v>
      </c>
      <c r="H185" s="30">
        <f t="shared" si="69"/>
        <v>0.30887651490337364</v>
      </c>
      <c r="I185" s="30">
        <v>0.16</v>
      </c>
    </row>
    <row r="186" spans="1:9" x14ac:dyDescent="0.2">
      <c r="A186" s="31" t="s">
        <v>115</v>
      </c>
      <c r="B186" s="66" t="e">
        <f t="shared" si="70"/>
        <v>#DIV/0!</v>
      </c>
      <c r="C186" s="30">
        <f t="shared" si="69"/>
        <v>1.0752688172043001E-2</v>
      </c>
      <c r="D186" s="30">
        <f t="shared" si="69"/>
        <v>1.8617021276595702E-2</v>
      </c>
      <c r="E186" s="30">
        <f t="shared" si="69"/>
        <v>0.11488250652741505</v>
      </c>
      <c r="F186" s="30">
        <f t="shared" si="69"/>
        <v>1.1709601873536313E-2</v>
      </c>
      <c r="G186" s="30">
        <f t="shared" si="69"/>
        <v>-6.944444444444442E-2</v>
      </c>
      <c r="H186" s="30">
        <f t="shared" si="69"/>
        <v>0.21890547263681581</v>
      </c>
      <c r="I186" s="30">
        <v>0.17</v>
      </c>
    </row>
    <row r="187" spans="1:9" x14ac:dyDescent="0.2">
      <c r="A187" s="33" t="s">
        <v>102</v>
      </c>
      <c r="B187" s="34" t="e">
        <f t="shared" si="70"/>
        <v>#DIV/0!</v>
      </c>
      <c r="C187" s="34">
        <f t="shared" si="69"/>
        <v>0.23410498858819695</v>
      </c>
      <c r="D187" s="34">
        <f t="shared" si="69"/>
        <v>0.11941875825627468</v>
      </c>
      <c r="E187" s="34">
        <f t="shared" si="69"/>
        <v>0.21170639603493036</v>
      </c>
      <c r="F187" s="34">
        <f t="shared" si="69"/>
        <v>0.20919361121932223</v>
      </c>
      <c r="G187" s="34">
        <f t="shared" si="69"/>
        <v>7.5869845360824639E-2</v>
      </c>
      <c r="H187" s="34">
        <f t="shared" si="69"/>
        <v>0.24120377301991325</v>
      </c>
      <c r="I187" s="34">
        <v>-0.13</v>
      </c>
    </row>
    <row r="188" spans="1:9" x14ac:dyDescent="0.2">
      <c r="A188" s="31" t="s">
        <v>113</v>
      </c>
      <c r="B188" s="66" t="e">
        <f t="shared" si="70"/>
        <v>#DIV/0!</v>
      </c>
      <c r="C188" s="30">
        <f t="shared" si="69"/>
        <v>0.28918650793650791</v>
      </c>
      <c r="D188" s="30">
        <f t="shared" si="69"/>
        <v>0.12350904193920731</v>
      </c>
      <c r="E188" s="30">
        <f t="shared" si="69"/>
        <v>0.19726027397260282</v>
      </c>
      <c r="F188" s="30">
        <f t="shared" si="69"/>
        <v>0.21910755148741412</v>
      </c>
      <c r="G188" s="30">
        <f t="shared" si="69"/>
        <v>8.7517597372125833E-2</v>
      </c>
      <c r="H188" s="30">
        <f t="shared" si="69"/>
        <v>0.24012944983818763</v>
      </c>
      <c r="I188" s="30">
        <v>-0.1</v>
      </c>
    </row>
    <row r="189" spans="1:9" x14ac:dyDescent="0.2">
      <c r="A189" s="31" t="s">
        <v>114</v>
      </c>
      <c r="B189" s="66" t="e">
        <f t="shared" si="70"/>
        <v>#DIV/0!</v>
      </c>
      <c r="C189" s="30">
        <f t="shared" si="69"/>
        <v>0.14054054054054044</v>
      </c>
      <c r="D189" s="30">
        <f t="shared" si="69"/>
        <v>0.12606635071090055</v>
      </c>
      <c r="E189" s="30">
        <f t="shared" si="69"/>
        <v>0.26936026936026947</v>
      </c>
      <c r="F189" s="30">
        <f t="shared" si="69"/>
        <v>0.19893899204244025</v>
      </c>
      <c r="G189" s="30">
        <f t="shared" si="69"/>
        <v>4.8672566371681381E-2</v>
      </c>
      <c r="H189" s="30">
        <f t="shared" si="69"/>
        <v>0.2378691983122363</v>
      </c>
      <c r="I189" s="30">
        <v>-0.21</v>
      </c>
    </row>
    <row r="190" spans="1:9" x14ac:dyDescent="0.2">
      <c r="A190" s="31" t="s">
        <v>115</v>
      </c>
      <c r="B190" s="66" t="e">
        <f t="shared" si="70"/>
        <v>#DIV/0!</v>
      </c>
      <c r="C190" s="30">
        <f t="shared" si="69"/>
        <v>3.9682539682539764E-2</v>
      </c>
      <c r="D190" s="30">
        <f t="shared" si="69"/>
        <v>-1.5267175572519109E-2</v>
      </c>
      <c r="E190" s="30">
        <f t="shared" si="69"/>
        <v>7.7519379844961378E-3</v>
      </c>
      <c r="F190" s="30">
        <f t="shared" si="69"/>
        <v>6.1538461538461542E-2</v>
      </c>
      <c r="G190" s="30">
        <f t="shared" si="69"/>
        <v>7.2463768115942129E-2</v>
      </c>
      <c r="H190" s="30">
        <f t="shared" si="69"/>
        <v>0.31756756756756754</v>
      </c>
      <c r="I190" s="30">
        <v>-0.06</v>
      </c>
    </row>
    <row r="191" spans="1:9" x14ac:dyDescent="0.2">
      <c r="A191" s="33" t="s">
        <v>106</v>
      </c>
      <c r="B191" s="34" t="e">
        <f t="shared" si="70"/>
        <v>#DIV/0!</v>
      </c>
      <c r="C191" s="34">
        <f t="shared" si="69"/>
        <v>-7.2211476466795599E-2</v>
      </c>
      <c r="D191" s="34">
        <f t="shared" si="69"/>
        <v>9.7289784572619942E-2</v>
      </c>
      <c r="E191" s="34">
        <f t="shared" si="69"/>
        <v>9.0563647878403986E-2</v>
      </c>
      <c r="F191" s="34">
        <f t="shared" si="69"/>
        <v>1.7034456058846237E-2</v>
      </c>
      <c r="G191" s="34">
        <f t="shared" si="69"/>
        <v>-4.3014845831747195E-2</v>
      </c>
      <c r="H191" s="34">
        <f t="shared" si="69"/>
        <v>6.2649164677804237E-2</v>
      </c>
      <c r="I191" s="34">
        <v>0.16</v>
      </c>
    </row>
    <row r="192" spans="1:9" x14ac:dyDescent="0.2">
      <c r="A192" s="31" t="s">
        <v>113</v>
      </c>
      <c r="B192" s="66" t="e">
        <f t="shared" si="70"/>
        <v>#DIV/0!</v>
      </c>
      <c r="C192" s="30">
        <f t="shared" si="69"/>
        <v>-5.269964435822827E-2</v>
      </c>
      <c r="D192" s="30">
        <f t="shared" si="69"/>
        <v>0.12116040955631391</v>
      </c>
      <c r="E192" s="30">
        <f t="shared" si="69"/>
        <v>8.8280060882800715E-2</v>
      </c>
      <c r="F192" s="30">
        <f t="shared" si="69"/>
        <v>1.3146853146853044E-2</v>
      </c>
      <c r="G192" s="30">
        <f t="shared" si="69"/>
        <v>-4.7763666482606326E-2</v>
      </c>
      <c r="H192" s="30">
        <f t="shared" si="69"/>
        <v>6.0887213685126174E-2</v>
      </c>
      <c r="I192" s="30">
        <v>0.17</v>
      </c>
    </row>
    <row r="193" spans="1:9" x14ac:dyDescent="0.2">
      <c r="A193" s="31" t="s">
        <v>114</v>
      </c>
      <c r="B193" s="66" t="e">
        <f t="shared" si="70"/>
        <v>#DIV/0!</v>
      </c>
      <c r="C193" s="30">
        <f t="shared" si="69"/>
        <v>-0.10640000000000005</v>
      </c>
      <c r="D193" s="30">
        <f t="shared" si="69"/>
        <v>6.0877350044762801E-2</v>
      </c>
      <c r="E193" s="30">
        <f t="shared" si="69"/>
        <v>0.13670886075949373</v>
      </c>
      <c r="F193" s="30">
        <f t="shared" si="69"/>
        <v>3.563474387527843E-2</v>
      </c>
      <c r="G193" s="30">
        <f t="shared" si="69"/>
        <v>-2.1505376344086002E-2</v>
      </c>
      <c r="H193" s="30">
        <f t="shared" si="69"/>
        <v>9.4505494505494614E-2</v>
      </c>
      <c r="I193" s="30">
        <v>0.12</v>
      </c>
    </row>
    <row r="194" spans="1:9" x14ac:dyDescent="0.2">
      <c r="A194" s="31" t="s">
        <v>115</v>
      </c>
      <c r="B194" s="66" t="e">
        <f t="shared" si="70"/>
        <v>#DIV/0!</v>
      </c>
      <c r="C194" s="30">
        <f t="shared" si="69"/>
        <v>-0.12903225806451613</v>
      </c>
      <c r="D194" s="30">
        <f t="shared" si="69"/>
        <v>-1.1111111111111072E-2</v>
      </c>
      <c r="E194" s="30">
        <f t="shared" si="69"/>
        <v>-8.6142322097378266E-2</v>
      </c>
      <c r="F194" s="30">
        <f t="shared" si="69"/>
        <v>-2.8688524590163911E-2</v>
      </c>
      <c r="G194" s="30">
        <f t="shared" si="69"/>
        <v>-9.7046413502109741E-2</v>
      </c>
      <c r="H194" s="30">
        <f t="shared" si="69"/>
        <v>-0.11214953271028039</v>
      </c>
      <c r="I194" s="30">
        <v>0.28000000000000003</v>
      </c>
    </row>
    <row r="195" spans="1:9" x14ac:dyDescent="0.2">
      <c r="A195" s="33" t="s">
        <v>107</v>
      </c>
      <c r="B195" s="34" t="e">
        <f t="shared" si="70"/>
        <v>#DIV/0!</v>
      </c>
      <c r="C195" s="34">
        <f t="shared" ref="C195:H197" si="71">C123/B123-1</f>
        <v>-0.36521739130434783</v>
      </c>
      <c r="D195" s="34">
        <f t="shared" si="71"/>
        <v>0</v>
      </c>
      <c r="E195" s="34">
        <f t="shared" si="71"/>
        <v>0.20547945205479445</v>
      </c>
      <c r="F195" s="34">
        <f t="shared" si="71"/>
        <v>-0.52272727272727271</v>
      </c>
      <c r="G195" s="34">
        <f t="shared" si="71"/>
        <v>-0.2857142857142857</v>
      </c>
      <c r="H195" s="34">
        <f t="shared" si="71"/>
        <v>-0.16666666666666663</v>
      </c>
      <c r="I195" s="34">
        <v>3.02</v>
      </c>
    </row>
    <row r="196" spans="1:9" x14ac:dyDescent="0.2">
      <c r="A196" s="35" t="s">
        <v>103</v>
      </c>
      <c r="B196" s="67" t="e">
        <f t="shared" si="70"/>
        <v>#DIV/0!</v>
      </c>
      <c r="C196" s="37">
        <f t="shared" si="71"/>
        <v>6.2924636772237807E-2</v>
      </c>
      <c r="D196" s="37">
        <f t="shared" si="71"/>
        <v>5.6577179008096445E-2</v>
      </c>
      <c r="E196" s="37">
        <f t="shared" si="71"/>
        <v>6.9866286104303121E-2</v>
      </c>
      <c r="F196" s="37">
        <f t="shared" si="71"/>
        <v>7.9251848629839028E-2</v>
      </c>
      <c r="G196" s="37">
        <f t="shared" si="71"/>
        <v>-4.4333387070772168E-2</v>
      </c>
      <c r="H196" s="37">
        <f t="shared" si="71"/>
        <v>0.18907444894286995</v>
      </c>
      <c r="I196" s="37">
        <v>0.06</v>
      </c>
    </row>
    <row r="197" spans="1:9" x14ac:dyDescent="0.2">
      <c r="A197" s="33" t="s">
        <v>104</v>
      </c>
      <c r="B197" s="67" t="e">
        <f t="shared" si="70"/>
        <v>#DIV/0!</v>
      </c>
      <c r="C197" s="34">
        <f t="shared" si="71"/>
        <v>-1.3622603430877955E-2</v>
      </c>
      <c r="D197" s="34">
        <f t="shared" si="71"/>
        <v>4.4501278772378416E-2</v>
      </c>
      <c r="E197" s="34">
        <f t="shared" si="71"/>
        <v>-7.6395690499510338E-2</v>
      </c>
      <c r="F197" s="34">
        <f t="shared" si="71"/>
        <v>1.0604453870625585E-2</v>
      </c>
      <c r="G197" s="34">
        <f t="shared" si="71"/>
        <v>-3.147953830010497E-2</v>
      </c>
      <c r="H197" s="34">
        <f t="shared" si="71"/>
        <v>0.19447453954496208</v>
      </c>
      <c r="I197" s="34">
        <v>7.0000000000000007E-2</v>
      </c>
    </row>
    <row r="198" spans="1:9" x14ac:dyDescent="0.2">
      <c r="A198" s="31" t="s">
        <v>113</v>
      </c>
      <c r="B198" s="67" t="e">
        <f t="shared" si="70"/>
        <v>#DIV/0!</v>
      </c>
      <c r="C198" s="68"/>
      <c r="D198" s="68"/>
      <c r="E198" s="68"/>
      <c r="F198" s="68"/>
      <c r="G198" s="68"/>
      <c r="H198" s="68"/>
      <c r="I198" s="30">
        <v>0.06</v>
      </c>
    </row>
    <row r="199" spans="1:9" x14ac:dyDescent="0.2">
      <c r="A199" s="31" t="s">
        <v>114</v>
      </c>
      <c r="B199" s="67" t="e">
        <f t="shared" si="70"/>
        <v>#DIV/0!</v>
      </c>
      <c r="C199" s="68"/>
      <c r="D199" s="68"/>
      <c r="E199" s="68"/>
      <c r="F199" s="68"/>
      <c r="G199" s="68"/>
      <c r="H199" s="68"/>
      <c r="I199" s="30">
        <v>-0.03</v>
      </c>
    </row>
    <row r="200" spans="1:9" x14ac:dyDescent="0.2">
      <c r="A200" s="31" t="s">
        <v>115</v>
      </c>
      <c r="B200" s="67" t="e">
        <f t="shared" si="70"/>
        <v>#DIV/0!</v>
      </c>
      <c r="C200" s="68"/>
      <c r="D200" s="68"/>
      <c r="E200" s="68"/>
      <c r="F200" s="68"/>
      <c r="G200" s="68"/>
      <c r="H200" s="68"/>
      <c r="I200" s="30">
        <v>-0.16</v>
      </c>
    </row>
    <row r="201" spans="1:9" x14ac:dyDescent="0.2">
      <c r="A201" s="31" t="s">
        <v>121</v>
      </c>
      <c r="B201" s="69"/>
      <c r="C201" s="68"/>
      <c r="D201" s="68"/>
      <c r="E201" s="68"/>
      <c r="F201" s="68"/>
      <c r="G201" s="68"/>
      <c r="H201" s="68"/>
      <c r="I201" s="30">
        <v>0.42</v>
      </c>
    </row>
    <row r="202" spans="1:9" x14ac:dyDescent="0.2">
      <c r="A202" s="29" t="s">
        <v>108</v>
      </c>
      <c r="B202" s="68"/>
      <c r="C202" s="30">
        <f>C130/B130-1</f>
        <v>4.8780487804878092E-2</v>
      </c>
      <c r="D202" s="30">
        <f t="shared" ref="D202:H202" si="72">D130/C130-1</f>
        <v>-1.8720930232558139</v>
      </c>
      <c r="E202" s="30">
        <f t="shared" si="72"/>
        <v>-0.65333333333333332</v>
      </c>
      <c r="F202" s="30">
        <f t="shared" si="72"/>
        <v>-1.2692307692307692</v>
      </c>
      <c r="G202" s="30">
        <f t="shared" si="72"/>
        <v>0.5714285714285714</v>
      </c>
      <c r="H202" s="30">
        <f t="shared" si="72"/>
        <v>-4.6363636363636367</v>
      </c>
      <c r="I202" s="30">
        <v>0</v>
      </c>
    </row>
    <row r="203" spans="1:9" ht="16" thickBot="1" x14ac:dyDescent="0.2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B3" sqref="B3:N1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>
        <f>I3*(1+4.88%)</f>
        <v>48989.447999999997</v>
      </c>
      <c r="K3" s="3">
        <f t="shared" ref="K3:N3" si="1">J3*(1+4.88%)</f>
        <v>51380.133062399997</v>
      </c>
      <c r="L3" s="3">
        <f t="shared" si="1"/>
        <v>53887.483555845116</v>
      </c>
      <c r="M3" s="3">
        <f t="shared" si="1"/>
        <v>56517.192753370357</v>
      </c>
      <c r="N3" s="3">
        <f t="shared" si="1"/>
        <v>59275.23175973483</v>
      </c>
      <c r="O3" t="s">
        <v>142</v>
      </c>
    </row>
    <row r="4" spans="1:15" x14ac:dyDescent="0.2">
      <c r="A4" s="42" t="s">
        <v>129</v>
      </c>
      <c r="B4" s="70">
        <f>B3/[1]Historicals!K125-1</f>
        <v>0.17191329656862742</v>
      </c>
      <c r="C4" s="71">
        <f>C3/B3-1</f>
        <v>5.8004640371229765E-2</v>
      </c>
      <c r="D4" s="71">
        <f t="shared" ref="D4:I4" si="2">D3/C3-1</f>
        <v>6.0971089696071123E-2</v>
      </c>
      <c r="E4" s="71">
        <f t="shared" si="2"/>
        <v>5.95924308588065E-2</v>
      </c>
      <c r="F4" s="71">
        <f t="shared" si="2"/>
        <v>7.4731433909388079E-2</v>
      </c>
      <c r="G4" s="71">
        <f t="shared" si="2"/>
        <v>-4.3817266150267153E-2</v>
      </c>
      <c r="H4" s="71">
        <f t="shared" si="2"/>
        <v>0.19076009945726269</v>
      </c>
      <c r="I4" s="71">
        <f t="shared" si="2"/>
        <v>4.8767344739323759E-2</v>
      </c>
      <c r="J4" s="47">
        <f>J3/I3-1</f>
        <v>4.8799999999999955E-2</v>
      </c>
      <c r="K4" s="47">
        <f t="shared" ref="K4:N4" si="3">K3/J3-1</f>
        <v>4.8799999999999955E-2</v>
      </c>
      <c r="L4" s="47">
        <f t="shared" si="3"/>
        <v>4.8799999999999955E-2</v>
      </c>
      <c r="M4" s="47">
        <f t="shared" si="3"/>
        <v>4.8799999999999955E-2</v>
      </c>
      <c r="N4" s="47">
        <f t="shared" si="3"/>
        <v>4.8799999999999955E-2</v>
      </c>
    </row>
    <row r="5" spans="1:15" x14ac:dyDescent="0.2">
      <c r="A5" s="41" t="s">
        <v>130</v>
      </c>
      <c r="B5">
        <f>B11+B8</f>
        <v>5423</v>
      </c>
      <c r="C5">
        <f t="shared" ref="C5:I5" si="4">C11+C8</f>
        <v>5977</v>
      </c>
      <c r="D5">
        <f t="shared" si="4"/>
        <v>5898</v>
      </c>
      <c r="E5">
        <f t="shared" si="4"/>
        <v>6272</v>
      </c>
      <c r="F5">
        <f t="shared" si="4"/>
        <v>7062</v>
      </c>
      <c r="G5">
        <f t="shared" si="4"/>
        <v>5367</v>
      </c>
      <c r="H5">
        <f t="shared" si="4"/>
        <v>9385</v>
      </c>
      <c r="I5">
        <f t="shared" si="4"/>
        <v>9123</v>
      </c>
      <c r="J5" s="72">
        <f>I5*(1-2.79%)</f>
        <v>8868.4683000000005</v>
      </c>
      <c r="K5" s="72">
        <f t="shared" ref="K5:N5" si="5">J5*(1-2.79%)</f>
        <v>8621.0380344299992</v>
      </c>
      <c r="L5" s="72">
        <f t="shared" si="5"/>
        <v>8380.5110732694011</v>
      </c>
      <c r="M5" s="72">
        <f t="shared" si="5"/>
        <v>8146.6948143251848</v>
      </c>
      <c r="N5" s="72">
        <f t="shared" si="5"/>
        <v>7919.4020290055114</v>
      </c>
      <c r="O5" t="s">
        <v>143</v>
      </c>
    </row>
    <row r="6" spans="1:15" x14ac:dyDescent="0.2">
      <c r="A6" s="42" t="s">
        <v>129</v>
      </c>
      <c r="B6" s="71">
        <f>B5/4266-1</f>
        <v>0.27121425222691053</v>
      </c>
      <c r="C6" s="71">
        <f>C5/B5-1</f>
        <v>0.10215747741102721</v>
      </c>
      <c r="D6" s="71">
        <f t="shared" ref="D6:I6" si="6">D5/C5-1</f>
        <v>-1.3217333110255969E-2</v>
      </c>
      <c r="E6" s="71">
        <f t="shared" si="6"/>
        <v>6.3411325873177438E-2</v>
      </c>
      <c r="F6" s="71">
        <f t="shared" si="6"/>
        <v>0.12595663265306123</v>
      </c>
      <c r="G6" s="71">
        <f t="shared" si="6"/>
        <v>-0.24001699235344098</v>
      </c>
      <c r="H6" s="71">
        <f t="shared" si="6"/>
        <v>0.74864915222656969</v>
      </c>
      <c r="I6" s="71">
        <f t="shared" si="6"/>
        <v>-2.7916888652104399E-2</v>
      </c>
      <c r="J6" s="47">
        <f>J5/I5-1</f>
        <v>-2.7899999999999925E-2</v>
      </c>
      <c r="K6" s="47">
        <f t="shared" ref="K6:N6" si="7">K5/J5-1</f>
        <v>-2.7900000000000147E-2</v>
      </c>
      <c r="L6" s="47">
        <f t="shared" si="7"/>
        <v>-2.7900000000000147E-2</v>
      </c>
      <c r="M6" s="47">
        <f t="shared" si="7"/>
        <v>-2.7900000000000036E-2</v>
      </c>
      <c r="N6" s="47">
        <f t="shared" si="7"/>
        <v>-2.7900000000000036E-2</v>
      </c>
    </row>
    <row r="7" spans="1:15" x14ac:dyDescent="0.2">
      <c r="A7" s="42" t="s">
        <v>131</v>
      </c>
      <c r="B7" s="71">
        <f>B5/B3</f>
        <v>0.1772164308355936</v>
      </c>
      <c r="C7" s="71">
        <f t="shared" ref="C7:I7" si="8">C5/C3</f>
        <v>0.1846120583148011</v>
      </c>
      <c r="D7" s="71">
        <f t="shared" si="8"/>
        <v>0.17170305676855896</v>
      </c>
      <c r="E7" s="71">
        <f t="shared" si="8"/>
        <v>0.17232189466164793</v>
      </c>
      <c r="F7" s="71">
        <f t="shared" si="8"/>
        <v>0.18053531712554644</v>
      </c>
      <c r="G7" s="71">
        <f t="shared" si="8"/>
        <v>0.14349116381038954</v>
      </c>
      <c r="H7" s="71">
        <f t="shared" si="8"/>
        <v>0.21071893663837621</v>
      </c>
      <c r="I7" s="71">
        <f t="shared" si="8"/>
        <v>0.19531149646756582</v>
      </c>
      <c r="J7" s="47">
        <f>J5/J3</f>
        <v>0.18102813283382987</v>
      </c>
      <c r="K7" s="47">
        <f t="shared" ref="K7:N7" si="9">K5/K3</f>
        <v>0.16778932868780128</v>
      </c>
      <c r="L7" s="47">
        <f t="shared" si="9"/>
        <v>0.15551869414322236</v>
      </c>
      <c r="M7" s="47">
        <f t="shared" si="9"/>
        <v>0.14414542579769876</v>
      </c>
      <c r="N7" s="47">
        <f t="shared" si="9"/>
        <v>0.13360389818644447</v>
      </c>
    </row>
    <row r="8" spans="1:15" x14ac:dyDescent="0.2">
      <c r="A8" s="41" t="s">
        <v>132</v>
      </c>
      <c r="B8">
        <v>606</v>
      </c>
      <c r="C8">
        <v>649</v>
      </c>
      <c r="D8">
        <v>706</v>
      </c>
      <c r="E8">
        <v>747</v>
      </c>
      <c r="F8">
        <v>705</v>
      </c>
      <c r="G8">
        <v>721</v>
      </c>
      <c r="H8">
        <v>744</v>
      </c>
      <c r="I8">
        <v>717</v>
      </c>
      <c r="J8" s="72">
        <f>I8*(1-3.63%)</f>
        <v>690.97289999999998</v>
      </c>
      <c r="K8" s="72">
        <f t="shared" ref="K8:N8" si="10">J8*(1-3.63%)</f>
        <v>665.89058373</v>
      </c>
      <c r="L8" s="72">
        <f t="shared" si="10"/>
        <v>641.71875554060102</v>
      </c>
      <c r="M8" s="72">
        <f t="shared" si="10"/>
        <v>618.42436471447718</v>
      </c>
      <c r="N8" s="72">
        <f t="shared" si="10"/>
        <v>595.97556027534165</v>
      </c>
      <c r="O8" t="s">
        <v>144</v>
      </c>
    </row>
    <row r="9" spans="1:15" x14ac:dyDescent="0.2">
      <c r="A9" s="42" t="s">
        <v>129</v>
      </c>
      <c r="B9" s="71">
        <f>B8/586-1</f>
        <v>3.4129692832764569E-2</v>
      </c>
      <c r="C9" s="71">
        <f>C8/B8-1</f>
        <v>7.0957095709570872E-2</v>
      </c>
      <c r="D9" s="71">
        <f t="shared" ref="D9:I9" si="11">D8/C8-1</f>
        <v>8.7827426810477727E-2</v>
      </c>
      <c r="E9" s="71">
        <f t="shared" si="11"/>
        <v>5.8073654390934815E-2</v>
      </c>
      <c r="F9" s="71">
        <f t="shared" si="11"/>
        <v>-5.6224899598393607E-2</v>
      </c>
      <c r="G9" s="71">
        <f t="shared" si="11"/>
        <v>2.2695035460992941E-2</v>
      </c>
      <c r="H9" s="71">
        <f t="shared" si="11"/>
        <v>3.1900138696255187E-2</v>
      </c>
      <c r="I9" s="71">
        <f t="shared" si="11"/>
        <v>-3.6290322580645129E-2</v>
      </c>
      <c r="J9" s="47">
        <f>J8/I8-1</f>
        <v>-3.6299999999999999E-2</v>
      </c>
      <c r="K9" s="47">
        <f t="shared" ref="K9:N9" si="12">K8/J8-1</f>
        <v>-3.6299999999999999E-2</v>
      </c>
      <c r="L9" s="47">
        <f t="shared" si="12"/>
        <v>-3.6299999999999999E-2</v>
      </c>
      <c r="M9" s="47">
        <f t="shared" si="12"/>
        <v>-3.6299999999999999E-2</v>
      </c>
      <c r="N9" s="47">
        <f t="shared" si="12"/>
        <v>-3.6299999999999999E-2</v>
      </c>
    </row>
    <row r="10" spans="1:15" x14ac:dyDescent="0.2">
      <c r="A10" s="42" t="s">
        <v>133</v>
      </c>
      <c r="B10" s="71">
        <f>B8/B3</f>
        <v>1.9803274402797295E-2</v>
      </c>
      <c r="C10" s="71">
        <f t="shared" ref="C10:I10" si="13">C8/C3</f>
        <v>2.0045712873733631E-2</v>
      </c>
      <c r="D10" s="71">
        <f t="shared" si="13"/>
        <v>2.0553129548762736E-2</v>
      </c>
      <c r="E10" s="71">
        <f t="shared" si="13"/>
        <v>2.0523669533203285E-2</v>
      </c>
      <c r="F10" s="71">
        <f t="shared" si="13"/>
        <v>1.8022854513382928E-2</v>
      </c>
      <c r="G10" s="71">
        <f t="shared" si="13"/>
        <v>1.9276528620698875E-2</v>
      </c>
      <c r="H10" s="71">
        <f t="shared" si="13"/>
        <v>1.6704836319547355E-2</v>
      </c>
      <c r="I10" s="71">
        <f t="shared" si="13"/>
        <v>1.5350032113037893E-2</v>
      </c>
      <c r="J10" s="47">
        <f>J8/J3</f>
        <v>1.4104525121409819E-2</v>
      </c>
      <c r="K10" s="47">
        <f t="shared" ref="K10:N10" si="14">K8/K3</f>
        <v>1.2960079004102443E-2</v>
      </c>
      <c r="L10" s="47">
        <f t="shared" si="14"/>
        <v>1.1908493646313431E-2</v>
      </c>
      <c r="M10" s="47">
        <f t="shared" si="14"/>
        <v>1.0942234293432735E-2</v>
      </c>
      <c r="N10" s="47">
        <f t="shared" si="14"/>
        <v>1.0054377563483149E-2</v>
      </c>
    </row>
    <row r="11" spans="1:15" x14ac:dyDescent="0.2">
      <c r="A11" s="41" t="s">
        <v>134</v>
      </c>
      <c r="B11">
        <v>4817</v>
      </c>
      <c r="C11">
        <v>5328</v>
      </c>
      <c r="D11">
        <v>5192</v>
      </c>
      <c r="E11">
        <v>5525</v>
      </c>
      <c r="F11">
        <v>6357</v>
      </c>
      <c r="G11">
        <v>4646</v>
      </c>
      <c r="H11">
        <v>8641</v>
      </c>
      <c r="I11">
        <v>8406</v>
      </c>
      <c r="J11" s="72">
        <f>I11*(1-2.72%)</f>
        <v>8177.3567999999996</v>
      </c>
      <c r="K11" s="72">
        <f t="shared" ref="K11:N11" si="15">J11*(1-2.72%)</f>
        <v>7954.93269504</v>
      </c>
      <c r="L11" s="72">
        <f t="shared" si="15"/>
        <v>7738.5585257349121</v>
      </c>
      <c r="M11" s="72">
        <f t="shared" si="15"/>
        <v>7528.0697338349228</v>
      </c>
      <c r="N11" s="72">
        <f t="shared" si="15"/>
        <v>7323.3062370746129</v>
      </c>
      <c r="O11" t="s">
        <v>145</v>
      </c>
    </row>
    <row r="12" spans="1:15" x14ac:dyDescent="0.2">
      <c r="A12" s="42" t="s">
        <v>129</v>
      </c>
      <c r="B12" s="73">
        <f>B11/3680-1</f>
        <v>0.3089673913043478</v>
      </c>
      <c r="C12" s="71">
        <f>C11/B11-1</f>
        <v>0.10608262403985891</v>
      </c>
      <c r="D12" s="71">
        <f t="shared" ref="D12:I12" si="16">D11/C11-1</f>
        <v>-2.5525525525525561E-2</v>
      </c>
      <c r="E12" s="71">
        <f t="shared" si="16"/>
        <v>6.4137134052388189E-2</v>
      </c>
      <c r="F12" s="71">
        <f t="shared" si="16"/>
        <v>0.15058823529411769</v>
      </c>
      <c r="G12" s="71">
        <f t="shared" si="16"/>
        <v>-0.26915211577788267</v>
      </c>
      <c r="H12" s="71">
        <f t="shared" si="16"/>
        <v>0.85987946620749023</v>
      </c>
      <c r="I12" s="71">
        <f t="shared" si="16"/>
        <v>-2.7195926397407755E-2</v>
      </c>
      <c r="J12" s="47">
        <f t="shared" ref="J12:N12" si="17">+IFERROR(J11/I11-1,"nm")</f>
        <v>-2.7200000000000002E-2</v>
      </c>
      <c r="K12" s="47">
        <f t="shared" si="17"/>
        <v>-2.7200000000000002E-2</v>
      </c>
      <c r="L12" s="47">
        <f t="shared" si="17"/>
        <v>-2.7200000000000002E-2</v>
      </c>
      <c r="M12" s="47">
        <f t="shared" si="17"/>
        <v>-2.7200000000000002E-2</v>
      </c>
      <c r="N12" s="47">
        <f t="shared" si="17"/>
        <v>-2.7200000000000002E-2</v>
      </c>
    </row>
    <row r="13" spans="1:15" x14ac:dyDescent="0.2">
      <c r="A13" s="42" t="s">
        <v>131</v>
      </c>
      <c r="B13" s="74">
        <f>B11/B3</f>
        <v>0.15741315643279633</v>
      </c>
      <c r="C13" s="74">
        <f t="shared" ref="C13:I13" si="18">C11/C3</f>
        <v>0.16456634544106746</v>
      </c>
      <c r="D13" s="74">
        <f t="shared" si="18"/>
        <v>0.15114992721979623</v>
      </c>
      <c r="E13" s="74">
        <f t="shared" si="18"/>
        <v>0.15179822512844465</v>
      </c>
      <c r="F13" s="74">
        <f t="shared" si="18"/>
        <v>0.16251246261216351</v>
      </c>
      <c r="G13" s="74">
        <f t="shared" si="18"/>
        <v>0.12421463518969067</v>
      </c>
      <c r="H13" s="74">
        <f t="shared" si="18"/>
        <v>0.19401410031882887</v>
      </c>
      <c r="I13" s="74">
        <f t="shared" si="18"/>
        <v>0.17996146435452795</v>
      </c>
      <c r="J13" s="47">
        <f t="shared" ref="J13:N13" si="19">+IFERROR(J11/J$3,"nm")</f>
        <v>0.16692077853173606</v>
      </c>
      <c r="K13" s="47">
        <f t="shared" si="19"/>
        <v>0.15482506994247983</v>
      </c>
      <c r="L13" s="47">
        <f t="shared" si="19"/>
        <v>0.14360586197563346</v>
      </c>
      <c r="M13" s="47">
        <f t="shared" si="19"/>
        <v>0.1331996400933412</v>
      </c>
      <c r="N13" s="47">
        <f t="shared" si="19"/>
        <v>0.12354749226049039</v>
      </c>
    </row>
    <row r="14" spans="1:15" x14ac:dyDescent="0.2">
      <c r="A14" s="41" t="s">
        <v>135</v>
      </c>
      <c r="B14" s="8">
        <f>[1]Historicals!B31-2834+[1]Historicals!B66</f>
        <v>64</v>
      </c>
      <c r="C14" s="8">
        <f>[1]Historicals!C31-[1]Historicals!B31+[1]Historicals!C66</f>
        <v>429</v>
      </c>
      <c r="D14" s="8">
        <f>[1]Historicals!D31-[1]Historicals!C31+[1]Historicals!D66</f>
        <v>196</v>
      </c>
      <c r="E14" s="8">
        <f>[1]Historicals!E31-[1]Historicals!D31+[1]Historicals!E66</f>
        <v>1112</v>
      </c>
      <c r="F14" s="8">
        <f>[1]Historicals!F31-[1]Historicals!E31+[1]Historicals!F66</f>
        <v>324</v>
      </c>
      <c r="G14" s="8">
        <f>[1]Historicals!G31-[1]Historicals!F31+[1]Historicals!G66</f>
        <v>-258</v>
      </c>
      <c r="H14" s="8">
        <f>[1]Historicals!H31-[1]Historicals!G31+[1]Historicals!H66</f>
        <v>782</v>
      </c>
      <c r="I14" s="8">
        <f>[1]Historicals!I31-[1]Historicals!H31+[1]Historicals!I66</f>
        <v>604</v>
      </c>
      <c r="J14" s="75">
        <f>604*(1-22.8%)</f>
        <v>466.28800000000001</v>
      </c>
      <c r="K14" s="75">
        <f>J14*(1-22.8%)</f>
        <v>359.97433599999999</v>
      </c>
      <c r="L14" s="75">
        <f t="shared" ref="L14:N14" si="20">K14*(1-22.8%)</f>
        <v>277.90018739200002</v>
      </c>
      <c r="M14" s="75">
        <f t="shared" si="20"/>
        <v>214.53894466662402</v>
      </c>
      <c r="N14" s="75">
        <f t="shared" si="20"/>
        <v>165.62406528263375</v>
      </c>
      <c r="O14" t="s">
        <v>146</v>
      </c>
    </row>
    <row r="15" spans="1:15" x14ac:dyDescent="0.2">
      <c r="A15" s="42" t="s">
        <v>129</v>
      </c>
      <c r="B15" s="71">
        <f>1.89%</f>
        <v>1.89E-2</v>
      </c>
      <c r="C15" s="70">
        <f>C14/B14-1</f>
        <v>5.703125</v>
      </c>
      <c r="D15" s="70">
        <f t="shared" ref="D15:I15" si="21">D14/C14-1</f>
        <v>-0.54312354312354305</v>
      </c>
      <c r="E15" s="70">
        <f t="shared" si="21"/>
        <v>4.6734693877551017</v>
      </c>
      <c r="F15" s="70">
        <f t="shared" si="21"/>
        <v>-0.70863309352517989</v>
      </c>
      <c r="G15" s="70">
        <f t="shared" si="21"/>
        <v>-1.7962962962962963</v>
      </c>
      <c r="H15" s="70">
        <f t="shared" si="21"/>
        <v>-4.0310077519379846</v>
      </c>
      <c r="I15" s="70">
        <f t="shared" si="21"/>
        <v>-0.22762148337595911</v>
      </c>
      <c r="J15" s="47">
        <f t="shared" ref="J15:N15" si="22">+IFERROR(J14/I14-1,"nm")</f>
        <v>-0.22799999999999998</v>
      </c>
      <c r="K15" s="47">
        <f t="shared" si="22"/>
        <v>-0.22799999999999998</v>
      </c>
      <c r="L15" s="47">
        <f t="shared" si="22"/>
        <v>-0.22799999999999998</v>
      </c>
      <c r="M15" s="47">
        <f t="shared" si="22"/>
        <v>-0.22799999999999998</v>
      </c>
      <c r="N15" s="47">
        <f t="shared" si="22"/>
        <v>-0.22799999999999998</v>
      </c>
    </row>
    <row r="16" spans="1:15" x14ac:dyDescent="0.2">
      <c r="A16" s="42" t="s">
        <v>133</v>
      </c>
      <c r="B16" s="71">
        <f>B14/B3</f>
        <v>2.091434920427437E-3</v>
      </c>
      <c r="C16" s="71">
        <f>C14/C3</f>
        <v>1.3250555967383247E-2</v>
      </c>
      <c r="D16" s="71">
        <f t="shared" ref="D16:I16" si="23">D14/D3</f>
        <v>5.7059679767103352E-3</v>
      </c>
      <c r="E16" s="71">
        <f t="shared" si="23"/>
        <v>3.055196856883809E-2</v>
      </c>
      <c r="F16" s="71">
        <f t="shared" si="23"/>
        <v>8.2828437763632183E-3</v>
      </c>
      <c r="G16" s="71">
        <f t="shared" si="23"/>
        <v>-6.8978424190572945E-3</v>
      </c>
      <c r="H16" s="71">
        <f t="shared" si="23"/>
        <v>1.7558040325115633E-2</v>
      </c>
      <c r="I16" s="71">
        <f t="shared" si="23"/>
        <v>1.2930849925069578E-2</v>
      </c>
      <c r="J16" s="47">
        <f t="shared" ref="J16:N16" si="24">+IFERROR(J14/J$3,"nm")</f>
        <v>9.518131333098508E-3</v>
      </c>
      <c r="K16" s="47">
        <f t="shared" si="24"/>
        <v>7.0060997226850186E-3</v>
      </c>
      <c r="L16" s="47">
        <f t="shared" si="24"/>
        <v>5.1570451810763109E-3</v>
      </c>
      <c r="M16" s="47">
        <f t="shared" si="24"/>
        <v>3.7959943552544929E-3</v>
      </c>
      <c r="N16" s="47">
        <f t="shared" si="24"/>
        <v>2.7941529769798519E-3</v>
      </c>
    </row>
    <row r="17" spans="1:15" x14ac:dyDescent="0.2">
      <c r="A17" s="9" t="s">
        <v>141</v>
      </c>
      <c r="B17" s="8">
        <f>[2]Historicals!B31</f>
        <v>3011</v>
      </c>
      <c r="C17" s="8">
        <f>[2]Historicals!C31</f>
        <v>3520</v>
      </c>
      <c r="D17" s="8">
        <f>[2]Historicals!D31</f>
        <v>3989</v>
      </c>
      <c r="E17" s="8">
        <f>[2]Historicals!E31</f>
        <v>4454</v>
      </c>
      <c r="F17" s="8">
        <f>[2]Historicals!F31</f>
        <v>4744</v>
      </c>
      <c r="G17" s="8">
        <f>[2]Historicals!G31</f>
        <v>4866</v>
      </c>
      <c r="H17" s="8">
        <f>[2]Historicals!H31</f>
        <v>4904</v>
      </c>
      <c r="I17" s="8">
        <f>[2]Historicals!I31</f>
        <v>4791</v>
      </c>
      <c r="J17" s="72">
        <f>I17*(1-2.3%)</f>
        <v>4680.8069999999998</v>
      </c>
      <c r="K17" s="72">
        <f t="shared" ref="K17:N17" si="25">J17*(1-2.3%)</f>
        <v>4573.1484389999996</v>
      </c>
      <c r="L17" s="72">
        <f t="shared" si="25"/>
        <v>4467.9660249029994</v>
      </c>
      <c r="M17" s="72">
        <f t="shared" si="25"/>
        <v>4365.2028063302305</v>
      </c>
      <c r="N17" s="72">
        <f t="shared" si="25"/>
        <v>4264.803141784635</v>
      </c>
      <c r="O17" t="s">
        <v>147</v>
      </c>
    </row>
    <row r="18" spans="1:15" x14ac:dyDescent="0.2">
      <c r="A18" s="42" t="s">
        <v>129</v>
      </c>
      <c r="B18" s="47" t="e">
        <f>B17/B54-1</f>
        <v>#DIV/0!</v>
      </c>
      <c r="C18" s="47">
        <f>C17/B17-1</f>
        <v>0.16904682829624718</v>
      </c>
      <c r="D18" s="47">
        <f t="shared" ref="D18:I18" si="26">D17/C17-1</f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 t="shared" si="26"/>
        <v>-2.3042414355628038E-2</v>
      </c>
      <c r="J18" s="47">
        <f>J17/I17-1</f>
        <v>-2.300000000000002E-2</v>
      </c>
      <c r="K18" s="47">
        <f t="shared" ref="K18:N18" si="27">K17/J17-1</f>
        <v>-2.300000000000002E-2</v>
      </c>
      <c r="L18" s="47">
        <f t="shared" si="27"/>
        <v>-2.300000000000002E-2</v>
      </c>
      <c r="M18" s="47">
        <f t="shared" si="27"/>
        <v>-2.300000000000002E-2</v>
      </c>
      <c r="N18" s="47">
        <f t="shared" si="27"/>
        <v>-2.300000000000002E-2</v>
      </c>
    </row>
    <row r="19" spans="1:15" x14ac:dyDescent="0.2">
      <c r="A19" s="42" t="s">
        <v>133</v>
      </c>
      <c r="B19" s="47">
        <f>B17/B3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>J17/J3</f>
        <v>9.5547249277027985E-2</v>
      </c>
      <c r="K19" s="47">
        <f t="shared" ref="K19:N19" si="29">K17/K3</f>
        <v>8.9006161845591472E-2</v>
      </c>
      <c r="L19" s="47">
        <f t="shared" si="29"/>
        <v>8.291287197096002E-2</v>
      </c>
      <c r="M19" s="47">
        <f t="shared" si="29"/>
        <v>7.7236723794458367E-2</v>
      </c>
      <c r="N19" s="47">
        <f t="shared" si="29"/>
        <v>7.1949160132709591E-2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2">
      <c r="A22" s="44" t="s">
        <v>129</v>
      </c>
      <c r="B22" s="47" t="str">
        <f t="shared" ref="B22:H22" si="30">+IFERROR(B21/A21-1,"nm")</f>
        <v>nm</v>
      </c>
      <c r="C22" s="47">
        <f t="shared" si="30"/>
        <v>7.4526928675400228E-2</v>
      </c>
      <c r="D22" s="47">
        <f t="shared" si="30"/>
        <v>3.0615009482525046E-2</v>
      </c>
      <c r="E22" s="47">
        <f t="shared" si="30"/>
        <v>-2.372502628811779E-2</v>
      </c>
      <c r="F22" s="47">
        <f t="shared" si="30"/>
        <v>7.0481319421070276E-2</v>
      </c>
      <c r="G22" s="47">
        <f t="shared" si="30"/>
        <v>-8.9171173437303519E-2</v>
      </c>
      <c r="H22" s="47">
        <f t="shared" si="30"/>
        <v>0.18606738470035911</v>
      </c>
      <c r="I22" s="47">
        <f t="shared" ref="I22:N22" si="31">+IFERROR(I21/H21-1,"nm")</f>
        <v>6.8339251411607238E-2</v>
      </c>
      <c r="J22" s="47">
        <f t="shared" si="31"/>
        <v>0</v>
      </c>
      <c r="K22" s="47">
        <f t="shared" si="31"/>
        <v>0</v>
      </c>
      <c r="L22" s="47">
        <f t="shared" si="31"/>
        <v>0</v>
      </c>
      <c r="M22" s="47">
        <f t="shared" si="31"/>
        <v>0</v>
      </c>
      <c r="N22" s="47">
        <f t="shared" si="31"/>
        <v>0</v>
      </c>
    </row>
    <row r="23" spans="1:15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2">
      <c r="A24" s="44" t="s">
        <v>129</v>
      </c>
      <c r="B24" s="47" t="str">
        <f t="shared" ref="B24:I24" si="32">+IFERROR(B23/A23-1,"nm")</f>
        <v>nm</v>
      </c>
      <c r="C24" s="47">
        <f t="shared" si="32"/>
        <v>9.3228309428638578E-2</v>
      </c>
      <c r="D24" s="47">
        <f t="shared" si="32"/>
        <v>4.1402301322722934E-2</v>
      </c>
      <c r="E24" s="47">
        <f t="shared" si="32"/>
        <v>-3.7381247418422192E-2</v>
      </c>
      <c r="F24" s="47">
        <f t="shared" si="32"/>
        <v>7.755846384895948E-2</v>
      </c>
      <c r="G24" s="47">
        <f t="shared" si="32"/>
        <v>-7.1279243404678949E-2</v>
      </c>
      <c r="H24" s="47">
        <f t="shared" si="32"/>
        <v>0.24815092721620746</v>
      </c>
      <c r="I24" s="47">
        <f t="shared" si="32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 x14ac:dyDescent="0.2">
      <c r="A25" s="44" t="s">
        <v>137</v>
      </c>
      <c r="B25" s="47" t="e">
        <f>+Historicals!B180</f>
        <v>#DIV/0!</v>
      </c>
      <c r="C25" s="47">
        <f>+Historicals!C180</f>
        <v>9.3228309428638578E-2</v>
      </c>
      <c r="D25" s="47">
        <f>+Historicals!D180</f>
        <v>4.1402301322722934E-2</v>
      </c>
      <c r="E25" s="47">
        <f>+Historicals!E180</f>
        <v>-3.7381247418422192E-2</v>
      </c>
      <c r="F25" s="47">
        <f>+Historicals!F180</f>
        <v>7.755846384895948E-2</v>
      </c>
      <c r="G25" s="47">
        <f>+Historicals!G180</f>
        <v>-7.1279243404678949E-2</v>
      </c>
      <c r="H25" s="47">
        <f>+Historicals!H180</f>
        <v>0.24815092721620746</v>
      </c>
      <c r="I25" s="47">
        <f>+Historicals!I180</f>
        <v>0.05</v>
      </c>
      <c r="J25" s="49">
        <v>0</v>
      </c>
      <c r="K25" s="49">
        <f t="shared" ref="K25:N26" si="33">+J25</f>
        <v>0</v>
      </c>
      <c r="L25" s="49">
        <f t="shared" si="33"/>
        <v>0</v>
      </c>
      <c r="M25" s="49">
        <f t="shared" si="33"/>
        <v>0</v>
      </c>
      <c r="N25" s="49">
        <f t="shared" si="33"/>
        <v>0</v>
      </c>
    </row>
    <row r="26" spans="1:15" x14ac:dyDescent="0.2">
      <c r="A26" s="44" t="s">
        <v>138</v>
      </c>
      <c r="B26" s="47" t="str">
        <f t="shared" ref="B26:H26" si="34">+IFERROR(B24-B25,"nm")</f>
        <v>nm</v>
      </c>
      <c r="C26" s="47">
        <f t="shared" si="34"/>
        <v>0</v>
      </c>
      <c r="D26" s="47">
        <f t="shared" si="34"/>
        <v>0</v>
      </c>
      <c r="E26" s="47">
        <f t="shared" si="34"/>
        <v>0</v>
      </c>
      <c r="F26" s="47">
        <f t="shared" si="34"/>
        <v>0</v>
      </c>
      <c r="G26" s="47">
        <f t="shared" si="34"/>
        <v>0</v>
      </c>
      <c r="H26" s="47">
        <f t="shared" si="34"/>
        <v>0</v>
      </c>
      <c r="I26" s="47">
        <f>+IFERROR(I24-I25,"nm")</f>
        <v>1.5458605290268046E-4</v>
      </c>
      <c r="J26" s="49">
        <v>0</v>
      </c>
      <c r="K26" s="49">
        <f t="shared" si="33"/>
        <v>0</v>
      </c>
      <c r="L26" s="49">
        <f t="shared" si="33"/>
        <v>0</v>
      </c>
      <c r="M26" s="49">
        <f t="shared" si="33"/>
        <v>0</v>
      </c>
      <c r="N26" s="49">
        <f t="shared" si="33"/>
        <v>0</v>
      </c>
    </row>
    <row r="27" spans="1:15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2">
      <c r="A28" s="44" t="s">
        <v>129</v>
      </c>
      <c r="B28" s="47" t="str">
        <f t="shared" ref="B28:I28" si="35">+IFERROR(B27/A27-1,"nm")</f>
        <v>nm</v>
      </c>
      <c r="C28" s="47">
        <f t="shared" si="35"/>
        <v>7.6190476190476142E-2</v>
      </c>
      <c r="D28" s="47">
        <f t="shared" si="35"/>
        <v>2.9498525073746285E-2</v>
      </c>
      <c r="E28" s="47">
        <f t="shared" si="35"/>
        <v>1.0642652476463343E-2</v>
      </c>
      <c r="F28" s="47">
        <f t="shared" si="35"/>
        <v>6.5208586472256025E-2</v>
      </c>
      <c r="G28" s="47">
        <f t="shared" si="35"/>
        <v>-0.11806083650190113</v>
      </c>
      <c r="H28" s="47">
        <f t="shared" si="35"/>
        <v>8.3854278939426541E-2</v>
      </c>
      <c r="I28" s="47">
        <f t="shared" si="35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 x14ac:dyDescent="0.2">
      <c r="A29" s="44" t="s">
        <v>137</v>
      </c>
      <c r="B29" s="47" t="e">
        <f>+Historicals!B184</f>
        <v>#DIV/0!</v>
      </c>
      <c r="C29" s="47">
        <f>+Historicals!C184</f>
        <v>7.2294280246651077E-2</v>
      </c>
      <c r="D29" s="47">
        <f>+Historicals!D184</f>
        <v>2.9545905215149659E-2</v>
      </c>
      <c r="E29" s="47">
        <f>+Historicals!E184</f>
        <v>0.1315485362095532</v>
      </c>
      <c r="F29" s="47">
        <f>+Historicals!F184</f>
        <v>7.1148936170212673E-2</v>
      </c>
      <c r="G29" s="47">
        <f>+Historicals!G184</f>
        <v>-6.3721595423486432E-2</v>
      </c>
      <c r="H29" s="47">
        <f>+Historicals!H184</f>
        <v>0.18295994568907004</v>
      </c>
      <c r="I29" s="47">
        <f>+Historicals!I184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2">
      <c r="A30" s="44" t="s">
        <v>138</v>
      </c>
      <c r="B30" s="47" t="str">
        <f t="shared" ref="B30:I30" si="37">+IFERROR(B28-B29,"nm")</f>
        <v>nm</v>
      </c>
      <c r="C30" s="47">
        <f t="shared" si="37"/>
        <v>3.8961959438250648E-3</v>
      </c>
      <c r="D30" s="47">
        <f t="shared" si="37"/>
        <v>-4.7380141403374765E-5</v>
      </c>
      <c r="E30" s="47">
        <f t="shared" si="37"/>
        <v>-0.12090588373308986</v>
      </c>
      <c r="F30" s="47">
        <f t="shared" si="37"/>
        <v>-5.9403496979566484E-3</v>
      </c>
      <c r="G30" s="47">
        <f t="shared" si="37"/>
        <v>-5.4339241078414702E-2</v>
      </c>
      <c r="H30" s="47">
        <f t="shared" si="37"/>
        <v>-9.9105666749643495E-2</v>
      </c>
      <c r="I30" s="47">
        <f t="shared" si="37"/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2">
      <c r="A32" s="44" t="s">
        <v>129</v>
      </c>
      <c r="B32" s="47" t="str">
        <f t="shared" ref="B32:I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 t="shared" si="38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 x14ac:dyDescent="0.2">
      <c r="A33" s="44" t="s">
        <v>137</v>
      </c>
      <c r="B33" s="47" t="e">
        <f>+Historicals!B182</f>
        <v>#DIV/0!</v>
      </c>
      <c r="C33" s="47">
        <f>+Historicals!C182</f>
        <v>-0.12742718446601942</v>
      </c>
      <c r="D33" s="47">
        <f>+Historicals!D182</f>
        <v>-0.10152990264255912</v>
      </c>
      <c r="E33" s="47">
        <f>+Historicals!E182</f>
        <v>-7.8947368421052655E-2</v>
      </c>
      <c r="F33" s="47">
        <f>+Historicals!F182</f>
        <v>3.3613445378151141E-3</v>
      </c>
      <c r="G33" s="47">
        <f>+Historicals!G182</f>
        <v>-0.13567839195979903</v>
      </c>
      <c r="H33" s="47">
        <f>+Historicals!H182</f>
        <v>-1.744186046511631E-2</v>
      </c>
      <c r="I33" s="47">
        <f>+Historicals!I182</f>
        <v>0.25</v>
      </c>
      <c r="J33" s="49">
        <v>0</v>
      </c>
      <c r="K33" s="49">
        <f t="shared" ref="K33:N34" si="39">+J33</f>
        <v>0</v>
      </c>
      <c r="L33" s="49">
        <f t="shared" si="39"/>
        <v>0</v>
      </c>
      <c r="M33" s="49">
        <f t="shared" si="39"/>
        <v>0</v>
      </c>
      <c r="N33" s="49">
        <f t="shared" si="39"/>
        <v>0</v>
      </c>
    </row>
    <row r="34" spans="1:14" x14ac:dyDescent="0.2">
      <c r="A34" s="44" t="s">
        <v>138</v>
      </c>
      <c r="B34" s="47" t="str">
        <f t="shared" ref="B34:I34" si="40">+IFERROR(B32-B33,"nm")</f>
        <v>nm</v>
      </c>
      <c r="C34" s="47">
        <f t="shared" si="40"/>
        <v>0</v>
      </c>
      <c r="D34" s="47">
        <f t="shared" si="40"/>
        <v>0</v>
      </c>
      <c r="E34" s="47">
        <f t="shared" si="40"/>
        <v>0</v>
      </c>
      <c r="F34" s="47">
        <f t="shared" si="40"/>
        <v>0</v>
      </c>
      <c r="G34" s="47">
        <f t="shared" si="40"/>
        <v>0</v>
      </c>
      <c r="H34" s="47">
        <f t="shared" si="40"/>
        <v>0</v>
      </c>
      <c r="I34" s="47">
        <f t="shared" si="40"/>
        <v>-1.4792899408284654E-3</v>
      </c>
      <c r="J34" s="49">
        <v>0</v>
      </c>
      <c r="K34" s="49">
        <f t="shared" si="39"/>
        <v>0</v>
      </c>
      <c r="L34" s="49">
        <f t="shared" si="39"/>
        <v>0</v>
      </c>
      <c r="M34" s="49">
        <f t="shared" si="39"/>
        <v>0</v>
      </c>
      <c r="N34" s="49">
        <f t="shared" si="39"/>
        <v>0</v>
      </c>
    </row>
    <row r="35" spans="1:14" x14ac:dyDescent="0.2">
      <c r="A35" s="9" t="s">
        <v>130</v>
      </c>
      <c r="B35" s="48">
        <f t="shared" ref="B35:H35" si="41">+B42+B38</f>
        <v>3766</v>
      </c>
      <c r="C35" s="48">
        <f t="shared" si="41"/>
        <v>3896</v>
      </c>
      <c r="D35" s="48">
        <f t="shared" si="41"/>
        <v>4015</v>
      </c>
      <c r="E35" s="48">
        <f t="shared" si="41"/>
        <v>3760</v>
      </c>
      <c r="F35" s="48">
        <f t="shared" si="41"/>
        <v>4074</v>
      </c>
      <c r="G35" s="48">
        <f t="shared" si="41"/>
        <v>3047</v>
      </c>
      <c r="H35" s="48">
        <f t="shared" si="41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2">
      <c r="A36" s="46" t="s">
        <v>129</v>
      </c>
      <c r="B36" s="47" t="str">
        <f t="shared" ref="B36:N36" si="42">+IFERROR(B35/A35-1,"nm")</f>
        <v>nm</v>
      </c>
      <c r="C36" s="47">
        <f t="shared" si="42"/>
        <v>3.4519383961763239E-2</v>
      </c>
      <c r="D36" s="47">
        <f t="shared" si="42"/>
        <v>3.0544147843942548E-2</v>
      </c>
      <c r="E36" s="47">
        <f t="shared" si="42"/>
        <v>-6.3511830635118338E-2</v>
      </c>
      <c r="F36" s="47">
        <f t="shared" si="42"/>
        <v>8.3510638297872308E-2</v>
      </c>
      <c r="G36" s="47">
        <f t="shared" si="42"/>
        <v>-0.25208640157093765</v>
      </c>
      <c r="H36" s="47">
        <f t="shared" si="42"/>
        <v>0.71283229405973092</v>
      </c>
      <c r="I36" s="47">
        <f t="shared" si="42"/>
        <v>3.6405441655489312E-3</v>
      </c>
      <c r="J36" s="47">
        <f t="shared" si="42"/>
        <v>0</v>
      </c>
      <c r="K36" s="47">
        <f t="shared" si="42"/>
        <v>0</v>
      </c>
      <c r="L36" s="47">
        <f t="shared" si="42"/>
        <v>0</v>
      </c>
      <c r="M36" s="47">
        <f t="shared" si="42"/>
        <v>0</v>
      </c>
      <c r="N36" s="47">
        <f t="shared" si="42"/>
        <v>0</v>
      </c>
    </row>
    <row r="37" spans="1:14" x14ac:dyDescent="0.2">
      <c r="A37" s="46" t="s">
        <v>131</v>
      </c>
      <c r="B37" s="47">
        <f t="shared" ref="B37:H37" si="43">+IFERROR(B35/B$21,"nm")</f>
        <v>0.27409024745269289</v>
      </c>
      <c r="C37" s="47">
        <f t="shared" si="43"/>
        <v>0.26388512598211866</v>
      </c>
      <c r="D37" s="47">
        <f t="shared" si="43"/>
        <v>0.26386698212407994</v>
      </c>
      <c r="E37" s="47">
        <f t="shared" si="43"/>
        <v>0.25311342982160889</v>
      </c>
      <c r="F37" s="47">
        <f t="shared" si="43"/>
        <v>0.25619418941013711</v>
      </c>
      <c r="G37" s="47">
        <f t="shared" si="43"/>
        <v>0.2103700635183651</v>
      </c>
      <c r="H37" s="47">
        <f t="shared" si="4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2">
      <c r="A39" s="46" t="s">
        <v>129</v>
      </c>
      <c r="B39" s="47" t="str">
        <f t="shared" ref="B39:N39" si="44">+IFERROR(B38/A38-1,"nm")</f>
        <v>nm</v>
      </c>
      <c r="C39" s="47">
        <f t="shared" si="44"/>
        <v>9.9173553719008156E-2</v>
      </c>
      <c r="D39" s="47">
        <f t="shared" si="44"/>
        <v>5.2631578947368363E-2</v>
      </c>
      <c r="E39" s="47">
        <f t="shared" si="44"/>
        <v>0.14285714285714279</v>
      </c>
      <c r="F39" s="47">
        <f t="shared" si="44"/>
        <v>-6.8749999999999978E-2</v>
      </c>
      <c r="G39" s="47">
        <f t="shared" si="44"/>
        <v>-6.7114093959731447E-3</v>
      </c>
      <c r="H39" s="47">
        <f t="shared" si="44"/>
        <v>-0.1216216216216216</v>
      </c>
      <c r="I39" s="47">
        <f t="shared" si="44"/>
        <v>-4.6153846153846101E-2</v>
      </c>
      <c r="J39" s="47">
        <f t="shared" si="44"/>
        <v>2.2204460492503131E-16</v>
      </c>
      <c r="K39" s="47">
        <f t="shared" si="44"/>
        <v>0</v>
      </c>
      <c r="L39" s="47">
        <f t="shared" si="44"/>
        <v>0</v>
      </c>
      <c r="M39" s="47">
        <f t="shared" si="44"/>
        <v>0</v>
      </c>
      <c r="N39" s="47">
        <f t="shared" si="44"/>
        <v>0</v>
      </c>
    </row>
    <row r="40" spans="1:14" x14ac:dyDescent="0.2">
      <c r="A40" s="46" t="s">
        <v>133</v>
      </c>
      <c r="B40" s="47">
        <f t="shared" ref="B40:H40" si="45">+IFERROR(B38/B$21,"nm")</f>
        <v>8.8064046579330417E-3</v>
      </c>
      <c r="C40" s="47">
        <f t="shared" si="45"/>
        <v>9.0083988079111346E-3</v>
      </c>
      <c r="D40" s="47">
        <f t="shared" si="45"/>
        <v>9.2008412197686646E-3</v>
      </c>
      <c r="E40" s="47">
        <f t="shared" si="45"/>
        <v>1.0770784247728038E-2</v>
      </c>
      <c r="F40" s="47">
        <f t="shared" si="45"/>
        <v>9.3698905798012821E-3</v>
      </c>
      <c r="G40" s="47">
        <f t="shared" si="45"/>
        <v>1.0218171775752554E-2</v>
      </c>
      <c r="H40" s="47">
        <f t="shared" si="45"/>
        <v>7.5673787764130628E-3</v>
      </c>
      <c r="I40" s="47">
        <f t="shared" ref="I40:N40" si="46">+IFERROR(I38/I$21,"nm")</f>
        <v>6.7563886013185855E-3</v>
      </c>
      <c r="J40" s="47">
        <f t="shared" si="46"/>
        <v>6.7563886013185864E-3</v>
      </c>
      <c r="K40" s="47">
        <f t="shared" si="46"/>
        <v>6.7563886013185864E-3</v>
      </c>
      <c r="L40" s="47">
        <f t="shared" si="46"/>
        <v>6.7563886013185864E-3</v>
      </c>
      <c r="M40" s="47">
        <f t="shared" si="46"/>
        <v>6.7563886013185864E-3</v>
      </c>
      <c r="N40" s="47">
        <f t="shared" si="46"/>
        <v>6.7563886013185864E-3</v>
      </c>
    </row>
    <row r="41" spans="1:14" x14ac:dyDescent="0.2">
      <c r="A41" s="46" t="s">
        <v>140</v>
      </c>
      <c r="B41" s="47">
        <f t="shared" ref="B41:H41" si="47">+IFERROR(B38/B48,"nm")</f>
        <v>0.19145569620253164</v>
      </c>
      <c r="C41" s="47">
        <f t="shared" si="47"/>
        <v>0.17924528301886791</v>
      </c>
      <c r="D41" s="47">
        <f t="shared" si="47"/>
        <v>0.17094017094017094</v>
      </c>
      <c r="E41" s="47">
        <f t="shared" si="47"/>
        <v>0.18867924528301888</v>
      </c>
      <c r="F41" s="47">
        <f t="shared" si="47"/>
        <v>0.18304668304668303</v>
      </c>
      <c r="G41" s="47">
        <f t="shared" si="47"/>
        <v>0.22945736434108527</v>
      </c>
      <c r="H41" s="47">
        <f t="shared" si="4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">
      <c r="A43" s="46" t="s">
        <v>129</v>
      </c>
      <c r="B43" s="47" t="str">
        <f t="shared" ref="B43:N43" si="48">+IFERROR(B42/A42-1,"nm")</f>
        <v>nm</v>
      </c>
      <c r="C43" s="47">
        <f t="shared" si="48"/>
        <v>3.2373113854595292E-2</v>
      </c>
      <c r="D43" s="47">
        <f t="shared" si="48"/>
        <v>2.9763486579856391E-2</v>
      </c>
      <c r="E43" s="47">
        <f t="shared" si="48"/>
        <v>-7.096774193548383E-2</v>
      </c>
      <c r="F43" s="47">
        <f t="shared" si="48"/>
        <v>9.0277777777777679E-2</v>
      </c>
      <c r="G43" s="47">
        <f t="shared" si="48"/>
        <v>-0.26140127388535028</v>
      </c>
      <c r="H43" s="47">
        <f t="shared" si="48"/>
        <v>0.75543290789927564</v>
      </c>
      <c r="I43" s="47">
        <f t="shared" si="48"/>
        <v>4.9125564943997002E-3</v>
      </c>
      <c r="J43" s="47">
        <f t="shared" si="48"/>
        <v>0</v>
      </c>
      <c r="K43" s="47">
        <f t="shared" si="48"/>
        <v>0</v>
      </c>
      <c r="L43" s="47">
        <f t="shared" si="48"/>
        <v>0</v>
      </c>
      <c r="M43" s="47">
        <f t="shared" si="48"/>
        <v>0</v>
      </c>
      <c r="N43" s="47">
        <f t="shared" si="48"/>
        <v>0</v>
      </c>
    </row>
    <row r="44" spans="1:14" x14ac:dyDescent="0.2">
      <c r="A44" s="46" t="s">
        <v>131</v>
      </c>
      <c r="B44" s="47">
        <f t="shared" ref="B44:H44" si="49">+IFERROR(B42/B$21,"nm")</f>
        <v>0.26528384279475981</v>
      </c>
      <c r="C44" s="47">
        <f t="shared" si="49"/>
        <v>0.25487672717420751</v>
      </c>
      <c r="D44" s="47">
        <f t="shared" si="49"/>
        <v>0.25466614090431128</v>
      </c>
      <c r="E44" s="47">
        <f t="shared" si="49"/>
        <v>0.24234264557388085</v>
      </c>
      <c r="F44" s="47">
        <f t="shared" si="49"/>
        <v>0.2468242988303358</v>
      </c>
      <c r="G44" s="47">
        <f t="shared" si="49"/>
        <v>0.20015189174261253</v>
      </c>
      <c r="H44" s="47">
        <f t="shared" si="49"/>
        <v>0.29623377379358518</v>
      </c>
      <c r="I44" s="47">
        <f t="shared" ref="I44:N44" si="50">+IFERROR(I42/I$21,"nm")</f>
        <v>0.27864654279954232</v>
      </c>
      <c r="J44" s="47">
        <f t="shared" si="50"/>
        <v>0.27864654279954232</v>
      </c>
      <c r="K44" s="47">
        <f t="shared" si="50"/>
        <v>0.27864654279954232</v>
      </c>
      <c r="L44" s="47">
        <f t="shared" si="50"/>
        <v>0.27864654279954232</v>
      </c>
      <c r="M44" s="47">
        <f t="shared" si="50"/>
        <v>0.27864654279954232</v>
      </c>
      <c r="N44" s="47">
        <f t="shared" si="50"/>
        <v>0.27864654279954232</v>
      </c>
    </row>
    <row r="45" spans="1:14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2">
      <c r="A46" s="46" t="s">
        <v>129</v>
      </c>
      <c r="B46" s="47" t="str">
        <f t="shared" ref="B46:N46" si="51">+IFERROR(B45/A45-1,"nm")</f>
        <v>nm</v>
      </c>
      <c r="C46" s="47">
        <f t="shared" si="51"/>
        <v>0.16346153846153855</v>
      </c>
      <c r="D46" s="47">
        <f t="shared" si="51"/>
        <v>-7.8512396694214837E-2</v>
      </c>
      <c r="E46" s="47">
        <f t="shared" si="51"/>
        <v>-0.12107623318385652</v>
      </c>
      <c r="F46" s="47">
        <f t="shared" si="51"/>
        <v>-0.40306122448979587</v>
      </c>
      <c r="G46" s="47">
        <f t="shared" si="51"/>
        <v>-5.9829059829059839E-2</v>
      </c>
      <c r="H46" s="47">
        <f t="shared" si="51"/>
        <v>-0.10909090909090913</v>
      </c>
      <c r="I46" s="47">
        <f t="shared" si="51"/>
        <v>0.48979591836734704</v>
      </c>
      <c r="J46" s="47">
        <f t="shared" si="51"/>
        <v>0</v>
      </c>
      <c r="K46" s="47">
        <f t="shared" si="51"/>
        <v>0</v>
      </c>
      <c r="L46" s="47">
        <f t="shared" si="51"/>
        <v>0</v>
      </c>
      <c r="M46" s="47">
        <f t="shared" si="51"/>
        <v>0</v>
      </c>
      <c r="N46" s="47">
        <f t="shared" si="51"/>
        <v>0</v>
      </c>
    </row>
    <row r="47" spans="1:14" x14ac:dyDescent="0.2">
      <c r="A47" s="46" t="s">
        <v>133</v>
      </c>
      <c r="B47" s="47">
        <f t="shared" ref="B47:H47" si="52">+IFERROR(B45/B$21,"nm")</f>
        <v>1.5138282387190683E-2</v>
      </c>
      <c r="C47" s="47">
        <f t="shared" si="52"/>
        <v>1.6391221891086428E-2</v>
      </c>
      <c r="D47" s="47">
        <f t="shared" si="52"/>
        <v>1.4655625657202945E-2</v>
      </c>
      <c r="E47" s="47">
        <f t="shared" si="52"/>
        <v>1.3194210703466847E-2</v>
      </c>
      <c r="F47" s="47">
        <f t="shared" si="52"/>
        <v>7.3575650861526856E-3</v>
      </c>
      <c r="G47" s="47">
        <f t="shared" si="52"/>
        <v>7.5945871306268989E-3</v>
      </c>
      <c r="H47" s="47">
        <f t="shared" si="52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2">
      <c r="A49" s="46" t="s">
        <v>129</v>
      </c>
      <c r="B49" s="47" t="str">
        <f t="shared" ref="B49:I49" si="53">+IFERROR(B48/A48-1,"nm")</f>
        <v>nm</v>
      </c>
      <c r="C49" s="47">
        <f t="shared" si="53"/>
        <v>0.17405063291139244</v>
      </c>
      <c r="D49" s="47">
        <f t="shared" si="53"/>
        <v>0.10377358490566047</v>
      </c>
      <c r="E49" s="47">
        <f t="shared" si="53"/>
        <v>3.5409035409035505E-2</v>
      </c>
      <c r="F49" s="47">
        <f t="shared" si="53"/>
        <v>-4.0094339622641528E-2</v>
      </c>
      <c r="G49" s="47">
        <f t="shared" si="53"/>
        <v>-0.20761670761670759</v>
      </c>
      <c r="H49" s="47">
        <f t="shared" si="53"/>
        <v>-4.3410852713178349E-2</v>
      </c>
      <c r="I49" s="47">
        <f t="shared" si="53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 x14ac:dyDescent="0.2">
      <c r="A50" s="46" t="s">
        <v>133</v>
      </c>
      <c r="B50" s="47">
        <f t="shared" ref="B50:H50" si="54">+IFERROR(B48/B$21,"nm")</f>
        <v>4.599708879184862E-2</v>
      </c>
      <c r="C50" s="47">
        <f t="shared" si="54"/>
        <v>5.0257382823083174E-2</v>
      </c>
      <c r="D50" s="47">
        <f t="shared" si="54"/>
        <v>5.3824921135646686E-2</v>
      </c>
      <c r="E50" s="47">
        <f t="shared" si="54"/>
        <v>5.7085156512958597E-2</v>
      </c>
      <c r="F50" s="47">
        <f t="shared" si="54"/>
        <v>5.1188529744686205E-2</v>
      </c>
      <c r="G50" s="47">
        <f t="shared" si="54"/>
        <v>4.4531897265948632E-2</v>
      </c>
      <c r="H50" s="47">
        <f t="shared" si="54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20" workbookViewId="0">
      <selection activeCell="B70" sqref="B70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'[3]Segmental forecast'!B3</f>
        <v>30601</v>
      </c>
      <c r="C3" s="9">
        <f>'[3]Segmental forecast'!C3</f>
        <v>32376</v>
      </c>
      <c r="D3" s="9">
        <f>'[3]Segmental forecast'!D3</f>
        <v>34350</v>
      </c>
      <c r="E3" s="9">
        <f>'[3]Segmental forecast'!E3</f>
        <v>36397</v>
      </c>
      <c r="F3" s="9">
        <f>'[3]Segmental forecast'!F3</f>
        <v>39117</v>
      </c>
      <c r="G3" s="9">
        <f>'[3]Segmental forecast'!G3</f>
        <v>37403</v>
      </c>
      <c r="H3" s="9">
        <f>'[3]Segmental forecast'!H3</f>
        <v>44538</v>
      </c>
      <c r="I3" s="9">
        <f>'[3]Segmental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2">
      <c r="A4" s="42" t="s">
        <v>129</v>
      </c>
      <c r="B4" s="54">
        <f>'[3]Segmental forecast'!B4</f>
        <v>0.17191329656862742</v>
      </c>
      <c r="C4" s="54">
        <f>'[3]Segmental forecast'!C4</f>
        <v>5.8004640371229765E-2</v>
      </c>
      <c r="D4" s="54">
        <f>'[3]Segmental forecast'!D4</f>
        <v>6.0971089696071123E-2</v>
      </c>
      <c r="E4" s="54">
        <f>'[3]Segmental forecast'!E4</f>
        <v>5.95924308588065E-2</v>
      </c>
      <c r="F4" s="54">
        <f>'[3]Segmental forecast'!F4</f>
        <v>7.4731433909388079E-2</v>
      </c>
      <c r="G4" s="54">
        <f>'[3]Segmental forecast'!G4</f>
        <v>-4.3817266150267153E-2</v>
      </c>
      <c r="H4" s="54">
        <f>'[3]Segmental forecast'!H4</f>
        <v>0.19076009945726269</v>
      </c>
      <c r="I4" s="54">
        <f>'[3]Segmental forecast'!I4</f>
        <v>4.8767344739323759E-2</v>
      </c>
      <c r="J4" s="54"/>
      <c r="K4" s="54"/>
      <c r="L4" s="54"/>
      <c r="M4" s="54"/>
      <c r="N4" s="54"/>
    </row>
    <row r="5" spans="1:15" x14ac:dyDescent="0.2">
      <c r="A5" s="1" t="s">
        <v>149</v>
      </c>
      <c r="B5" s="9">
        <f>'[3]Segmental forecast'!B5</f>
        <v>5423</v>
      </c>
      <c r="C5" s="9">
        <f>'[3]Segmental forecast'!C5</f>
        <v>5977</v>
      </c>
      <c r="D5" s="9">
        <f>'[3]Segmental forecast'!D5</f>
        <v>5898</v>
      </c>
      <c r="E5" s="9">
        <f>'[3]Segmental forecast'!E5</f>
        <v>6272</v>
      </c>
      <c r="F5" s="9">
        <f>'[3]Segmental forecast'!F5</f>
        <v>7062</v>
      </c>
      <c r="G5" s="9">
        <f>'[3]Segmental forecast'!G5</f>
        <v>5367</v>
      </c>
      <c r="H5" s="9">
        <f>'[3]Segmental forecast'!H5</f>
        <v>9385</v>
      </c>
      <c r="I5" s="9">
        <f>'[3]Segmental forecast'!I5</f>
        <v>9123</v>
      </c>
      <c r="J5" s="9"/>
      <c r="K5" s="9"/>
      <c r="L5" s="9"/>
      <c r="M5" s="9"/>
      <c r="N5" s="9"/>
    </row>
    <row r="6" spans="1:15" x14ac:dyDescent="0.2">
      <c r="A6" s="50" t="s">
        <v>132</v>
      </c>
      <c r="B6" s="55">
        <f>'[3]Segmental forecast'!B8</f>
        <v>606</v>
      </c>
      <c r="C6" s="55">
        <f>'[3]Segmental forecast'!C8</f>
        <v>649</v>
      </c>
      <c r="D6" s="55">
        <f>'[3]Segmental forecast'!D8</f>
        <v>706</v>
      </c>
      <c r="E6" s="55">
        <f>'[3]Segmental forecast'!E8</f>
        <v>747</v>
      </c>
      <c r="F6" s="55">
        <f>'[3]Segmental forecast'!F8</f>
        <v>705</v>
      </c>
      <c r="G6" s="55">
        <f>'[3]Segmental forecast'!G8</f>
        <v>721</v>
      </c>
      <c r="H6" s="55">
        <f>'[3]Segmental forecast'!H8</f>
        <v>744</v>
      </c>
      <c r="I6" s="55">
        <f>'[3]Segmental forecast'!I8</f>
        <v>717</v>
      </c>
      <c r="J6" s="55"/>
      <c r="K6" s="55"/>
      <c r="L6" s="55"/>
      <c r="M6" s="55"/>
      <c r="N6" s="55"/>
    </row>
    <row r="7" spans="1:15" x14ac:dyDescent="0.2">
      <c r="A7" s="4" t="s">
        <v>134</v>
      </c>
      <c r="B7" s="5">
        <f>'[3]Segmental forecast'!B11</f>
        <v>4817</v>
      </c>
      <c r="C7" s="5">
        <f>'[3]Segmental forecast'!C11</f>
        <v>5328</v>
      </c>
      <c r="D7" s="5">
        <f>'[3]Segmental forecast'!D11</f>
        <v>5192</v>
      </c>
      <c r="E7" s="5">
        <f>'[3]Segmental forecast'!E11</f>
        <v>5525</v>
      </c>
      <c r="F7" s="5">
        <f>'[3]Segmental forecast'!F11</f>
        <v>6357</v>
      </c>
      <c r="G7" s="5">
        <f>'[3]Segmental forecast'!G11</f>
        <v>4646</v>
      </c>
      <c r="H7" s="5">
        <f>'[3]Segmental forecast'!H11</f>
        <v>8641</v>
      </c>
      <c r="I7" s="5">
        <f>'[3]Segmental forecast'!I11</f>
        <v>8406</v>
      </c>
      <c r="J7" s="5"/>
      <c r="K7" s="5"/>
      <c r="L7" s="5"/>
      <c r="M7" s="5"/>
      <c r="N7" s="5"/>
    </row>
    <row r="8" spans="1:15" x14ac:dyDescent="0.2">
      <c r="A8" s="42" t="s">
        <v>129</v>
      </c>
      <c r="B8" s="54">
        <f>'[3]Segmental forecast'!B9</f>
        <v>3.4129692832764569E-2</v>
      </c>
      <c r="C8" s="54">
        <f>'[3]Segmental forecast'!C9</f>
        <v>7.0957095709570872E-2</v>
      </c>
      <c r="D8" s="54">
        <f>'[3]Segmental forecast'!D9</f>
        <v>8.7827426810477727E-2</v>
      </c>
      <c r="E8" s="54">
        <f>'[3]Segmental forecast'!E9</f>
        <v>5.8073654390934815E-2</v>
      </c>
      <c r="F8" s="54">
        <f>'[3]Segmental forecast'!F9</f>
        <v>-5.6224899598393607E-2</v>
      </c>
      <c r="G8" s="54">
        <f>'[3]Segmental forecast'!G9</f>
        <v>2.2695035460992941E-2</v>
      </c>
      <c r="H8" s="54">
        <f>'[3]Segmental forecast'!H9</f>
        <v>3.1900138696255187E-2</v>
      </c>
      <c r="I8" s="54">
        <f>'[3]Segmental forecast'!I9</f>
        <v>-3.6290322580645129E-2</v>
      </c>
      <c r="J8" s="54"/>
      <c r="K8" s="54"/>
      <c r="L8" s="54"/>
      <c r="M8" s="54"/>
      <c r="N8" s="54"/>
    </row>
    <row r="9" spans="1:15" x14ac:dyDescent="0.2">
      <c r="A9" s="42" t="s">
        <v>131</v>
      </c>
      <c r="B9" s="54">
        <f>'[3]Segmental forecast'!B10</f>
        <v>1.9803274402797295E-2</v>
      </c>
      <c r="C9" s="54">
        <f>'[3]Segmental forecast'!C10</f>
        <v>2.0045712873733631E-2</v>
      </c>
      <c r="D9" s="54">
        <f>'[3]Segmental forecast'!D10</f>
        <v>2.0553129548762736E-2</v>
      </c>
      <c r="E9" s="54">
        <f>'[3]Segmental forecast'!E10</f>
        <v>2.0523669533203285E-2</v>
      </c>
      <c r="F9" s="54">
        <f>'[3]Segmental forecast'!F10</f>
        <v>1.8022854513382928E-2</v>
      </c>
      <c r="G9" s="54">
        <f>'[3]Segmental forecast'!G10</f>
        <v>1.9276528620698875E-2</v>
      </c>
      <c r="H9" s="54">
        <f>'[3]Segmental forecast'!H10</f>
        <v>1.6704836319547355E-2</v>
      </c>
      <c r="I9" s="54">
        <f>'[3]Segmental forecast'!I10</f>
        <v>1.5350032113037893E-2</v>
      </c>
      <c r="J9" s="54"/>
      <c r="K9" s="54"/>
      <c r="L9" s="54"/>
      <c r="M9" s="54"/>
      <c r="N9" s="54"/>
    </row>
    <row r="10" spans="1:15" x14ac:dyDescent="0.2">
      <c r="A10" s="2" t="s">
        <v>24</v>
      </c>
      <c r="B10" s="3">
        <f>[3]Historicals!B8</f>
        <v>28</v>
      </c>
      <c r="C10" s="3">
        <f>[3]Historicals!C8</f>
        <v>19</v>
      </c>
      <c r="D10" s="3">
        <f>[3]Historicals!D8</f>
        <v>59</v>
      </c>
      <c r="E10" s="3">
        <f>[3]Historicals!E8</f>
        <v>54</v>
      </c>
      <c r="F10" s="3">
        <f>[3]Historicals!F8</f>
        <v>49</v>
      </c>
      <c r="G10" s="3">
        <f>[3]Historicals!G8</f>
        <v>89</v>
      </c>
      <c r="H10" s="3">
        <f>[3]Historicals!H8</f>
        <v>262</v>
      </c>
      <c r="I10" s="3">
        <f>[3]Historicals!I8</f>
        <v>205</v>
      </c>
      <c r="J10" s="3"/>
      <c r="K10" s="3"/>
      <c r="L10" s="3"/>
      <c r="M10" s="3"/>
      <c r="N10" s="3"/>
    </row>
    <row r="11" spans="1:15" x14ac:dyDescent="0.2">
      <c r="A11" s="4" t="s">
        <v>150</v>
      </c>
      <c r="B11" s="5">
        <f>B7+B10</f>
        <v>4845</v>
      </c>
      <c r="C11" s="5">
        <f t="shared" ref="C11:I11" si="1">C7+C10</f>
        <v>5347</v>
      </c>
      <c r="D11" s="5">
        <f t="shared" si="1"/>
        <v>5251</v>
      </c>
      <c r="E11" s="5">
        <f t="shared" si="1"/>
        <v>5579</v>
      </c>
      <c r="F11" s="5">
        <f t="shared" si="1"/>
        <v>6406</v>
      </c>
      <c r="G11" s="5">
        <f t="shared" si="1"/>
        <v>4735</v>
      </c>
      <c r="H11" s="5">
        <f t="shared" si="1"/>
        <v>8903</v>
      </c>
      <c r="I11" s="5">
        <f t="shared" si="1"/>
        <v>8611</v>
      </c>
      <c r="J11" s="5"/>
      <c r="K11" s="5"/>
      <c r="L11" s="5"/>
      <c r="M11" s="5"/>
      <c r="N11" s="5"/>
    </row>
    <row r="12" spans="1:15" x14ac:dyDescent="0.2">
      <c r="A12" t="s">
        <v>26</v>
      </c>
      <c r="B12" s="3">
        <f>[3]Historicals!B11</f>
        <v>932</v>
      </c>
      <c r="C12" s="3">
        <f>[3]Historicals!C11</f>
        <v>863</v>
      </c>
      <c r="D12" s="3">
        <f>[3]Historicals!D11</f>
        <v>646</v>
      </c>
      <c r="E12" s="3">
        <f>[3]Historicals!E11</f>
        <v>2392</v>
      </c>
      <c r="F12" s="3">
        <f>[3]Historicals!F11</f>
        <v>772</v>
      </c>
      <c r="G12" s="3">
        <f>[3]Historicals!G11</f>
        <v>348</v>
      </c>
      <c r="H12" s="3">
        <f>[3]Historicals!H11</f>
        <v>934</v>
      </c>
      <c r="I12" s="3">
        <f>[3]Historicals!I11</f>
        <v>605</v>
      </c>
      <c r="J12" s="3"/>
      <c r="K12" s="3"/>
      <c r="L12" s="3"/>
      <c r="M12" s="3"/>
      <c r="N12" s="3"/>
    </row>
    <row r="13" spans="1:15" x14ac:dyDescent="0.2">
      <c r="A13" s="51" t="s">
        <v>151</v>
      </c>
      <c r="B13" s="56">
        <f>B12/B11</f>
        <v>0.19236326109391125</v>
      </c>
      <c r="C13" s="56">
        <f t="shared" ref="C13:I13" si="2">C12/C11</f>
        <v>0.16139891527959604</v>
      </c>
      <c r="D13" s="56">
        <f t="shared" si="2"/>
        <v>0.12302418586935822</v>
      </c>
      <c r="E13" s="56">
        <f t="shared" si="2"/>
        <v>0.42875067216347018</v>
      </c>
      <c r="F13" s="56">
        <f t="shared" si="2"/>
        <v>0.12051201998126757</v>
      </c>
      <c r="G13" s="56">
        <f t="shared" si="2"/>
        <v>7.3495248152059128E-2</v>
      </c>
      <c r="H13" s="56">
        <f t="shared" si="2"/>
        <v>0.10490845782320567</v>
      </c>
      <c r="I13" s="56">
        <f t="shared" si="2"/>
        <v>7.0258971083497851E-2</v>
      </c>
      <c r="J13" s="57"/>
      <c r="K13" s="57"/>
      <c r="L13" s="57"/>
      <c r="M13" s="57"/>
      <c r="N13" s="57"/>
    </row>
    <row r="14" spans="1:15" ht="16" thickBot="1" x14ac:dyDescent="0.25">
      <c r="A14" s="6" t="s">
        <v>152</v>
      </c>
      <c r="B14" s="7">
        <f>[3]Historicals!B12</f>
        <v>3273</v>
      </c>
      <c r="C14" s="7">
        <f>[3]Historicals!C12</f>
        <v>3760</v>
      </c>
      <c r="D14" s="7">
        <f>[3]Historicals!D12</f>
        <v>4240</v>
      </c>
      <c r="E14" s="7">
        <f>[3]Historicals!E12</f>
        <v>1933</v>
      </c>
      <c r="F14" s="7">
        <f>[3]Historicals!F12</f>
        <v>4029</v>
      </c>
      <c r="G14" s="7">
        <f>[3]Historicals!G12</f>
        <v>2539</v>
      </c>
      <c r="H14" s="7">
        <f>[3]Historicals!H12</f>
        <v>5727</v>
      </c>
      <c r="I14" s="7">
        <f>[3]Historicals!I12</f>
        <v>6046</v>
      </c>
      <c r="J14" s="7"/>
      <c r="K14" s="7"/>
      <c r="L14" s="7"/>
      <c r="M14" s="7"/>
      <c r="N14" s="7"/>
    </row>
    <row r="15" spans="1:15" ht="16" thickTop="1" x14ac:dyDescent="0.2">
      <c r="A15" t="s">
        <v>153</v>
      </c>
      <c r="B15" s="58">
        <f>[3]Historicals!B15</f>
        <v>1.85</v>
      </c>
      <c r="C15" s="58">
        <f>[3]Historicals!C15</f>
        <v>2.16</v>
      </c>
      <c r="D15" s="58">
        <f>[3]Historicals!D15</f>
        <v>2.5099999999999998</v>
      </c>
      <c r="E15" s="58">
        <f>[3]Historicals!E15</f>
        <v>1.17</v>
      </c>
      <c r="F15" s="58">
        <f>[3]Historicals!F15</f>
        <v>2.4900000000000002</v>
      </c>
      <c r="G15" s="58">
        <f>[3]Historicals!G15</f>
        <v>1.6</v>
      </c>
      <c r="H15" s="58">
        <f>[3]Historicals!H15</f>
        <v>3.56</v>
      </c>
      <c r="I15" s="58">
        <f>[3]Historicals!I15</f>
        <v>3.75</v>
      </c>
      <c r="J15" s="3"/>
      <c r="K15" s="3"/>
      <c r="L15" s="3"/>
      <c r="M15" s="3"/>
      <c r="N15" s="3"/>
      <c r="O15" t="s">
        <v>197</v>
      </c>
    </row>
    <row r="16" spans="1:15" x14ac:dyDescent="0.2">
      <c r="A16" t="s">
        <v>154</v>
      </c>
      <c r="B16" s="76">
        <f>[3]Historicals!B14</f>
        <v>1.9</v>
      </c>
      <c r="C16" s="76">
        <f>[3]Historicals!C14</f>
        <v>2.21</v>
      </c>
      <c r="D16" s="76">
        <f>[3]Historicals!D14</f>
        <v>2.56</v>
      </c>
      <c r="E16" s="76">
        <f>[3]Historicals!E14</f>
        <v>1.19</v>
      </c>
      <c r="F16" s="76">
        <f>[3]Historicals!F14</f>
        <v>2.5499999999999998</v>
      </c>
      <c r="G16" s="76">
        <f>[3]Historicals!G14</f>
        <v>1.63</v>
      </c>
      <c r="H16" s="76">
        <f>[3]Historicals!H14</f>
        <v>3.64</v>
      </c>
      <c r="I16" s="76">
        <f>[3]Historicals!I14</f>
        <v>3.83</v>
      </c>
      <c r="J16" s="58"/>
      <c r="K16" s="58"/>
      <c r="L16" s="58"/>
      <c r="M16" s="58"/>
      <c r="N16" s="58"/>
    </row>
    <row r="17" spans="1:15" x14ac:dyDescent="0.2">
      <c r="A17" t="s">
        <v>155</v>
      </c>
      <c r="B17" s="77">
        <f>[3]Historicals!B18</f>
        <v>1768</v>
      </c>
      <c r="C17" s="77">
        <f>[3]Historicals!C18</f>
        <v>1742.5</v>
      </c>
      <c r="D17" s="77">
        <f>[3]Historicals!D18</f>
        <v>1692</v>
      </c>
      <c r="E17" s="77">
        <f>[3]Historicals!E18</f>
        <v>1659.1</v>
      </c>
      <c r="F17" s="77">
        <f>[3]Historicals!F18</f>
        <v>1618.4</v>
      </c>
      <c r="G17" s="77">
        <f>[3]Historicals!G18</f>
        <v>1591.6</v>
      </c>
      <c r="H17" s="77">
        <f>[3]Historicals!H18</f>
        <v>1609.4</v>
      </c>
      <c r="I17" s="77">
        <f>[3]Historicals!I18</f>
        <v>1610.8</v>
      </c>
      <c r="J17" s="58"/>
      <c r="K17" s="58"/>
      <c r="L17" s="58"/>
      <c r="M17" s="58"/>
      <c r="N17" s="58"/>
    </row>
    <row r="18" spans="1:15" x14ac:dyDescent="0.2">
      <c r="A18" s="51" t="s">
        <v>129</v>
      </c>
      <c r="B18" s="56" t="s">
        <v>211</v>
      </c>
      <c r="C18" s="56">
        <f>C16/B16-1</f>
        <v>0.16315789473684217</v>
      </c>
      <c r="D18" s="56">
        <f t="shared" ref="D18:I18" si="3">D16/C16-1</f>
        <v>0.158371040723982</v>
      </c>
      <c r="E18" s="56">
        <f t="shared" si="3"/>
        <v>-0.53515625</v>
      </c>
      <c r="F18" s="56">
        <f t="shared" si="3"/>
        <v>1.1428571428571428</v>
      </c>
      <c r="G18" s="56">
        <f t="shared" si="3"/>
        <v>-0.36078431372549025</v>
      </c>
      <c r="H18" s="56">
        <f t="shared" si="3"/>
        <v>1.2331288343558287</v>
      </c>
      <c r="I18" s="56">
        <f t="shared" si="3"/>
        <v>5.2197802197802234E-2</v>
      </c>
      <c r="J18" s="57"/>
      <c r="K18" s="57"/>
      <c r="L18" s="57"/>
      <c r="M18" s="57"/>
      <c r="N18" s="57"/>
      <c r="O18" t="s">
        <v>198</v>
      </c>
    </row>
    <row r="19" spans="1:15" x14ac:dyDescent="0.2">
      <c r="A19" s="51" t="s">
        <v>156</v>
      </c>
      <c r="B19" s="56">
        <f>[3]Historicals!B90/[3]Historicals!B12</f>
        <v>-5.8050717995722576E-3</v>
      </c>
      <c r="C19" s="56" t="s">
        <v>211</v>
      </c>
      <c r="D19" s="56" t="s">
        <v>211</v>
      </c>
      <c r="E19" s="56">
        <f>[3]Historicals!E90/[3]Historicals!E12</f>
        <v>6.725297465080186E-3</v>
      </c>
      <c r="F19" s="56">
        <f>[3]Historicals!F90/[3]Historicals!F12</f>
        <v>-8.0665177463390414E-2</v>
      </c>
      <c r="G19" s="56">
        <f>[3]Historicals!G90/[3]Historicals!G12</f>
        <v>1.9298936589208351E-2</v>
      </c>
      <c r="H19" s="56">
        <f>[3]Historicals!H90/[3]Historicals!H12</f>
        <v>-0.286013619696176</v>
      </c>
      <c r="I19" s="56">
        <f>[3]Historicals!I90/[3]Historicals!I12</f>
        <v>-0.30383724776711873</v>
      </c>
      <c r="J19" s="56"/>
      <c r="K19" s="56"/>
      <c r="L19" s="56"/>
      <c r="M19" s="56"/>
      <c r="N19" s="56"/>
      <c r="O19" t="s">
        <v>198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[3]Historicals!B25</f>
        <v>3852</v>
      </c>
      <c r="C21" s="3">
        <f>[3]Historicals!C25</f>
        <v>3138</v>
      </c>
      <c r="D21" s="3">
        <f>[3]Historicals!D25</f>
        <v>3808</v>
      </c>
      <c r="E21" s="3">
        <f>[3]Historicals!E25</f>
        <v>4249</v>
      </c>
      <c r="F21" s="3">
        <f>[3]Historicals!F25</f>
        <v>4466</v>
      </c>
      <c r="G21" s="3">
        <f>[3]Historicals!G25</f>
        <v>8348</v>
      </c>
      <c r="H21" s="3">
        <f>[3]Historicals!H25</f>
        <v>9889</v>
      </c>
      <c r="I21" s="3">
        <f>[3]Historicals!I25</f>
        <v>8574</v>
      </c>
      <c r="J21" s="3"/>
      <c r="K21" s="3"/>
      <c r="L21" s="3"/>
      <c r="M21" s="3"/>
      <c r="N21" s="3"/>
    </row>
    <row r="22" spans="1:15" x14ac:dyDescent="0.2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2">
      <c r="A23" t="s">
        <v>160</v>
      </c>
      <c r="B23" s="3">
        <f>[3]Historicals!B30-[3]Historicals!B45</f>
        <v>9255</v>
      </c>
      <c r="C23" s="3">
        <f>[3]Historicals!C30-[3]Historicals!C45</f>
        <v>9667</v>
      </c>
      <c r="D23" s="3">
        <f>[3]Historicals!D30-[3]Historicals!D45</f>
        <v>10587</v>
      </c>
      <c r="E23" s="3">
        <f>[3]Historicals!E30-[3]Historicals!E45</f>
        <v>9094</v>
      </c>
      <c r="F23" s="3">
        <f>[3]Historicals!F30-[3]Historicals!F45</f>
        <v>8659</v>
      </c>
      <c r="G23" s="3">
        <f>[3]Historicals!G30-[3]Historicals!G45</f>
        <v>12272</v>
      </c>
      <c r="H23" s="3">
        <f>[3]Historicals!H30-[3]Historicals!H45</f>
        <v>16617</v>
      </c>
      <c r="I23" s="3">
        <f>[3]Historicals!I30-[3]Historicals!I45</f>
        <v>17483</v>
      </c>
      <c r="J23" s="3"/>
      <c r="K23" s="3"/>
      <c r="L23" s="3"/>
      <c r="M23" s="3"/>
      <c r="N23" s="3"/>
      <c r="O23" t="s">
        <v>203</v>
      </c>
    </row>
    <row r="24" spans="1:15" x14ac:dyDescent="0.2">
      <c r="A24" s="51" t="s">
        <v>161</v>
      </c>
      <c r="B24" s="56">
        <f>B23/B3</f>
        <v>0.30244109669618641</v>
      </c>
      <c r="C24" s="56">
        <f t="shared" ref="C24:I24" si="4">C23/C3</f>
        <v>0.29858537188040524</v>
      </c>
      <c r="D24" s="56">
        <f t="shared" si="4"/>
        <v>0.30820960698689959</v>
      </c>
      <c r="E24" s="56">
        <f t="shared" si="4"/>
        <v>0.24985575734263812</v>
      </c>
      <c r="F24" s="56">
        <f t="shared" si="4"/>
        <v>0.22136155635657132</v>
      </c>
      <c r="G24" s="56">
        <f t="shared" si="4"/>
        <v>0.32810202390182608</v>
      </c>
      <c r="H24" s="56">
        <f t="shared" si="4"/>
        <v>0.37309713054021287</v>
      </c>
      <c r="I24" s="56">
        <f t="shared" si="4"/>
        <v>0.37428816099336332</v>
      </c>
      <c r="J24" s="57"/>
      <c r="K24" s="57"/>
      <c r="L24" s="57"/>
      <c r="M24" s="57"/>
      <c r="N24" s="57"/>
    </row>
    <row r="25" spans="1:15" x14ac:dyDescent="0.2">
      <c r="A25" t="s">
        <v>162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2">
      <c r="A26" t="s">
        <v>163</v>
      </c>
      <c r="B26" s="3">
        <f>[3]Historicals!B31</f>
        <v>3011</v>
      </c>
      <c r="C26" s="3">
        <f>[3]Historicals!C31</f>
        <v>3520</v>
      </c>
      <c r="D26" s="3">
        <f>[3]Historicals!D31</f>
        <v>3989</v>
      </c>
      <c r="E26" s="3">
        <f>[3]Historicals!E31</f>
        <v>4454</v>
      </c>
      <c r="F26" s="3">
        <f>[3]Historicals!F31</f>
        <v>4744</v>
      </c>
      <c r="G26" s="3">
        <f>[3]Historicals!G31</f>
        <v>4866</v>
      </c>
      <c r="H26" s="3">
        <f>[3]Historicals!H31</f>
        <v>4904</v>
      </c>
      <c r="I26" s="3">
        <f>[3]Historicals!I31</f>
        <v>4791</v>
      </c>
      <c r="J26" s="3"/>
      <c r="K26" s="3"/>
      <c r="L26" s="3"/>
      <c r="M26" s="3"/>
      <c r="N26" s="3"/>
    </row>
    <row r="27" spans="1:15" x14ac:dyDescent="0.2">
      <c r="A27" t="s">
        <v>164</v>
      </c>
      <c r="B27" s="3">
        <f>[3]Historicals!B33</f>
        <v>281</v>
      </c>
      <c r="C27" s="3">
        <f>[3]Historicals!C33</f>
        <v>281</v>
      </c>
      <c r="D27" s="3">
        <f>[3]Historicals!D33</f>
        <v>283</v>
      </c>
      <c r="E27" s="3">
        <f>[3]Historicals!E33</f>
        <v>285</v>
      </c>
      <c r="F27" s="3">
        <f>[3]Historicals!F33</f>
        <v>283</v>
      </c>
      <c r="G27" s="3">
        <f>[3]Historicals!G33</f>
        <v>274</v>
      </c>
      <c r="H27" s="3">
        <f>[3]Historicals!H33</f>
        <v>269</v>
      </c>
      <c r="I27" s="3">
        <f>[3]Historicals!I33</f>
        <v>286</v>
      </c>
      <c r="J27" s="3"/>
      <c r="K27" s="3"/>
      <c r="L27" s="3"/>
      <c r="M27" s="3"/>
      <c r="N27" s="3"/>
    </row>
    <row r="28" spans="1:15" x14ac:dyDescent="0.2">
      <c r="A28" t="s">
        <v>40</v>
      </c>
      <c r="B28" s="3">
        <f>[3]Historicals!B34</f>
        <v>131</v>
      </c>
      <c r="C28" s="3">
        <f>[3]Historicals!C34</f>
        <v>131</v>
      </c>
      <c r="D28" s="3">
        <f>[3]Historicals!D34</f>
        <v>139</v>
      </c>
      <c r="E28" s="3">
        <f>[3]Historicals!E34</f>
        <v>154</v>
      </c>
      <c r="F28" s="3">
        <f>[3]Historicals!F34</f>
        <v>154</v>
      </c>
      <c r="G28" s="3">
        <f>[3]Historicals!G34</f>
        <v>223</v>
      </c>
      <c r="H28" s="3">
        <f>[3]Historicals!H34</f>
        <v>242</v>
      </c>
      <c r="I28" s="3">
        <f>[3]Historicals!I34</f>
        <v>284</v>
      </c>
      <c r="J28" s="3"/>
      <c r="K28" s="3"/>
      <c r="L28" s="3"/>
      <c r="M28" s="3"/>
      <c r="N28" s="3"/>
    </row>
    <row r="29" spans="1:15" x14ac:dyDescent="0.2">
      <c r="A29" s="53" t="s">
        <v>38</v>
      </c>
      <c r="B29" s="3">
        <f>[3]Historicals!B32</f>
        <v>0</v>
      </c>
      <c r="C29" s="3">
        <f>[3]Historicals!C32</f>
        <v>0</v>
      </c>
      <c r="D29" s="3">
        <f>[3]Historicals!D32</f>
        <v>0</v>
      </c>
      <c r="E29" s="3">
        <f>[3]Historicals!E32</f>
        <v>0</v>
      </c>
      <c r="F29" s="3" t="str">
        <f>[3]Historicals!F32</f>
        <v>—</v>
      </c>
      <c r="G29" s="3">
        <f>[3]Historicals!G32</f>
        <v>3097</v>
      </c>
      <c r="H29" s="3">
        <f>[3]Historicals!H32</f>
        <v>3113</v>
      </c>
      <c r="I29" s="3">
        <f>[3]Historicals!I32</f>
        <v>2926</v>
      </c>
      <c r="J29" s="3"/>
      <c r="K29" s="3"/>
      <c r="L29" s="3"/>
      <c r="M29" s="3"/>
      <c r="N29" s="3"/>
    </row>
    <row r="30" spans="1:15" x14ac:dyDescent="0.2">
      <c r="A30" t="s">
        <v>165</v>
      </c>
      <c r="B30" s="3">
        <f>B31-B28-B27-B26-B23-B21</f>
        <v>5067</v>
      </c>
      <c r="C30" s="3">
        <f t="shared" ref="C30:I30" si="5">C31-C28-C27-C26-C23-C21</f>
        <v>4659</v>
      </c>
      <c r="D30" s="3">
        <f t="shared" si="5"/>
        <v>4453</v>
      </c>
      <c r="E30" s="3">
        <f t="shared" si="5"/>
        <v>4300</v>
      </c>
      <c r="F30" s="3">
        <f t="shared" si="5"/>
        <v>5411</v>
      </c>
      <c r="G30" s="3">
        <f t="shared" si="5"/>
        <v>5359</v>
      </c>
      <c r="H30" s="3">
        <f t="shared" si="5"/>
        <v>5819</v>
      </c>
      <c r="I30" s="3">
        <f t="shared" si="5"/>
        <v>8903</v>
      </c>
      <c r="J30" s="3"/>
      <c r="K30" s="3"/>
      <c r="L30" s="3"/>
      <c r="M30" s="3"/>
      <c r="N30" s="3"/>
    </row>
    <row r="31" spans="1:15" ht="16" thickBot="1" x14ac:dyDescent="0.25">
      <c r="A31" s="6" t="s">
        <v>166</v>
      </c>
      <c r="B31" s="7">
        <f>[3]Historicals!B36</f>
        <v>21597</v>
      </c>
      <c r="C31" s="7">
        <f>[3]Historicals!C36</f>
        <v>21396</v>
      </c>
      <c r="D31" s="7">
        <f>[3]Historicals!D36</f>
        <v>23259</v>
      </c>
      <c r="E31" s="7">
        <f>[3]Historicals!E36</f>
        <v>22536</v>
      </c>
      <c r="F31" s="7">
        <f>[3]Historicals!F36</f>
        <v>23717</v>
      </c>
      <c r="G31" s="7">
        <f>[3]Historicals!G36</f>
        <v>31342</v>
      </c>
      <c r="H31" s="7">
        <f>[3]Historicals!H36</f>
        <v>37740</v>
      </c>
      <c r="I31" s="7">
        <f>[3]Historicals!I36</f>
        <v>40321</v>
      </c>
      <c r="J31" s="7"/>
      <c r="K31" s="7"/>
      <c r="L31" s="7"/>
      <c r="M31" s="7"/>
      <c r="N31" s="7"/>
    </row>
    <row r="32" spans="1:15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">
      <c r="A33" s="2" t="s">
        <v>45</v>
      </c>
      <c r="B33" s="3">
        <f>[3]Historicals!B39</f>
        <v>107</v>
      </c>
      <c r="C33" s="3">
        <f>[3]Historicals!C39</f>
        <v>44</v>
      </c>
      <c r="D33" s="3">
        <f>[3]Historicals!D39</f>
        <v>6</v>
      </c>
      <c r="E33" s="3">
        <f>[3]Historicals!E39</f>
        <v>6</v>
      </c>
      <c r="F33" s="3">
        <f>[3]Historicals!F39</f>
        <v>6</v>
      </c>
      <c r="G33" s="3">
        <f>[3]Historicals!G39</f>
        <v>3</v>
      </c>
      <c r="H33" s="3">
        <f>[3]Historicals!H39</f>
        <v>0</v>
      </c>
      <c r="I33" s="3">
        <f>[3]Historicals!I39</f>
        <v>500</v>
      </c>
      <c r="J33" s="3"/>
      <c r="K33" s="3"/>
      <c r="L33" s="3"/>
      <c r="M33" s="3"/>
      <c r="N33" s="3"/>
    </row>
    <row r="34" spans="1:15" x14ac:dyDescent="0.2">
      <c r="A34" s="2" t="s">
        <v>46</v>
      </c>
      <c r="B34" s="3">
        <f>[3]Historicals!B40</f>
        <v>74</v>
      </c>
      <c r="C34" s="3">
        <f>[3]Historicals!C40</f>
        <v>1</v>
      </c>
      <c r="D34" s="3">
        <f>[3]Historicals!D40</f>
        <v>325</v>
      </c>
      <c r="E34" s="3">
        <f>[3]Historicals!E40</f>
        <v>336</v>
      </c>
      <c r="F34" s="3">
        <f>[3]Historicals!F40</f>
        <v>9</v>
      </c>
      <c r="G34" s="3">
        <f>[3]Historicals!G40</f>
        <v>248</v>
      </c>
      <c r="H34" s="3">
        <f>[3]Historicals!H40</f>
        <v>2</v>
      </c>
      <c r="I34" s="3">
        <f>[3]Historicals!I40</f>
        <v>10</v>
      </c>
      <c r="J34" s="3"/>
      <c r="K34" s="3"/>
      <c r="L34" s="3"/>
      <c r="M34" s="3"/>
      <c r="N34" s="3"/>
    </row>
    <row r="35" spans="1:15" x14ac:dyDescent="0.2">
      <c r="A35" t="s">
        <v>168</v>
      </c>
      <c r="B35" s="3">
        <f>7630</f>
        <v>7630</v>
      </c>
      <c r="C35" s="3">
        <f>7083</f>
        <v>7083</v>
      </c>
      <c r="D35" s="3">
        <f>10852</f>
        <v>10852</v>
      </c>
      <c r="E35" s="3">
        <f>12724</f>
        <v>12724</v>
      </c>
      <c r="F35" s="3">
        <f>14677</f>
        <v>14677</v>
      </c>
      <c r="G35" s="3">
        <f>23287</f>
        <v>23287</v>
      </c>
      <c r="H35" s="3">
        <f>24973</f>
        <v>24973</v>
      </c>
      <c r="I35" s="3">
        <f>25040</f>
        <v>25040</v>
      </c>
      <c r="J35" s="3"/>
      <c r="K35" s="3"/>
      <c r="L35" s="3"/>
      <c r="M35" s="3"/>
      <c r="N35" s="3"/>
    </row>
    <row r="36" spans="1:15" x14ac:dyDescent="0.2">
      <c r="A36" t="s">
        <v>49</v>
      </c>
      <c r="B36" s="3">
        <f>[3]Historicals!B46</f>
        <v>1079</v>
      </c>
      <c r="C36" s="3">
        <f>[3]Historicals!C46</f>
        <v>2010</v>
      </c>
      <c r="D36" s="3"/>
      <c r="E36" s="3"/>
      <c r="F36" s="3">
        <f>[3]Historicals!F46</f>
        <v>3464</v>
      </c>
      <c r="G36" s="3">
        <f>[3]Historicals!G46</f>
        <v>9406</v>
      </c>
      <c r="H36" s="3">
        <f>[3]Historicals!H46</f>
        <v>9413</v>
      </c>
      <c r="I36" s="3">
        <f>[3]Historicals!I46</f>
        <v>8920</v>
      </c>
      <c r="J36" s="3"/>
      <c r="K36" s="3"/>
      <c r="L36" s="3"/>
      <c r="M36" s="3"/>
      <c r="N36" s="3"/>
    </row>
    <row r="37" spans="1:15" x14ac:dyDescent="0.2">
      <c r="A37" s="53" t="s">
        <v>50</v>
      </c>
      <c r="B37" s="3">
        <f>[3]Historicals!B42</f>
        <v>0</v>
      </c>
      <c r="C37" s="3">
        <f>[3]Historicals!C42</f>
        <v>0</v>
      </c>
      <c r="D37" s="3">
        <f>[3]Historicals!D42</f>
        <v>0</v>
      </c>
      <c r="E37" s="3">
        <f>[3]Historicals!E42</f>
        <v>0</v>
      </c>
      <c r="F37" s="3" t="str">
        <f>[3]Historicals!F42</f>
        <v>—</v>
      </c>
      <c r="G37" s="3">
        <f>[3]Historicals!G42</f>
        <v>445</v>
      </c>
      <c r="H37" s="3">
        <f>[3]Historicals!H42</f>
        <v>467</v>
      </c>
      <c r="I37" s="3">
        <f>[3]Historicals!I42</f>
        <v>420</v>
      </c>
      <c r="J37" s="3"/>
      <c r="K37" s="3"/>
      <c r="L37" s="3"/>
      <c r="M37" s="3"/>
      <c r="N37" s="3"/>
    </row>
    <row r="38" spans="1:15" x14ac:dyDescent="0.2">
      <c r="A38" t="s">
        <v>169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5" x14ac:dyDescent="0.2">
      <c r="A39" t="s">
        <v>170</v>
      </c>
      <c r="B39" s="3">
        <f>[3]Historicals!B58</f>
        <v>12707</v>
      </c>
      <c r="C39" s="3">
        <f>[3]Historicals!C58</f>
        <v>12258</v>
      </c>
      <c r="D39" s="3">
        <f>[3]Historicals!D58</f>
        <v>12407</v>
      </c>
      <c r="E39" s="3">
        <f>[3]Historicals!E58</f>
        <v>9812</v>
      </c>
      <c r="F39" s="3">
        <f>[3]Historicals!F58</f>
        <v>9040</v>
      </c>
      <c r="G39" s="3">
        <f>[3]Historicals!G58</f>
        <v>8055</v>
      </c>
      <c r="H39" s="3">
        <f>[3]Historicals!H58</f>
        <v>12767</v>
      </c>
      <c r="I39" s="3">
        <f>[3]Historicals!I58</f>
        <v>15281</v>
      </c>
      <c r="J39" s="3"/>
      <c r="K39" s="3"/>
      <c r="L39" s="3"/>
      <c r="M39" s="3"/>
      <c r="N39" s="3"/>
    </row>
    <row r="40" spans="1:15" x14ac:dyDescent="0.2">
      <c r="A40" s="2" t="s">
        <v>171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5" x14ac:dyDescent="0.2">
      <c r="A41" s="2" t="s">
        <v>172</v>
      </c>
      <c r="B41" s="3">
        <f>[3]Historicals!B57</f>
        <v>4685</v>
      </c>
      <c r="C41" s="3">
        <f>[3]Historicals!C57</f>
        <v>4151</v>
      </c>
      <c r="D41" s="3">
        <f>[3]Historicals!D57</f>
        <v>6907</v>
      </c>
      <c r="E41" s="3">
        <f>[3]Historicals!E57</f>
        <v>3517</v>
      </c>
      <c r="F41" s="3">
        <f>[3]Historicals!F57</f>
        <v>1643</v>
      </c>
      <c r="G41" s="3">
        <f>[3]Historicals!G57</f>
        <v>-191</v>
      </c>
      <c r="H41" s="3">
        <f>[3]Historicals!H57</f>
        <v>3179</v>
      </c>
      <c r="I41" s="3">
        <f>[3]Historicals!I57</f>
        <v>3476</v>
      </c>
      <c r="J41" s="3"/>
      <c r="K41" s="3"/>
      <c r="L41" s="3"/>
      <c r="M41" s="3"/>
      <c r="N41" s="3"/>
    </row>
    <row r="42" spans="1:15" x14ac:dyDescent="0.2">
      <c r="A42" s="2" t="s">
        <v>173</v>
      </c>
      <c r="B42" s="3">
        <f t="shared" ref="B42:I42" si="6">B39-B41</f>
        <v>8022</v>
      </c>
      <c r="C42" s="3">
        <f t="shared" si="6"/>
        <v>8107</v>
      </c>
      <c r="D42" s="3">
        <f t="shared" si="6"/>
        <v>5500</v>
      </c>
      <c r="E42" s="3">
        <f t="shared" si="6"/>
        <v>6295</v>
      </c>
      <c r="F42" s="3">
        <f t="shared" si="6"/>
        <v>7397</v>
      </c>
      <c r="G42" s="3">
        <f t="shared" si="6"/>
        <v>8246</v>
      </c>
      <c r="H42" s="3">
        <f t="shared" si="6"/>
        <v>9588</v>
      </c>
      <c r="I42" s="3">
        <f t="shared" si="6"/>
        <v>11805</v>
      </c>
      <c r="J42" s="3"/>
      <c r="K42" s="3"/>
      <c r="L42" s="3"/>
      <c r="M42" s="3"/>
      <c r="N42" s="3"/>
    </row>
    <row r="43" spans="1:15" ht="16" thickBot="1" x14ac:dyDescent="0.25">
      <c r="A43" s="6" t="s">
        <v>174</v>
      </c>
      <c r="B43" s="7">
        <f>[3]Historicals!B59</f>
        <v>21597</v>
      </c>
      <c r="C43" s="7">
        <f>[3]Historicals!C59</f>
        <v>21396</v>
      </c>
      <c r="D43" s="7">
        <f>[3]Historicals!D59</f>
        <v>23259</v>
      </c>
      <c r="E43" s="7">
        <f>[3]Historicals!E59</f>
        <v>22536</v>
      </c>
      <c r="F43" s="7">
        <f>[3]Historicals!F59</f>
        <v>23717</v>
      </c>
      <c r="G43" s="7">
        <f>[3]Historicals!G59</f>
        <v>31342</v>
      </c>
      <c r="H43" s="7">
        <f>[3]Historicals!H59</f>
        <v>37740</v>
      </c>
      <c r="I43" s="7">
        <f>[3]Historicals!I59</f>
        <v>40321</v>
      </c>
      <c r="J43" s="7"/>
      <c r="K43" s="7"/>
      <c r="L43" s="7"/>
      <c r="M43" s="7"/>
      <c r="N43" s="7"/>
    </row>
    <row r="44" spans="1:15" s="1" customFormat="1" ht="16" thickTop="1" x14ac:dyDescent="0.2">
      <c r="A44" s="61" t="s">
        <v>175</v>
      </c>
      <c r="B44" s="78"/>
      <c r="C44" s="78"/>
      <c r="D44" s="78"/>
      <c r="E44" s="78"/>
      <c r="F44" s="78"/>
      <c r="G44" s="78"/>
      <c r="H44" s="78"/>
      <c r="I44" s="78"/>
      <c r="J44" s="61"/>
      <c r="K44" s="61"/>
      <c r="L44" s="61"/>
      <c r="M44" s="61"/>
      <c r="N44" s="61"/>
    </row>
    <row r="45" spans="1:15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">
      <c r="A46" s="1" t="s">
        <v>134</v>
      </c>
      <c r="B46" s="9">
        <f>B7</f>
        <v>4817</v>
      </c>
      <c r="C46" s="9">
        <f t="shared" ref="C46:I46" si="7">C7</f>
        <v>5328</v>
      </c>
      <c r="D46" s="9">
        <f t="shared" si="7"/>
        <v>5192</v>
      </c>
      <c r="E46" s="9">
        <f t="shared" si="7"/>
        <v>5525</v>
      </c>
      <c r="F46" s="9">
        <f t="shared" si="7"/>
        <v>6357</v>
      </c>
      <c r="G46" s="9">
        <f t="shared" si="7"/>
        <v>4646</v>
      </c>
      <c r="H46" s="9">
        <f t="shared" si="7"/>
        <v>8641</v>
      </c>
      <c r="I46" s="9">
        <f t="shared" si="7"/>
        <v>8406</v>
      </c>
      <c r="J46" s="9"/>
      <c r="K46" s="9"/>
      <c r="L46" s="9"/>
      <c r="M46" s="9"/>
      <c r="N46" s="9"/>
      <c r="O46" t="s">
        <v>202</v>
      </c>
    </row>
    <row r="47" spans="1:15" x14ac:dyDescent="0.2">
      <c r="A47" t="s">
        <v>132</v>
      </c>
      <c r="B47" s="59">
        <f>B6</f>
        <v>606</v>
      </c>
      <c r="C47" s="59">
        <f t="shared" ref="C47:I47" si="8">C6</f>
        <v>649</v>
      </c>
      <c r="D47" s="59">
        <f t="shared" si="8"/>
        <v>706</v>
      </c>
      <c r="E47" s="59">
        <f t="shared" si="8"/>
        <v>747</v>
      </c>
      <c r="F47" s="59">
        <f t="shared" si="8"/>
        <v>705</v>
      </c>
      <c r="G47" s="59">
        <f t="shared" si="8"/>
        <v>721</v>
      </c>
      <c r="H47" s="59">
        <f t="shared" si="8"/>
        <v>744</v>
      </c>
      <c r="I47" s="59">
        <f t="shared" si="8"/>
        <v>717</v>
      </c>
      <c r="J47" s="59"/>
      <c r="K47" s="59"/>
      <c r="L47" s="59"/>
      <c r="M47" s="59"/>
      <c r="N47" s="59"/>
      <c r="O47" t="s">
        <v>202</v>
      </c>
    </row>
    <row r="48" spans="1:15" x14ac:dyDescent="0.2">
      <c r="A48" t="s">
        <v>176</v>
      </c>
      <c r="B48" s="3">
        <f>B12</f>
        <v>932</v>
      </c>
      <c r="C48" s="3">
        <f t="shared" ref="C48:I48" si="9">C12</f>
        <v>863</v>
      </c>
      <c r="D48" s="3">
        <f t="shared" si="9"/>
        <v>646</v>
      </c>
      <c r="E48" s="3">
        <f t="shared" si="9"/>
        <v>2392</v>
      </c>
      <c r="F48" s="3">
        <f t="shared" si="9"/>
        <v>772</v>
      </c>
      <c r="G48" s="3">
        <f t="shared" si="9"/>
        <v>348</v>
      </c>
      <c r="H48" s="3">
        <f t="shared" si="9"/>
        <v>934</v>
      </c>
      <c r="I48" s="3">
        <f t="shared" si="9"/>
        <v>605</v>
      </c>
      <c r="J48" s="3"/>
      <c r="K48" s="3"/>
      <c r="L48" s="3"/>
      <c r="M48" s="3"/>
      <c r="N48" s="3"/>
      <c r="O48" t="s">
        <v>206</v>
      </c>
    </row>
    <row r="49" spans="1:15" x14ac:dyDescent="0.2">
      <c r="A49" s="1" t="s">
        <v>177</v>
      </c>
      <c r="B49" s="9">
        <f>[3]Historicals!B12+'[3]Three Statements'!B10+'[3]Three Statements'!B12</f>
        <v>4233</v>
      </c>
      <c r="C49" s="9">
        <f>'[3]Three Statements'!C7</f>
        <v>5328</v>
      </c>
      <c r="D49" s="9">
        <f>'[3]Three Statements'!D7</f>
        <v>5192</v>
      </c>
      <c r="E49" s="9">
        <f>'[3]Three Statements'!E7</f>
        <v>5525</v>
      </c>
      <c r="F49" s="9">
        <f>'[3]Three Statements'!F7</f>
        <v>6357</v>
      </c>
      <c r="G49" s="9">
        <f>'[3]Three Statements'!G7</f>
        <v>4646</v>
      </c>
      <c r="H49" s="9">
        <f>'[3]Three Statements'!H7</f>
        <v>8641</v>
      </c>
      <c r="I49" s="9">
        <f>'[3]Three Statements'!I7</f>
        <v>8406</v>
      </c>
      <c r="J49" s="9"/>
      <c r="K49" s="9"/>
      <c r="L49" s="9"/>
      <c r="M49" s="9"/>
      <c r="N49" s="9"/>
    </row>
    <row r="50" spans="1:15" x14ac:dyDescent="0.2">
      <c r="A50" t="s">
        <v>178</v>
      </c>
      <c r="B50" s="3">
        <f>B10</f>
        <v>28</v>
      </c>
      <c r="C50" s="3">
        <f t="shared" ref="C50:I50" si="10">C10</f>
        <v>19</v>
      </c>
      <c r="D50" s="3">
        <f t="shared" si="10"/>
        <v>59</v>
      </c>
      <c r="E50" s="3">
        <f t="shared" si="10"/>
        <v>54</v>
      </c>
      <c r="F50" s="3">
        <f t="shared" si="10"/>
        <v>49</v>
      </c>
      <c r="G50" s="3">
        <f t="shared" si="10"/>
        <v>89</v>
      </c>
      <c r="H50" s="3">
        <f t="shared" si="10"/>
        <v>262</v>
      </c>
      <c r="I50" s="3">
        <f t="shared" si="10"/>
        <v>205</v>
      </c>
      <c r="J50" s="3"/>
      <c r="K50" s="3"/>
      <c r="L50" s="3"/>
      <c r="M50" s="3"/>
      <c r="N50" s="3"/>
      <c r="O50" t="s">
        <v>206</v>
      </c>
    </row>
    <row r="51" spans="1:15" x14ac:dyDescent="0.2">
      <c r="A51" t="s">
        <v>179</v>
      </c>
      <c r="B51" s="3">
        <v>964</v>
      </c>
      <c r="C51" s="79">
        <f>C23-B23</f>
        <v>412</v>
      </c>
      <c r="D51" s="79">
        <f t="shared" ref="D51:I51" si="11">D23-C23</f>
        <v>920</v>
      </c>
      <c r="E51" s="79">
        <f t="shared" si="11"/>
        <v>-1493</v>
      </c>
      <c r="F51" s="79">
        <f t="shared" si="11"/>
        <v>-435</v>
      </c>
      <c r="G51" s="79">
        <f t="shared" si="11"/>
        <v>3613</v>
      </c>
      <c r="H51" s="79">
        <f t="shared" si="11"/>
        <v>4345</v>
      </c>
      <c r="I51" s="79">
        <f t="shared" si="11"/>
        <v>866</v>
      </c>
      <c r="J51" s="3"/>
      <c r="K51" s="3"/>
      <c r="L51" s="3"/>
      <c r="M51" s="3"/>
      <c r="N51" s="3"/>
      <c r="O51" t="s">
        <v>207</v>
      </c>
    </row>
    <row r="52" spans="1:15" x14ac:dyDescent="0.2">
      <c r="A52" t="s">
        <v>135</v>
      </c>
      <c r="B52" s="9">
        <f>+[1]Historicals!B167</f>
        <v>121</v>
      </c>
      <c r="C52" s="9">
        <f>+[1]Historicals!C167</f>
        <v>133</v>
      </c>
      <c r="D52" s="9">
        <f>+[1]Historicals!D167</f>
        <v>140</v>
      </c>
      <c r="E52" s="9">
        <f>+[1]Historicals!E167</f>
        <v>160</v>
      </c>
      <c r="F52" s="9">
        <f>+[1]Historicals!F167</f>
        <v>149</v>
      </c>
      <c r="G52" s="9">
        <f>+[1]Historicals!G167</f>
        <v>148</v>
      </c>
      <c r="H52" s="9">
        <f>+[1]Historicals!H167</f>
        <v>130</v>
      </c>
      <c r="I52" s="9">
        <f>+[1]Historicals!I167</f>
        <v>124</v>
      </c>
      <c r="J52" s="3"/>
      <c r="K52" s="3"/>
      <c r="L52" s="3"/>
      <c r="M52" s="3"/>
      <c r="N52" s="3"/>
      <c r="O52" t="s">
        <v>208</v>
      </c>
    </row>
    <row r="53" spans="1:15" x14ac:dyDescent="0.2">
      <c r="A53" s="1" t="s">
        <v>180</v>
      </c>
      <c r="B53" s="9">
        <f>B49+B47-B52-B23</f>
        <v>-4537</v>
      </c>
      <c r="C53" s="9">
        <f t="shared" ref="C53:I53" si="12">C49+C47-C52-C23</f>
        <v>-3823</v>
      </c>
      <c r="D53" s="9">
        <f t="shared" si="12"/>
        <v>-4829</v>
      </c>
      <c r="E53" s="9">
        <f t="shared" si="12"/>
        <v>-2982</v>
      </c>
      <c r="F53" s="9">
        <f t="shared" si="12"/>
        <v>-1746</v>
      </c>
      <c r="G53" s="9">
        <f t="shared" si="12"/>
        <v>-7053</v>
      </c>
      <c r="H53" s="9">
        <f t="shared" si="12"/>
        <v>-7362</v>
      </c>
      <c r="I53" s="9">
        <f t="shared" si="12"/>
        <v>-8484</v>
      </c>
      <c r="J53" s="9"/>
      <c r="K53" s="9"/>
      <c r="L53" s="9"/>
      <c r="M53" s="9"/>
      <c r="N53" s="9"/>
    </row>
    <row r="54" spans="1:15" x14ac:dyDescent="0.2">
      <c r="A54" t="s">
        <v>181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2">
      <c r="A55" s="27" t="s">
        <v>182</v>
      </c>
      <c r="B55" s="26">
        <f>B14+B51</f>
        <v>4237</v>
      </c>
      <c r="C55" s="26">
        <f t="shared" ref="C55:I55" si="13">C14+C51</f>
        <v>4172</v>
      </c>
      <c r="D55" s="26">
        <f t="shared" si="13"/>
        <v>5160</v>
      </c>
      <c r="E55" s="26">
        <f t="shared" si="13"/>
        <v>440</v>
      </c>
      <c r="F55" s="26">
        <f t="shared" si="13"/>
        <v>3594</v>
      </c>
      <c r="G55" s="26">
        <f t="shared" si="13"/>
        <v>6152</v>
      </c>
      <c r="H55" s="26">
        <f t="shared" si="13"/>
        <v>10072</v>
      </c>
      <c r="I55" s="26">
        <f t="shared" si="13"/>
        <v>6912</v>
      </c>
      <c r="J55" s="26"/>
      <c r="K55" s="26"/>
      <c r="L55" s="26"/>
      <c r="M55" s="26"/>
      <c r="N55" s="26"/>
    </row>
    <row r="56" spans="1:15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2">
      <c r="A57" t="s">
        <v>184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5" x14ac:dyDescent="0.2">
      <c r="A58" s="27" t="s">
        <v>185</v>
      </c>
      <c r="B58" s="26">
        <f>B52+[3]Historicals!B78-[3]Historicals!B80</f>
        <v>-7031</v>
      </c>
      <c r="C58" s="26">
        <f>C52+[3]Historicals!C78-[3]Historicals!C80</f>
        <v>-7620</v>
      </c>
      <c r="D58" s="26">
        <f>D52+[3]Historicals!D78-[3]Historicals!D80</f>
        <v>-8211</v>
      </c>
      <c r="E58" s="26">
        <f>E52+[3]Historicals!E78-[3]Historicals!E80</f>
        <v>-7119</v>
      </c>
      <c r="F58" s="26">
        <f>F52+[3]Historicals!F78-[3]Historicals!F80</f>
        <v>-4860</v>
      </c>
      <c r="G58" s="26">
        <f>G52+[3]Historicals!G78-[3]Historicals!G80</f>
        <v>-4657</v>
      </c>
      <c r="H58" s="26">
        <f>H52+[3]Historicals!H78-[3]Historicals!H80</f>
        <v>-12280</v>
      </c>
      <c r="I58" s="26">
        <f>I52+[3]Historicals!I78-[3]Historicals!I80</f>
        <v>-16756</v>
      </c>
      <c r="J58" s="26"/>
      <c r="K58" s="26"/>
      <c r="L58" s="26"/>
      <c r="M58" s="26"/>
      <c r="N58" s="26"/>
    </row>
    <row r="59" spans="1:15" x14ac:dyDescent="0.2">
      <c r="A59" t="s">
        <v>186</v>
      </c>
      <c r="B59" s="3">
        <f>[3]Historicals!B89</f>
        <v>-63</v>
      </c>
      <c r="C59" s="3">
        <f>[3]Historicals!C89</f>
        <v>-67</v>
      </c>
      <c r="D59" s="3">
        <f>[3]Historicals!D89</f>
        <v>327</v>
      </c>
      <c r="E59" s="3">
        <f>[3]Historicals!E89</f>
        <v>13</v>
      </c>
      <c r="F59" s="3">
        <f>[3]Historicals!F89</f>
        <v>0</v>
      </c>
      <c r="G59" s="3">
        <f>[3]Historicals!G89</f>
        <v>6134</v>
      </c>
      <c r="H59" s="3">
        <f>[3]Historicals!H89</f>
        <v>-608</v>
      </c>
      <c r="I59" s="3">
        <f>[3]Historicals!I89</f>
        <v>-4014</v>
      </c>
      <c r="J59" s="3"/>
      <c r="K59" s="3"/>
      <c r="L59" s="60"/>
      <c r="M59" s="3"/>
      <c r="N59" s="3"/>
    </row>
    <row r="60" spans="1:15" x14ac:dyDescent="0.2">
      <c r="A60" s="51" t="s">
        <v>129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7"/>
      <c r="N60" s="57"/>
    </row>
    <row r="61" spans="1:15" x14ac:dyDescent="0.2">
      <c r="A61" t="s">
        <v>187</v>
      </c>
      <c r="B61" s="3">
        <f>[3]Historicals!B90</f>
        <v>-19</v>
      </c>
      <c r="C61" s="3">
        <f>[3]Historicals!C90</f>
        <v>0</v>
      </c>
      <c r="D61" s="3">
        <f>[3]Historicals!D90</f>
        <v>0</v>
      </c>
      <c r="E61" s="3">
        <f>[3]Historicals!E90</f>
        <v>13</v>
      </c>
      <c r="F61" s="3">
        <f>[3]Historicals!F90</f>
        <v>-325</v>
      </c>
      <c r="G61" s="3">
        <f>[3]Historicals!G90</f>
        <v>49</v>
      </c>
      <c r="H61" s="3">
        <f>[3]Historicals!H90</f>
        <v>-1638</v>
      </c>
      <c r="I61" s="3">
        <f>[3]Historicals!I90</f>
        <v>-1837</v>
      </c>
      <c r="J61" s="3"/>
      <c r="K61" s="3"/>
      <c r="L61" s="3"/>
      <c r="M61" s="3"/>
      <c r="N61" s="3"/>
    </row>
    <row r="62" spans="1:15" x14ac:dyDescent="0.2">
      <c r="A62" t="s">
        <v>188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5" x14ac:dyDescent="0.2">
      <c r="A63" t="s">
        <v>189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5" x14ac:dyDescent="0.2">
      <c r="A64" s="27" t="s">
        <v>190</v>
      </c>
      <c r="B64">
        <f>([3]Historicals!B85-[3]Historicals!B87+[3]Historicals!B88)+[3]Historicals!B90</f>
        <v>-201</v>
      </c>
      <c r="C64">
        <f>([3]Historicals!C85-[3]Historicals!C87+[3]Historicals!C88)+[3]Historicals!C90</f>
        <v>-2121</v>
      </c>
      <c r="D64">
        <f>([3]Historicals!D85-[3]Historicals!D87+[3]Historicals!D88)+[3]Historicals!D90</f>
        <v>-2534</v>
      </c>
      <c r="E64">
        <f>([3]Historicals!E85-[3]Historicals!E87+[3]Historicals!E88)+[3]Historicals!E90</f>
        <v>286</v>
      </c>
      <c r="F64">
        <f>([3]Historicals!F85-[3]Historicals!F87+[3]Historicals!F88)+[3]Historicals!F90</f>
        <v>-589</v>
      </c>
      <c r="G64">
        <f>([3]Historicals!G85-[3]Historicals!G87+[3]Historicals!G88)+[3]Historicals!G90</f>
        <v>-979</v>
      </c>
      <c r="H64">
        <f>([3]Historicals!H85-[3]Historicals!H87+[3]Historicals!H88)+[3]Historicals!H90</f>
        <v>-269</v>
      </c>
      <c r="I64">
        <f>([3]Historicals!I85-[3]Historicals!I87+[3]Historicals!I88)+[3]Historicals!I90</f>
        <v>-686</v>
      </c>
      <c r="J64" s="26"/>
      <c r="K64" s="26"/>
      <c r="L64" s="26"/>
      <c r="M64" s="26"/>
      <c r="N64" s="26"/>
    </row>
    <row r="65" spans="1:15" x14ac:dyDescent="0.2">
      <c r="A65" t="s">
        <v>191</v>
      </c>
      <c r="B65" s="2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5" x14ac:dyDescent="0.2">
      <c r="A66" s="27" t="s">
        <v>192</v>
      </c>
      <c r="B66" s="26">
        <f>B55+B58+B64</f>
        <v>-2995</v>
      </c>
      <c r="C66" s="26">
        <f t="shared" ref="C66:I66" si="14">C55+C58+C64</f>
        <v>-5569</v>
      </c>
      <c r="D66" s="26">
        <f t="shared" si="14"/>
        <v>-5585</v>
      </c>
      <c r="E66" s="26">
        <f t="shared" si="14"/>
        <v>-6393</v>
      </c>
      <c r="F66" s="26">
        <f t="shared" si="14"/>
        <v>-1855</v>
      </c>
      <c r="G66" s="26">
        <f t="shared" si="14"/>
        <v>516</v>
      </c>
      <c r="H66" s="26">
        <f t="shared" si="14"/>
        <v>-2477</v>
      </c>
      <c r="I66" s="26">
        <f t="shared" si="14"/>
        <v>-10530</v>
      </c>
      <c r="J66" s="26"/>
      <c r="K66" s="26"/>
      <c r="L66" s="26"/>
      <c r="M66" s="26"/>
      <c r="N66" s="26"/>
    </row>
    <row r="67" spans="1:15" x14ac:dyDescent="0.2">
      <c r="A67" t="s">
        <v>193</v>
      </c>
      <c r="B67" s="3">
        <f>[3]Historicals!B95</f>
        <v>-3008</v>
      </c>
      <c r="C67" s="3">
        <f>[3]Historicals!C95</f>
        <v>-2945</v>
      </c>
      <c r="D67" s="3">
        <f>[3]Historicals!D95</f>
        <v>-2591</v>
      </c>
      <c r="E67" s="3">
        <f>[3]Historicals!E95</f>
        <v>-4828</v>
      </c>
      <c r="F67" s="3">
        <f>[3]Historicals!F95</f>
        <v>-5293</v>
      </c>
      <c r="G67" s="3">
        <f>[3]Historicals!G95</f>
        <v>2491</v>
      </c>
      <c r="H67" s="3">
        <f>[3]Historicals!H95</f>
        <v>8348</v>
      </c>
      <c r="I67" s="3">
        <f>[3]Historicals!I95</f>
        <v>9889</v>
      </c>
      <c r="J67" s="3"/>
      <c r="K67" s="3"/>
      <c r="L67" s="3"/>
      <c r="M67" s="3"/>
      <c r="N67" s="3"/>
    </row>
    <row r="68" spans="1:15" ht="16" thickBot="1" x14ac:dyDescent="0.25">
      <c r="A68" s="6" t="s">
        <v>194</v>
      </c>
      <c r="B68" s="7">
        <f>[3]Historicals!B96</f>
        <v>-83</v>
      </c>
      <c r="C68" s="7">
        <f>[3]Historicals!C96</f>
        <v>-105</v>
      </c>
      <c r="D68" s="7">
        <f>[3]Historicals!D96</f>
        <v>-20</v>
      </c>
      <c r="E68" s="7">
        <f>[3]Historicals!E96</f>
        <v>45</v>
      </c>
      <c r="F68" s="7">
        <f>[3]Historicals!F96</f>
        <v>-129</v>
      </c>
      <c r="G68" s="7">
        <f>[3]Historicals!G96</f>
        <v>-66</v>
      </c>
      <c r="H68" s="7">
        <f>[3]Historicals!H96</f>
        <v>9889</v>
      </c>
      <c r="I68" s="7">
        <f>[3]Historicals!I96</f>
        <v>8574</v>
      </c>
      <c r="J68" s="7"/>
      <c r="K68" s="7"/>
      <c r="L68" s="7"/>
      <c r="M68" s="7"/>
      <c r="N68" s="7"/>
    </row>
    <row r="69" spans="1:15" ht="16" thickTop="1" x14ac:dyDescent="0.2">
      <c r="A69" s="61" t="s">
        <v>175</v>
      </c>
      <c r="B69" s="48">
        <f>B68+B67</f>
        <v>-3091</v>
      </c>
      <c r="C69" s="48">
        <f t="shared" ref="C69:I69" si="15">C68+C67</f>
        <v>-3050</v>
      </c>
      <c r="D69" s="48">
        <f t="shared" si="15"/>
        <v>-2611</v>
      </c>
      <c r="E69" s="48">
        <f t="shared" si="15"/>
        <v>-4783</v>
      </c>
      <c r="F69" s="48">
        <f t="shared" si="15"/>
        <v>-5422</v>
      </c>
      <c r="G69" s="48">
        <f t="shared" si="15"/>
        <v>2425</v>
      </c>
      <c r="H69" s="48">
        <f t="shared" si="15"/>
        <v>18237</v>
      </c>
      <c r="I69" s="48">
        <f t="shared" si="15"/>
        <v>18463</v>
      </c>
      <c r="J69" s="41"/>
      <c r="K69" s="41"/>
      <c r="L69" s="41"/>
      <c r="M69" s="41"/>
      <c r="N69" s="41"/>
    </row>
    <row r="70" spans="1:15" x14ac:dyDescent="0.2">
      <c r="A70" s="1" t="s">
        <v>195</v>
      </c>
      <c r="B70" s="48">
        <f>B36+B35-(B21+B25)</f>
        <v>4857</v>
      </c>
      <c r="C70" s="48">
        <f t="shared" ref="C70:I70" si="16">C36+C35-(C21+C25)</f>
        <v>5955</v>
      </c>
      <c r="D70" s="48">
        <f t="shared" si="16"/>
        <v>7044</v>
      </c>
      <c r="E70" s="48">
        <f t="shared" si="16"/>
        <v>8475</v>
      </c>
      <c r="F70" s="48">
        <f t="shared" si="16"/>
        <v>13675</v>
      </c>
      <c r="G70" s="48">
        <f t="shared" si="16"/>
        <v>24345</v>
      </c>
      <c r="H70" s="48">
        <f t="shared" si="16"/>
        <v>24497</v>
      </c>
      <c r="I70" s="48">
        <f t="shared" si="16"/>
        <v>25386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Petros Leras</cp:lastModifiedBy>
  <dcterms:created xsi:type="dcterms:W3CDTF">2020-05-20T17:26:08Z</dcterms:created>
  <dcterms:modified xsi:type="dcterms:W3CDTF">2024-12-08T21:23:29Z</dcterms:modified>
</cp:coreProperties>
</file>