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petrosleras/Desktop/QCP/Task12/"/>
    </mc:Choice>
  </mc:AlternateContent>
  <xr:revisionPtr revIDLastSave="0" documentId="13_ncr:1_{2359A650-6299-274C-A76A-8070F8841BEB}" xr6:coauthVersionLast="47" xr6:coauthVersionMax="47" xr10:uidLastSave="{00000000-0000-0000-0000-000000000000}"/>
  <bookViews>
    <workbookView xWindow="44660" yWindow="4820" windowWidth="68800" windowHeight="27540" activeTab="2"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L13" i="3"/>
  <c r="M13" i="3"/>
  <c r="N13" i="3"/>
  <c r="J13" i="3"/>
  <c r="K11" i="3"/>
  <c r="L11" i="3" s="1"/>
  <c r="M11" i="3" s="1"/>
  <c r="N11" i="3" s="1"/>
  <c r="J11" i="3"/>
  <c r="K10" i="3"/>
  <c r="L10" i="3"/>
  <c r="M10" i="3"/>
  <c r="N10" i="3"/>
  <c r="J10" i="3"/>
  <c r="K8" i="3"/>
  <c r="L8" i="3" s="1"/>
  <c r="M8" i="3" s="1"/>
  <c r="N8" i="3" s="1"/>
  <c r="J8" i="3"/>
  <c r="K7" i="3"/>
  <c r="L7" i="3"/>
  <c r="M7" i="3"/>
  <c r="N7" i="3"/>
  <c r="J7" i="3"/>
  <c r="K5" i="3"/>
  <c r="L5" i="3" s="1"/>
  <c r="M5" i="3" s="1"/>
  <c r="N5" i="3" s="1"/>
  <c r="J5" i="3"/>
  <c r="K3" i="3"/>
  <c r="L3" i="3" s="1"/>
  <c r="M3" i="3" s="1"/>
  <c r="N3" i="3" s="1"/>
  <c r="K41" i="3"/>
  <c r="L41" i="3"/>
  <c r="M41" i="3"/>
  <c r="N41" i="3"/>
  <c r="J41" i="3"/>
  <c r="J4" i="3"/>
  <c r="J3" i="3"/>
  <c r="M50" i="3"/>
  <c r="L50" i="3"/>
  <c r="N50" i="3"/>
  <c r="K48" i="3"/>
  <c r="L48" i="3" s="1"/>
  <c r="J50" i="3"/>
  <c r="J49" i="3"/>
  <c r="J48" i="3"/>
  <c r="K47" i="3"/>
  <c r="L47" i="3"/>
  <c r="M47" i="3"/>
  <c r="N47" i="3"/>
  <c r="J47" i="3"/>
  <c r="K45" i="3"/>
  <c r="L45" i="3" s="1"/>
  <c r="K46" i="3"/>
  <c r="J46" i="3"/>
  <c r="J45" i="3"/>
  <c r="K44" i="3"/>
  <c r="L44" i="3"/>
  <c r="M44" i="3"/>
  <c r="N44" i="3"/>
  <c r="J44" i="3"/>
  <c r="K43" i="3"/>
  <c r="L43" i="3"/>
  <c r="M43" i="3"/>
  <c r="N43" i="3"/>
  <c r="J43" i="3"/>
  <c r="K42" i="3"/>
  <c r="L42" i="3" s="1"/>
  <c r="M42" i="3" s="1"/>
  <c r="N42" i="3" s="1"/>
  <c r="J42" i="3"/>
  <c r="K40" i="3"/>
  <c r="L40" i="3"/>
  <c r="M40" i="3"/>
  <c r="N40" i="3"/>
  <c r="J40" i="3"/>
  <c r="K39" i="3"/>
  <c r="L39" i="3"/>
  <c r="M39" i="3"/>
  <c r="N39" i="3"/>
  <c r="J39" i="3"/>
  <c r="J38" i="3"/>
  <c r="K38" i="3"/>
  <c r="L38" i="3" s="1"/>
  <c r="M38" i="3" s="1"/>
  <c r="N38" i="3" s="1"/>
  <c r="K37" i="3"/>
  <c r="L37" i="3"/>
  <c r="M37" i="3"/>
  <c r="N37" i="3"/>
  <c r="J37" i="3"/>
  <c r="L36" i="3"/>
  <c r="M36" i="3"/>
  <c r="N36" i="3"/>
  <c r="K36" i="3"/>
  <c r="J36" i="3"/>
  <c r="K35" i="3"/>
  <c r="L35" i="3" s="1"/>
  <c r="M35" i="3" s="1"/>
  <c r="N35" i="3" s="1"/>
  <c r="J35" i="3"/>
  <c r="J21" i="3"/>
  <c r="K34" i="3"/>
  <c r="L34" i="3"/>
  <c r="M34" i="3"/>
  <c r="N34" i="3"/>
  <c r="J34" i="3"/>
  <c r="K33" i="3"/>
  <c r="L33" i="3"/>
  <c r="M33" i="3"/>
  <c r="N33" i="3"/>
  <c r="J33" i="3"/>
  <c r="K32" i="3"/>
  <c r="L32" i="3"/>
  <c r="M32" i="3"/>
  <c r="N32" i="3"/>
  <c r="J32" i="3"/>
  <c r="K31" i="3"/>
  <c r="L31" i="3" s="1"/>
  <c r="M31" i="3" s="1"/>
  <c r="N31" i="3" s="1"/>
  <c r="J31" i="3"/>
  <c r="K30" i="3"/>
  <c r="L30" i="3"/>
  <c r="M30" i="3"/>
  <c r="N30" i="3"/>
  <c r="J30" i="3"/>
  <c r="K29" i="3"/>
  <c r="L29" i="3"/>
  <c r="M29" i="3"/>
  <c r="N29" i="3"/>
  <c r="J29" i="3"/>
  <c r="N27" i="3"/>
  <c r="N28" i="3" s="1"/>
  <c r="L27" i="3"/>
  <c r="M27" i="3" s="1"/>
  <c r="K27" i="3"/>
  <c r="K28" i="3" s="1"/>
  <c r="J28" i="3"/>
  <c r="J27" i="3"/>
  <c r="K26" i="3"/>
  <c r="L26" i="3"/>
  <c r="M26" i="3"/>
  <c r="N26" i="3"/>
  <c r="J26" i="3"/>
  <c r="K25" i="3"/>
  <c r="L25" i="3"/>
  <c r="M25" i="3"/>
  <c r="N25" i="3"/>
  <c r="J25" i="3"/>
  <c r="K24" i="3"/>
  <c r="L24" i="3"/>
  <c r="M24" i="3"/>
  <c r="N24" i="3"/>
  <c r="J24" i="3"/>
  <c r="K23" i="3"/>
  <c r="L23" i="3" s="1"/>
  <c r="M23" i="3" s="1"/>
  <c r="N23" i="3" s="1"/>
  <c r="J23" i="3"/>
  <c r="K22" i="3"/>
  <c r="L22" i="3"/>
  <c r="M22" i="3"/>
  <c r="N22" i="3"/>
  <c r="J22" i="3"/>
  <c r="K21" i="3"/>
  <c r="L21" i="3" s="1"/>
  <c r="M21" i="3" s="1"/>
  <c r="N21" i="3" s="1"/>
  <c r="I17" i="3"/>
  <c r="I19" i="3" s="1"/>
  <c r="H17" i="3"/>
  <c r="H19" i="3" s="1"/>
  <c r="G17" i="3"/>
  <c r="F17" i="3"/>
  <c r="E17" i="3"/>
  <c r="D17" i="3"/>
  <c r="D19" i="3" s="1"/>
  <c r="C17" i="3"/>
  <c r="C19" i="3" s="1"/>
  <c r="B17" i="3"/>
  <c r="B19" i="3" s="1"/>
  <c r="G16" i="3"/>
  <c r="H15" i="3"/>
  <c r="F15" i="3"/>
  <c r="B15" i="3"/>
  <c r="I14" i="3"/>
  <c r="H14" i="3"/>
  <c r="H16" i="3" s="1"/>
  <c r="G14" i="3"/>
  <c r="F14" i="3"/>
  <c r="F16" i="3" s="1"/>
  <c r="E14" i="3"/>
  <c r="E16" i="3" s="1"/>
  <c r="D14" i="3"/>
  <c r="D16" i="3" s="1"/>
  <c r="C14" i="3"/>
  <c r="C16" i="3" s="1"/>
  <c r="B14" i="3"/>
  <c r="B16" i="3" s="1"/>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F7" i="3"/>
  <c r="E7" i="3"/>
  <c r="D7" i="3"/>
  <c r="C7" i="3"/>
  <c r="B7" i="3"/>
  <c r="I6" i="3"/>
  <c r="D6" i="3"/>
  <c r="C6" i="3"/>
  <c r="B6" i="3"/>
  <c r="I5" i="3"/>
  <c r="I7" i="3" s="1"/>
  <c r="H5" i="3"/>
  <c r="H7" i="3" s="1"/>
  <c r="G5" i="3"/>
  <c r="G6" i="3" s="1"/>
  <c r="F5" i="3"/>
  <c r="F6" i="3" s="1"/>
  <c r="E5" i="3"/>
  <c r="E6" i="3" s="1"/>
  <c r="D5" i="3"/>
  <c r="C5" i="3"/>
  <c r="B5" i="3"/>
  <c r="I4" i="3"/>
  <c r="H4" i="3"/>
  <c r="G4" i="3"/>
  <c r="F4" i="3"/>
  <c r="E4" i="3"/>
  <c r="D4" i="3"/>
  <c r="C4" i="3"/>
  <c r="B4" i="3"/>
  <c r="C69" i="4"/>
  <c r="I68" i="4"/>
  <c r="I69" i="4" s="1"/>
  <c r="H68" i="4"/>
  <c r="G68" i="4"/>
  <c r="F68" i="4"/>
  <c r="E68" i="4"/>
  <c r="D68" i="4"/>
  <c r="C68" i="4"/>
  <c r="B68" i="4"/>
  <c r="B69" i="4" s="1"/>
  <c r="I67" i="4"/>
  <c r="H67" i="4"/>
  <c r="G67" i="4"/>
  <c r="F67" i="4"/>
  <c r="E67" i="4"/>
  <c r="D67" i="4"/>
  <c r="C67" i="4"/>
  <c r="B67" i="4"/>
  <c r="I64" i="4"/>
  <c r="H64" i="4"/>
  <c r="G64" i="4"/>
  <c r="F64" i="4"/>
  <c r="E64" i="4"/>
  <c r="D64" i="4"/>
  <c r="C64" i="4"/>
  <c r="B64" i="4"/>
  <c r="I61" i="4"/>
  <c r="H61" i="4"/>
  <c r="G61" i="4"/>
  <c r="F61" i="4"/>
  <c r="E61" i="4"/>
  <c r="D61" i="4"/>
  <c r="C61" i="4"/>
  <c r="B61" i="4"/>
  <c r="I59" i="4"/>
  <c r="H59" i="4"/>
  <c r="G59" i="4"/>
  <c r="F59" i="4"/>
  <c r="E59" i="4"/>
  <c r="D59" i="4"/>
  <c r="C59" i="4"/>
  <c r="B59" i="4"/>
  <c r="I58" i="4"/>
  <c r="G58" i="4"/>
  <c r="I52" i="4"/>
  <c r="H52" i="4"/>
  <c r="H58" i="4" s="1"/>
  <c r="G52" i="4"/>
  <c r="F52" i="4"/>
  <c r="F58" i="4" s="1"/>
  <c r="E52" i="4"/>
  <c r="E58" i="4" s="1"/>
  <c r="D52" i="4"/>
  <c r="D58" i="4" s="1"/>
  <c r="C52" i="4"/>
  <c r="C58" i="4" s="1"/>
  <c r="B52" i="4"/>
  <c r="B58" i="4" s="1"/>
  <c r="I49" i="4"/>
  <c r="H49" i="4"/>
  <c r="G49" i="4"/>
  <c r="F49" i="4"/>
  <c r="E49" i="4"/>
  <c r="D49" i="4"/>
  <c r="C49" i="4"/>
  <c r="B49" i="4"/>
  <c r="I43" i="4"/>
  <c r="H43" i="4"/>
  <c r="G43" i="4"/>
  <c r="F43" i="4"/>
  <c r="E43" i="4"/>
  <c r="D43" i="4"/>
  <c r="C43" i="4"/>
  <c r="B43" i="4"/>
  <c r="I41" i="4"/>
  <c r="H41" i="4"/>
  <c r="G41" i="4"/>
  <c r="F41" i="4"/>
  <c r="E41" i="4"/>
  <c r="D41" i="4"/>
  <c r="C41" i="4"/>
  <c r="B41" i="4"/>
  <c r="I39" i="4"/>
  <c r="H39" i="4"/>
  <c r="G39" i="4"/>
  <c r="F39" i="4"/>
  <c r="E39" i="4"/>
  <c r="E42" i="4" s="1"/>
  <c r="D39" i="4"/>
  <c r="D42" i="4" s="1"/>
  <c r="C39" i="4"/>
  <c r="C42" i="4" s="1"/>
  <c r="B39" i="4"/>
  <c r="I37" i="4"/>
  <c r="H37" i="4"/>
  <c r="G37" i="4"/>
  <c r="F37" i="4"/>
  <c r="E37" i="4"/>
  <c r="D37" i="4"/>
  <c r="C37" i="4"/>
  <c r="B37" i="4"/>
  <c r="I36" i="4"/>
  <c r="H36" i="4"/>
  <c r="G36" i="4"/>
  <c r="F36" i="4"/>
  <c r="C36" i="4"/>
  <c r="B36" i="4"/>
  <c r="I35" i="4"/>
  <c r="H35" i="4"/>
  <c r="G35" i="4"/>
  <c r="F35" i="4"/>
  <c r="E35" i="4"/>
  <c r="E70" i="4" s="1"/>
  <c r="D35" i="4"/>
  <c r="D70" i="4" s="1"/>
  <c r="C35" i="4"/>
  <c r="B35" i="4"/>
  <c r="I34" i="4"/>
  <c r="H34" i="4"/>
  <c r="G34" i="4"/>
  <c r="F34" i="4"/>
  <c r="E34" i="4"/>
  <c r="D34" i="4"/>
  <c r="C34" i="4"/>
  <c r="B34" i="4"/>
  <c r="I33" i="4"/>
  <c r="H33" i="4"/>
  <c r="G33" i="4"/>
  <c r="F33" i="4"/>
  <c r="E33" i="4"/>
  <c r="D33" i="4"/>
  <c r="C33" i="4"/>
  <c r="B33" i="4"/>
  <c r="I31" i="4"/>
  <c r="H31" i="4"/>
  <c r="G31" i="4"/>
  <c r="F31" i="4"/>
  <c r="E31" i="4"/>
  <c r="D31" i="4"/>
  <c r="C31" i="4"/>
  <c r="B31"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3" i="4"/>
  <c r="H23" i="4"/>
  <c r="G23" i="4"/>
  <c r="F23" i="4"/>
  <c r="E23" i="4"/>
  <c r="D23" i="4"/>
  <c r="C23" i="4"/>
  <c r="B23" i="4"/>
  <c r="I21" i="4"/>
  <c r="H21" i="4"/>
  <c r="G21" i="4"/>
  <c r="F21" i="4"/>
  <c r="E21" i="4"/>
  <c r="D21" i="4"/>
  <c r="C21" i="4"/>
  <c r="B21" i="4"/>
  <c r="I19" i="4"/>
  <c r="H19" i="4"/>
  <c r="G19" i="4"/>
  <c r="F19" i="4"/>
  <c r="E19" i="4"/>
  <c r="B19" i="4"/>
  <c r="I17" i="4"/>
  <c r="H17" i="4"/>
  <c r="G17" i="4"/>
  <c r="F17" i="4"/>
  <c r="E17" i="4"/>
  <c r="D17" i="4"/>
  <c r="C17" i="4"/>
  <c r="B17" i="4"/>
  <c r="I16" i="4"/>
  <c r="H16" i="4"/>
  <c r="G16" i="4"/>
  <c r="F16" i="4"/>
  <c r="G18" i="4" s="1"/>
  <c r="E16" i="4"/>
  <c r="D16" i="4"/>
  <c r="C16" i="4"/>
  <c r="B16" i="4"/>
  <c r="I15" i="4"/>
  <c r="H15" i="4"/>
  <c r="G15" i="4"/>
  <c r="F15" i="4"/>
  <c r="E15" i="4"/>
  <c r="D15" i="4"/>
  <c r="C15" i="4"/>
  <c r="B15" i="4"/>
  <c r="I14" i="4"/>
  <c r="H14" i="4"/>
  <c r="G14" i="4"/>
  <c r="F14" i="4"/>
  <c r="E14" i="4"/>
  <c r="D14" i="4"/>
  <c r="C14" i="4"/>
  <c r="B14" i="4"/>
  <c r="B55" i="4" s="1"/>
  <c r="I12" i="4"/>
  <c r="H12" i="4"/>
  <c r="H48" i="4" s="1"/>
  <c r="G12" i="4"/>
  <c r="G48" i="4" s="1"/>
  <c r="F12" i="4"/>
  <c r="F48" i="4" s="1"/>
  <c r="E12" i="4"/>
  <c r="E48" i="4" s="1"/>
  <c r="D12" i="4"/>
  <c r="D48" i="4" s="1"/>
  <c r="C12" i="4"/>
  <c r="C48" i="4" s="1"/>
  <c r="B12" i="4"/>
  <c r="B48" i="4" s="1"/>
  <c r="I10" i="4"/>
  <c r="I50" i="4" s="1"/>
  <c r="H10" i="4"/>
  <c r="H50" i="4" s="1"/>
  <c r="G10" i="4"/>
  <c r="G50" i="4" s="1"/>
  <c r="F10" i="4"/>
  <c r="F50" i="4" s="1"/>
  <c r="E10" i="4"/>
  <c r="E50" i="4" s="1"/>
  <c r="D10" i="4"/>
  <c r="D50" i="4" s="1"/>
  <c r="C10" i="4"/>
  <c r="C50" i="4" s="1"/>
  <c r="B10" i="4"/>
  <c r="B50" i="4" s="1"/>
  <c r="I9" i="4"/>
  <c r="H9" i="4"/>
  <c r="G9" i="4"/>
  <c r="F9" i="4"/>
  <c r="E9" i="4"/>
  <c r="D9" i="4"/>
  <c r="C9" i="4"/>
  <c r="B9" i="4"/>
  <c r="I8" i="4"/>
  <c r="H8" i="4"/>
  <c r="G8" i="4"/>
  <c r="F8" i="4"/>
  <c r="E8" i="4"/>
  <c r="D8" i="4"/>
  <c r="C8" i="4"/>
  <c r="B8" i="4"/>
  <c r="I7" i="4"/>
  <c r="I46" i="4" s="1"/>
  <c r="H7" i="4"/>
  <c r="H46" i="4" s="1"/>
  <c r="G7" i="4"/>
  <c r="G46" i="4" s="1"/>
  <c r="F7" i="4"/>
  <c r="F46" i="4" s="1"/>
  <c r="E7" i="4"/>
  <c r="D7" i="4"/>
  <c r="D46" i="4" s="1"/>
  <c r="C7" i="4"/>
  <c r="C46" i="4" s="1"/>
  <c r="B7" i="4"/>
  <c r="I6" i="4"/>
  <c r="I47" i="4" s="1"/>
  <c r="H6" i="4"/>
  <c r="H47" i="4" s="1"/>
  <c r="G6" i="4"/>
  <c r="G47" i="4" s="1"/>
  <c r="F6" i="4"/>
  <c r="F47" i="4" s="1"/>
  <c r="E6" i="4"/>
  <c r="E47" i="4" s="1"/>
  <c r="D6" i="4"/>
  <c r="D47" i="4" s="1"/>
  <c r="C6" i="4"/>
  <c r="C47" i="4" s="1"/>
  <c r="B6" i="4"/>
  <c r="B47" i="4" s="1"/>
  <c r="I5" i="4"/>
  <c r="H5" i="4"/>
  <c r="G5" i="4"/>
  <c r="F5" i="4"/>
  <c r="E5" i="4"/>
  <c r="D5" i="4"/>
  <c r="C5" i="4"/>
  <c r="B5" i="4"/>
  <c r="I4" i="4"/>
  <c r="H4" i="4"/>
  <c r="G4" i="4"/>
  <c r="F4" i="4"/>
  <c r="E4" i="4"/>
  <c r="D4" i="4"/>
  <c r="C4" i="4"/>
  <c r="B4" i="4"/>
  <c r="I3" i="4"/>
  <c r="H3" i="4"/>
  <c r="G3" i="4"/>
  <c r="G24" i="4" s="1"/>
  <c r="F3" i="4"/>
  <c r="F24" i="4" s="1"/>
  <c r="E3" i="4"/>
  <c r="D3" i="4"/>
  <c r="C3" i="4"/>
  <c r="B3" i="4"/>
  <c r="H202" i="1"/>
  <c r="H197" i="1"/>
  <c r="H196" i="1"/>
  <c r="H195" i="1"/>
  <c r="H194" i="1"/>
  <c r="H193" i="1"/>
  <c r="H192" i="1"/>
  <c r="H191" i="1"/>
  <c r="H190" i="1"/>
  <c r="H189" i="1"/>
  <c r="H188" i="1"/>
  <c r="H187" i="1"/>
  <c r="H186" i="1"/>
  <c r="H185" i="1"/>
  <c r="H184" i="1"/>
  <c r="H183" i="1"/>
  <c r="H182" i="1"/>
  <c r="H181" i="1"/>
  <c r="H180" i="1"/>
  <c r="H179" i="1"/>
  <c r="G202" i="1"/>
  <c r="F202" i="1"/>
  <c r="E202" i="1"/>
  <c r="D202" i="1"/>
  <c r="C202" i="1"/>
  <c r="B200" i="1"/>
  <c r="B199" i="1"/>
  <c r="B198" i="1"/>
  <c r="E197" i="1"/>
  <c r="D197" i="1"/>
  <c r="C197" i="1"/>
  <c r="B197" i="1"/>
  <c r="G195" i="1"/>
  <c r="F195" i="1"/>
  <c r="E195" i="1"/>
  <c r="D195" i="1"/>
  <c r="C195" i="1"/>
  <c r="B195" i="1"/>
  <c r="G194" i="1"/>
  <c r="F194" i="1"/>
  <c r="E194" i="1"/>
  <c r="D194" i="1"/>
  <c r="C194" i="1"/>
  <c r="B194" i="1"/>
  <c r="G193" i="1"/>
  <c r="F193" i="1"/>
  <c r="E193" i="1"/>
  <c r="D193" i="1"/>
  <c r="C193" i="1"/>
  <c r="B193" i="1"/>
  <c r="G192" i="1"/>
  <c r="F192" i="1"/>
  <c r="E192" i="1"/>
  <c r="D192" i="1"/>
  <c r="C192" i="1"/>
  <c r="B192" i="1"/>
  <c r="C191" i="1"/>
  <c r="B191" i="1"/>
  <c r="G190" i="1"/>
  <c r="F190" i="1"/>
  <c r="E190" i="1"/>
  <c r="D190" i="1"/>
  <c r="C190" i="1"/>
  <c r="B190" i="1"/>
  <c r="G189" i="1"/>
  <c r="F189" i="1"/>
  <c r="E189" i="1"/>
  <c r="D189" i="1"/>
  <c r="C189" i="1"/>
  <c r="B189" i="1"/>
  <c r="G188" i="1"/>
  <c r="F188" i="1"/>
  <c r="E188" i="1"/>
  <c r="D188" i="1"/>
  <c r="C188" i="1"/>
  <c r="B188" i="1"/>
  <c r="G187" i="1"/>
  <c r="F187" i="1"/>
  <c r="G186" i="1"/>
  <c r="F186" i="1"/>
  <c r="E186" i="1"/>
  <c r="D186" i="1"/>
  <c r="C186" i="1"/>
  <c r="B186" i="1"/>
  <c r="G185" i="1"/>
  <c r="F185" i="1"/>
  <c r="E185" i="1"/>
  <c r="D185" i="1"/>
  <c r="C185" i="1"/>
  <c r="B185" i="1"/>
  <c r="G184" i="1"/>
  <c r="F184" i="1"/>
  <c r="E184" i="1"/>
  <c r="D184" i="1"/>
  <c r="C184" i="1"/>
  <c r="B184" i="1"/>
  <c r="E183" i="1"/>
  <c r="D183" i="1"/>
  <c r="C183" i="1"/>
  <c r="B183" i="1"/>
  <c r="G182" i="1"/>
  <c r="F182" i="1"/>
  <c r="E182" i="1"/>
  <c r="D182" i="1"/>
  <c r="C182" i="1"/>
  <c r="B182" i="1"/>
  <c r="G181" i="1"/>
  <c r="F181" i="1"/>
  <c r="E181" i="1"/>
  <c r="D181" i="1"/>
  <c r="C181" i="1"/>
  <c r="B181" i="1"/>
  <c r="G180" i="1"/>
  <c r="F180" i="1"/>
  <c r="E180" i="1"/>
  <c r="D180" i="1"/>
  <c r="C180" i="1"/>
  <c r="B180" i="1"/>
  <c r="G179" i="1"/>
  <c r="F179" i="1"/>
  <c r="E179" i="1"/>
  <c r="G174" i="1"/>
  <c r="F174" i="1"/>
  <c r="E174" i="1"/>
  <c r="D174" i="1"/>
  <c r="C174" i="1"/>
  <c r="B174" i="1"/>
  <c r="G173" i="1"/>
  <c r="F173" i="1"/>
  <c r="E173" i="1"/>
  <c r="D173" i="1"/>
  <c r="C173" i="1"/>
  <c r="B173" i="1"/>
  <c r="G171" i="1"/>
  <c r="F171" i="1"/>
  <c r="E171" i="1"/>
  <c r="D171" i="1"/>
  <c r="C171" i="1"/>
  <c r="B171" i="1"/>
  <c r="G170" i="1"/>
  <c r="F170" i="1"/>
  <c r="E170" i="1"/>
  <c r="D170" i="1"/>
  <c r="C170" i="1"/>
  <c r="B170" i="1"/>
  <c r="G169" i="1"/>
  <c r="F169" i="1"/>
  <c r="E169" i="1"/>
  <c r="D169" i="1"/>
  <c r="C169" i="1"/>
  <c r="B169" i="1"/>
  <c r="G168" i="1"/>
  <c r="F168" i="1"/>
  <c r="E168" i="1"/>
  <c r="D168" i="1"/>
  <c r="C168" i="1"/>
  <c r="B168" i="1"/>
  <c r="G167" i="1"/>
  <c r="G172" i="1" s="1"/>
  <c r="G175" i="1" s="1"/>
  <c r="F167" i="1"/>
  <c r="F172" i="1" s="1"/>
  <c r="F175" i="1" s="1"/>
  <c r="E167" i="1"/>
  <c r="E172" i="1" s="1"/>
  <c r="E175" i="1" s="1"/>
  <c r="D167" i="1"/>
  <c r="D172" i="1" s="1"/>
  <c r="D175" i="1" s="1"/>
  <c r="C167" i="1"/>
  <c r="C172" i="1" s="1"/>
  <c r="C175" i="1" s="1"/>
  <c r="B167" i="1"/>
  <c r="B172" i="1" s="1"/>
  <c r="B175" i="1" s="1"/>
  <c r="G163" i="1"/>
  <c r="F163" i="1"/>
  <c r="E163" i="1"/>
  <c r="D163" i="1"/>
  <c r="C163" i="1"/>
  <c r="B163" i="1"/>
  <c r="G162" i="1"/>
  <c r="F162" i="1"/>
  <c r="E162" i="1"/>
  <c r="D162" i="1"/>
  <c r="C162" i="1"/>
  <c r="B162" i="1"/>
  <c r="G160" i="1"/>
  <c r="F160" i="1"/>
  <c r="E160" i="1"/>
  <c r="D160" i="1"/>
  <c r="C160" i="1"/>
  <c r="B160" i="1"/>
  <c r="G159" i="1"/>
  <c r="F159" i="1"/>
  <c r="E159" i="1"/>
  <c r="D159" i="1"/>
  <c r="C159" i="1"/>
  <c r="B159" i="1"/>
  <c r="G158" i="1"/>
  <c r="F158" i="1"/>
  <c r="E158" i="1"/>
  <c r="D158" i="1"/>
  <c r="C158" i="1"/>
  <c r="B158" i="1"/>
  <c r="G157" i="1"/>
  <c r="F157" i="1"/>
  <c r="E157" i="1"/>
  <c r="D157" i="1"/>
  <c r="C157" i="1"/>
  <c r="B157" i="1"/>
  <c r="G156" i="1"/>
  <c r="G161" i="1" s="1"/>
  <c r="G164" i="1" s="1"/>
  <c r="F156" i="1"/>
  <c r="F161" i="1" s="1"/>
  <c r="F164" i="1" s="1"/>
  <c r="E156" i="1"/>
  <c r="E161" i="1" s="1"/>
  <c r="E164" i="1" s="1"/>
  <c r="D156" i="1"/>
  <c r="D161" i="1" s="1"/>
  <c r="D164" i="1" s="1"/>
  <c r="C156" i="1"/>
  <c r="C161" i="1" s="1"/>
  <c r="C164" i="1" s="1"/>
  <c r="B156" i="1"/>
  <c r="B161" i="1" s="1"/>
  <c r="B164" i="1" s="1"/>
  <c r="G152" i="1"/>
  <c r="F152" i="1"/>
  <c r="E152" i="1"/>
  <c r="D152" i="1"/>
  <c r="C152" i="1"/>
  <c r="B152" i="1"/>
  <c r="G151" i="1"/>
  <c r="F151" i="1"/>
  <c r="E151" i="1"/>
  <c r="D151" i="1"/>
  <c r="C151" i="1"/>
  <c r="B151" i="1"/>
  <c r="G149" i="1"/>
  <c r="F149" i="1"/>
  <c r="E149" i="1"/>
  <c r="D149" i="1"/>
  <c r="C149" i="1"/>
  <c r="B149" i="1"/>
  <c r="G148" i="1"/>
  <c r="F148" i="1"/>
  <c r="E148" i="1"/>
  <c r="D148" i="1"/>
  <c r="D150" i="1" s="1"/>
  <c r="D153" i="1" s="1"/>
  <c r="D154" i="1" s="1"/>
  <c r="C148" i="1"/>
  <c r="B148" i="1"/>
  <c r="G147" i="1"/>
  <c r="F147" i="1"/>
  <c r="E147" i="1"/>
  <c r="D147" i="1"/>
  <c r="C147" i="1"/>
  <c r="B147" i="1"/>
  <c r="G146" i="1"/>
  <c r="F146" i="1"/>
  <c r="E146" i="1"/>
  <c r="D146" i="1"/>
  <c r="C146" i="1"/>
  <c r="B146" i="1"/>
  <c r="G145" i="1"/>
  <c r="G150" i="1" s="1"/>
  <c r="G153" i="1" s="1"/>
  <c r="G154" i="1" s="1"/>
  <c r="F145" i="1"/>
  <c r="F150" i="1" s="1"/>
  <c r="F153" i="1" s="1"/>
  <c r="F154" i="1" s="1"/>
  <c r="E145" i="1"/>
  <c r="E150" i="1" s="1"/>
  <c r="E153" i="1" s="1"/>
  <c r="E154" i="1" s="1"/>
  <c r="D145" i="1"/>
  <c r="C145" i="1"/>
  <c r="C150" i="1" s="1"/>
  <c r="C153" i="1" s="1"/>
  <c r="C154" i="1" s="1"/>
  <c r="B145" i="1"/>
  <c r="B150" i="1" s="1"/>
  <c r="B153" i="1" s="1"/>
  <c r="B154" i="1" s="1"/>
  <c r="G142" i="1"/>
  <c r="G143" i="1" s="1"/>
  <c r="F142" i="1"/>
  <c r="F143" i="1" s="1"/>
  <c r="E142" i="1"/>
  <c r="D142" i="1"/>
  <c r="G139" i="1"/>
  <c r="F139" i="1"/>
  <c r="E139" i="1"/>
  <c r="D139" i="1"/>
  <c r="C139" i="1"/>
  <c r="C142" i="1" s="1"/>
  <c r="B139" i="1"/>
  <c r="B142" i="1" s="1"/>
  <c r="G129" i="1"/>
  <c r="F129" i="1"/>
  <c r="G128" i="1"/>
  <c r="F128" i="1"/>
  <c r="G127" i="1"/>
  <c r="F127" i="1"/>
  <c r="G126" i="1"/>
  <c r="F126" i="1"/>
  <c r="G125" i="1"/>
  <c r="G197" i="1" s="1"/>
  <c r="F125" i="1"/>
  <c r="F197" i="1" s="1"/>
  <c r="G119" i="1"/>
  <c r="G191" i="1" s="1"/>
  <c r="F119" i="1"/>
  <c r="F191" i="1" s="1"/>
  <c r="E119" i="1"/>
  <c r="E191" i="1" s="1"/>
  <c r="D119" i="1"/>
  <c r="D191" i="1" s="1"/>
  <c r="C119" i="1"/>
  <c r="B119" i="1"/>
  <c r="G115" i="1"/>
  <c r="F115" i="1"/>
  <c r="E115" i="1"/>
  <c r="E187" i="1" s="1"/>
  <c r="D115" i="1"/>
  <c r="D187" i="1" s="1"/>
  <c r="C115" i="1"/>
  <c r="C187" i="1" s="1"/>
  <c r="B115" i="1"/>
  <c r="B187" i="1" s="1"/>
  <c r="G111" i="1"/>
  <c r="G183" i="1" s="1"/>
  <c r="F111" i="1"/>
  <c r="F183" i="1" s="1"/>
  <c r="E111" i="1"/>
  <c r="D111" i="1"/>
  <c r="C111" i="1"/>
  <c r="B111" i="1"/>
  <c r="G107" i="1"/>
  <c r="G124" i="1" s="1"/>
  <c r="F107" i="1"/>
  <c r="F124" i="1" s="1"/>
  <c r="E107" i="1"/>
  <c r="E124" i="1" s="1"/>
  <c r="D107" i="1"/>
  <c r="D124" i="1" s="1"/>
  <c r="C107" i="1"/>
  <c r="C179" i="1" s="1"/>
  <c r="B107" i="1"/>
  <c r="B179" i="1" s="1"/>
  <c r="G97" i="1"/>
  <c r="F97" i="1"/>
  <c r="E97" i="1"/>
  <c r="D97" i="1"/>
  <c r="C97" i="1"/>
  <c r="B97" i="1"/>
  <c r="E95" i="1"/>
  <c r="D95" i="1"/>
  <c r="D91" i="1"/>
  <c r="D90" i="1"/>
  <c r="C90" i="1"/>
  <c r="C95" i="1" s="1"/>
  <c r="F89" i="1"/>
  <c r="G88" i="1"/>
  <c r="F88" i="1"/>
  <c r="G87" i="1"/>
  <c r="G95" i="1" s="1"/>
  <c r="F87" i="1"/>
  <c r="F95" i="1" s="1"/>
  <c r="E87" i="1"/>
  <c r="B87" i="1"/>
  <c r="B95" i="1" s="1"/>
  <c r="G85" i="1"/>
  <c r="F85" i="1"/>
  <c r="E85" i="1"/>
  <c r="D85" i="1"/>
  <c r="C85" i="1"/>
  <c r="B85" i="1"/>
  <c r="G76" i="1"/>
  <c r="F76" i="1"/>
  <c r="G75" i="1"/>
  <c r="F75" i="1"/>
  <c r="E75" i="1"/>
  <c r="E76" i="1" s="1"/>
  <c r="D75" i="1"/>
  <c r="D76" i="1" s="1"/>
  <c r="C75" i="1"/>
  <c r="C76" i="1" s="1"/>
  <c r="B75" i="1"/>
  <c r="B76" i="1" s="1"/>
  <c r="E59" i="1"/>
  <c r="E60" i="1" s="1"/>
  <c r="D59" i="1"/>
  <c r="D60" i="1" s="1"/>
  <c r="G58" i="1"/>
  <c r="F58" i="1"/>
  <c r="E58" i="1"/>
  <c r="D58" i="1"/>
  <c r="C58" i="1"/>
  <c r="C59" i="1" s="1"/>
  <c r="C60" i="1" s="1"/>
  <c r="B58" i="1"/>
  <c r="B59" i="1" s="1"/>
  <c r="B60" i="1" s="1"/>
  <c r="G45" i="1"/>
  <c r="G59" i="1" s="1"/>
  <c r="G60" i="1" s="1"/>
  <c r="F45" i="1"/>
  <c r="F59" i="1" s="1"/>
  <c r="F60" i="1" s="1"/>
  <c r="E45" i="1"/>
  <c r="D45" i="1"/>
  <c r="C45" i="1"/>
  <c r="B45" i="1"/>
  <c r="G36" i="1"/>
  <c r="F36" i="1"/>
  <c r="E36" i="1"/>
  <c r="D36" i="1"/>
  <c r="C36" i="1"/>
  <c r="B36" i="1"/>
  <c r="G30" i="1"/>
  <c r="F30" i="1"/>
  <c r="E30" i="1"/>
  <c r="D30" i="1"/>
  <c r="C30" i="1"/>
  <c r="B30" i="1"/>
  <c r="G20" i="1"/>
  <c r="F20" i="1"/>
  <c r="E20" i="1"/>
  <c r="D20" i="1"/>
  <c r="C20" i="1"/>
  <c r="B20" i="1"/>
  <c r="G10" i="1"/>
  <c r="G12" i="1" s="1"/>
  <c r="F10" i="1"/>
  <c r="F12" i="1" s="1"/>
  <c r="G7" i="1"/>
  <c r="F7" i="1"/>
  <c r="E7" i="1"/>
  <c r="E10" i="1" s="1"/>
  <c r="E12" i="1" s="1"/>
  <c r="D7" i="1"/>
  <c r="C7" i="1"/>
  <c r="B7" i="1"/>
  <c r="G4" i="1"/>
  <c r="F4" i="1"/>
  <c r="E4" i="1"/>
  <c r="D4" i="1"/>
  <c r="D10" i="1" s="1"/>
  <c r="D12" i="1" s="1"/>
  <c r="C4" i="1"/>
  <c r="C10" i="1" s="1"/>
  <c r="C12" i="1" s="1"/>
  <c r="B4" i="1"/>
  <c r="B10" i="1" s="1"/>
  <c r="B12" i="1" s="1"/>
  <c r="F42" i="4" l="1"/>
  <c r="D15" i="3"/>
  <c r="H69" i="4"/>
  <c r="E15" i="3"/>
  <c r="G51" i="4"/>
  <c r="I15" i="3"/>
  <c r="H18" i="4"/>
  <c r="H51" i="4"/>
  <c r="H55" i="4" s="1"/>
  <c r="H66" i="4" s="1"/>
  <c r="D69" i="4"/>
  <c r="E11" i="4"/>
  <c r="E13" i="4" s="1"/>
  <c r="I24" i="4"/>
  <c r="C30" i="4"/>
  <c r="F69" i="4"/>
  <c r="I18" i="3"/>
  <c r="G69" i="4"/>
  <c r="C15" i="3"/>
  <c r="F18" i="3"/>
  <c r="D24" i="4"/>
  <c r="B11" i="4"/>
  <c r="B13" i="4" s="1"/>
  <c r="D30" i="4"/>
  <c r="H42" i="4"/>
  <c r="B18" i="3"/>
  <c r="C18" i="4"/>
  <c r="D18" i="4"/>
  <c r="C24" i="4"/>
  <c r="E18" i="4"/>
  <c r="E51" i="4"/>
  <c r="E55" i="4" s="1"/>
  <c r="E66" i="4" s="1"/>
  <c r="G42" i="4"/>
  <c r="E24" i="4"/>
  <c r="E30" i="4"/>
  <c r="C70" i="4"/>
  <c r="I42" i="4"/>
  <c r="G53" i="4"/>
  <c r="I16" i="3"/>
  <c r="C18" i="3"/>
  <c r="J14" i="3"/>
  <c r="J16" i="3" s="1"/>
  <c r="B30" i="4"/>
  <c r="F30" i="4"/>
  <c r="F70" i="4"/>
  <c r="E46" i="4"/>
  <c r="D18" i="3"/>
  <c r="J17" i="3"/>
  <c r="J19" i="3" s="1"/>
  <c r="B24" i="4"/>
  <c r="H11" i="4"/>
  <c r="H13" i="4" s="1"/>
  <c r="C51" i="4"/>
  <c r="C55" i="4" s="1"/>
  <c r="C66" i="4" s="1"/>
  <c r="H30" i="4"/>
  <c r="K17" i="3"/>
  <c r="I11" i="4"/>
  <c r="I13" i="4" s="1"/>
  <c r="D51" i="4"/>
  <c r="D55" i="4" s="1"/>
  <c r="D66" i="4" s="1"/>
  <c r="I30" i="4"/>
  <c r="I70" i="4"/>
  <c r="H53" i="4"/>
  <c r="G15" i="3"/>
  <c r="E18" i="3"/>
  <c r="I18" i="4"/>
  <c r="G18" i="3"/>
  <c r="E19" i="3"/>
  <c r="C53" i="4"/>
  <c r="G30" i="4"/>
  <c r="B53" i="4"/>
  <c r="H70" i="4"/>
  <c r="I53" i="4"/>
  <c r="I48" i="4"/>
  <c r="F19" i="3"/>
  <c r="B70" i="4"/>
  <c r="G70" i="4"/>
  <c r="B42" i="4"/>
  <c r="G55" i="4"/>
  <c r="G66" i="4" s="1"/>
  <c r="H24" i="4"/>
  <c r="E69" i="4"/>
  <c r="K4" i="3"/>
  <c r="M48" i="3"/>
  <c r="L49" i="3"/>
  <c r="K50" i="3"/>
  <c r="K49" i="3"/>
  <c r="M45" i="3"/>
  <c r="L46" i="3"/>
  <c r="M28" i="3"/>
  <c r="L28" i="3"/>
  <c r="H6" i="3"/>
  <c r="H18" i="3"/>
  <c r="G7" i="3"/>
  <c r="G19" i="3"/>
  <c r="I55" i="4"/>
  <c r="I66" i="4" s="1"/>
  <c r="D53" i="4"/>
  <c r="E53" i="4"/>
  <c r="F53" i="4"/>
  <c r="B66" i="4"/>
  <c r="F11" i="4"/>
  <c r="F13" i="4" s="1"/>
  <c r="F51" i="4"/>
  <c r="F55" i="4" s="1"/>
  <c r="F66" i="4" s="1"/>
  <c r="G11" i="4"/>
  <c r="G13" i="4" s="1"/>
  <c r="I51" i="4"/>
  <c r="F18" i="4"/>
  <c r="C11" i="4"/>
  <c r="C13" i="4" s="1"/>
  <c r="B46" i="4"/>
  <c r="D11" i="4"/>
  <c r="D13" i="4" s="1"/>
  <c r="D131" i="1"/>
  <c r="D132" i="1" s="1"/>
  <c r="B143" i="1"/>
  <c r="E143" i="1"/>
  <c r="E131" i="1"/>
  <c r="E132" i="1" s="1"/>
  <c r="E196" i="1"/>
  <c r="F196" i="1"/>
  <c r="F131" i="1"/>
  <c r="F132" i="1" s="1"/>
  <c r="G131" i="1"/>
  <c r="G132" i="1" s="1"/>
  <c r="G196" i="1"/>
  <c r="C143" i="1"/>
  <c r="D143" i="1"/>
  <c r="D179" i="1"/>
  <c r="B124" i="1"/>
  <c r="C124" i="1"/>
  <c r="D196" i="1" s="1"/>
  <c r="K14" i="3" l="1"/>
  <c r="L14" i="3"/>
  <c r="K16" i="3"/>
  <c r="L17" i="3"/>
  <c r="K19" i="3"/>
  <c r="L4" i="3"/>
  <c r="N48" i="3"/>
  <c r="M49" i="3"/>
  <c r="N45" i="3"/>
  <c r="N46" i="3" s="1"/>
  <c r="M46" i="3"/>
  <c r="C196" i="1"/>
  <c r="C131" i="1"/>
  <c r="C132" i="1" s="1"/>
  <c r="B196" i="1"/>
  <c r="B131" i="1"/>
  <c r="B132" i="1" s="1"/>
  <c r="M17" i="3" l="1"/>
  <c r="L19" i="3"/>
  <c r="M14" i="3"/>
  <c r="L16" i="3"/>
  <c r="M4" i="3"/>
  <c r="N4" i="3"/>
  <c r="N49" i="3"/>
  <c r="N14" i="3" l="1"/>
  <c r="N16" i="3" s="1"/>
  <c r="M16" i="3"/>
  <c r="N17" i="3"/>
  <c r="N19" i="3" s="1"/>
  <c r="M19" i="3"/>
  <c r="J1" i="4"/>
  <c r="K1" i="4" s="1"/>
  <c r="L1" i="4" s="1"/>
  <c r="M1" i="4" s="1"/>
  <c r="N1" i="4" s="1"/>
  <c r="H1" i="4"/>
  <c r="G1" i="4" s="1"/>
  <c r="F1" i="4" s="1"/>
  <c r="E1" i="4" s="1"/>
  <c r="D1" i="4" s="1"/>
  <c r="C1" i="4" s="1"/>
  <c r="B1" i="4" s="1"/>
  <c r="A51" i="3" l="1"/>
  <c r="N18" i="3" l="1"/>
  <c r="M18" i="3"/>
  <c r="L18" i="3"/>
  <c r="K18" i="3"/>
  <c r="J18" i="3"/>
  <c r="I48" i="3" l="1"/>
  <c r="H48" i="3"/>
  <c r="G48" i="3"/>
  <c r="F48" i="3"/>
  <c r="E48" i="3"/>
  <c r="D48" i="3"/>
  <c r="C48" i="3"/>
  <c r="B48" i="3"/>
  <c r="B49" i="3" s="1"/>
  <c r="F49" i="3" l="1"/>
  <c r="C49" i="3"/>
  <c r="E49" i="3"/>
  <c r="D49" i="3"/>
  <c r="G49" i="3"/>
  <c r="H49" i="3"/>
  <c r="I49" i="3"/>
  <c r="A20" i="3"/>
  <c r="H45" i="3"/>
  <c r="G45" i="3"/>
  <c r="F45" i="3"/>
  <c r="E45" i="3"/>
  <c r="D45" i="3"/>
  <c r="C45" i="3"/>
  <c r="B45" i="3"/>
  <c r="I45" i="3"/>
  <c r="I38" i="3"/>
  <c r="I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H31" i="3"/>
  <c r="G31" i="3"/>
  <c r="F31" i="3"/>
  <c r="E31" i="3"/>
  <c r="D31" i="3"/>
  <c r="C31" i="3"/>
  <c r="B31" i="3"/>
  <c r="B32" i="3" s="1"/>
  <c r="I27" i="3"/>
  <c r="H27" i="3"/>
  <c r="G27" i="3"/>
  <c r="F27" i="3"/>
  <c r="E27" i="3"/>
  <c r="D27" i="3"/>
  <c r="C27" i="3"/>
  <c r="B27" i="3"/>
  <c r="B28" i="3" s="1"/>
  <c r="B30" i="3" s="1"/>
  <c r="B23" i="3"/>
  <c r="B24" i="3" s="1"/>
  <c r="C23" i="3"/>
  <c r="D23" i="3"/>
  <c r="E23" i="3"/>
  <c r="F23" i="3"/>
  <c r="G23" i="3"/>
  <c r="H23" i="3"/>
  <c r="I23" i="3"/>
  <c r="J1" i="3"/>
  <c r="K1" i="3" s="1"/>
  <c r="L1" i="3" s="1"/>
  <c r="M1" i="3" s="1"/>
  <c r="N1" i="3" s="1"/>
  <c r="H1" i="3"/>
  <c r="G1" i="3" s="1"/>
  <c r="F1" i="3" s="1"/>
  <c r="E1" i="3" s="1"/>
  <c r="D1" i="3" s="1"/>
  <c r="C1" i="3" s="1"/>
  <c r="B1" i="3" s="1"/>
  <c r="G32" i="3" l="1"/>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I39" i="3"/>
  <c r="I43" i="3"/>
  <c r="I46" i="3"/>
  <c r="D35" i="3"/>
  <c r="E43" i="3"/>
  <c r="F24" i="3"/>
  <c r="F26" i="3" s="1"/>
  <c r="E35" i="3"/>
  <c r="F35" i="3"/>
  <c r="G39" i="3"/>
  <c r="B39" i="3"/>
  <c r="B43" i="3"/>
  <c r="B46" i="3"/>
  <c r="F39" i="3"/>
  <c r="H43" i="3"/>
  <c r="I28" i="3"/>
  <c r="I30" i="3" s="1"/>
  <c r="C39" i="3"/>
  <c r="C43" i="3"/>
  <c r="H39" i="3"/>
  <c r="I32" i="3"/>
  <c r="I34" i="3" s="1"/>
  <c r="D39" i="3"/>
  <c r="D43" i="3"/>
  <c r="D46" i="3"/>
  <c r="I172" i="1"/>
  <c r="I175" i="1" s="1"/>
  <c r="I176" i="1" s="1"/>
  <c r="H172" i="1"/>
  <c r="H175" i="1" s="1"/>
  <c r="H176" i="1" s="1"/>
  <c r="I161" i="1"/>
  <c r="I163" i="1" s="1"/>
  <c r="H161" i="1"/>
  <c r="H163" i="1" s="1"/>
  <c r="H164" i="1" s="1"/>
  <c r="H165" i="1" s="1"/>
  <c r="H125" i="1"/>
  <c r="I125" i="1"/>
  <c r="H154" i="1"/>
  <c r="I150" i="1"/>
  <c r="I153" i="1" s="1"/>
  <c r="I154" i="1" s="1"/>
  <c r="H150" i="1"/>
  <c r="H153" i="1" s="1"/>
  <c r="I36" i="3" l="1"/>
  <c r="I164" i="1"/>
  <c r="I165" i="1" s="1"/>
  <c r="C36" i="3"/>
  <c r="G36" i="3"/>
  <c r="H36" i="3"/>
  <c r="D36" i="3"/>
  <c r="F37" i="3"/>
  <c r="F36" i="3"/>
  <c r="E36" i="3"/>
  <c r="I119" i="1"/>
  <c r="H119" i="1"/>
  <c r="I115" i="1"/>
  <c r="H115" i="1"/>
  <c r="I111" i="1"/>
  <c r="H111" i="1"/>
  <c r="H107" i="1"/>
  <c r="H21" i="3" s="1"/>
  <c r="G21" i="3"/>
  <c r="F21" i="3"/>
  <c r="E21" i="3"/>
  <c r="E37" i="3" s="1"/>
  <c r="D21" i="3"/>
  <c r="C21" i="3"/>
  <c r="C37" i="3" s="1"/>
  <c r="B21" i="3"/>
  <c r="I107" i="1"/>
  <c r="I21" i="3" s="1"/>
  <c r="I50" i="3" s="1"/>
  <c r="I139" i="1"/>
  <c r="I142" i="1" s="1"/>
  <c r="H139" i="1"/>
  <c r="H142" i="1" s="1"/>
  <c r="D22" i="3" l="1"/>
  <c r="D40" i="3"/>
  <c r="D50" i="3"/>
  <c r="D47" i="3"/>
  <c r="D44" i="3"/>
  <c r="E50" i="3"/>
  <c r="E22" i="3"/>
  <c r="E40" i="3"/>
  <c r="E47" i="3"/>
  <c r="E44" i="3"/>
  <c r="F50" i="3"/>
  <c r="F22" i="3"/>
  <c r="F44" i="3"/>
  <c r="F40" i="3"/>
  <c r="F47" i="3"/>
  <c r="G44" i="3"/>
  <c r="G47" i="3"/>
  <c r="G50" i="3"/>
  <c r="G22" i="3"/>
  <c r="G40" i="3"/>
  <c r="G37" i="3"/>
  <c r="H50" i="3"/>
  <c r="H44" i="3"/>
  <c r="H40" i="3"/>
  <c r="H47" i="3"/>
  <c r="H22" i="3"/>
  <c r="D37" i="3"/>
  <c r="H37" i="3"/>
  <c r="B22" i="3"/>
  <c r="B40" i="3"/>
  <c r="B47" i="3"/>
  <c r="B50" i="3"/>
  <c r="B44" i="3"/>
  <c r="C50" i="3"/>
  <c r="C40" i="3"/>
  <c r="C44" i="3"/>
  <c r="C47" i="3"/>
  <c r="C22" i="3"/>
  <c r="B37" i="3"/>
  <c r="I22" i="3"/>
  <c r="I44" i="3"/>
  <c r="I40" i="3"/>
  <c r="I47" i="3"/>
  <c r="I37" i="3"/>
  <c r="H124" i="1"/>
  <c r="H131" i="1" s="1"/>
  <c r="H132" i="1" s="1"/>
  <c r="I124" i="1"/>
  <c r="I131" i="1" l="1"/>
  <c r="H92" i="1"/>
  <c r="I92" i="1"/>
  <c r="H83" i="1"/>
  <c r="I83" i="1"/>
  <c r="H58" i="1"/>
  <c r="I58" i="1"/>
  <c r="H45" i="1"/>
  <c r="H59" i="1" s="1"/>
  <c r="I45" i="1"/>
  <c r="H30" i="1"/>
  <c r="H36" i="1" s="1"/>
  <c r="I30" i="1"/>
  <c r="I36" i="1" s="1"/>
  <c r="H7" i="1"/>
  <c r="I7" i="1"/>
  <c r="H4" i="1"/>
  <c r="I4" i="1"/>
  <c r="I10" i="1" s="1"/>
  <c r="H10" i="1" l="1"/>
  <c r="H12" i="1"/>
  <c r="H20" i="1" s="1"/>
  <c r="H143" i="1"/>
  <c r="I12" i="1"/>
  <c r="I20" i="1" s="1"/>
  <c r="I143" i="1"/>
  <c r="I59" i="1"/>
  <c r="I60" i="1" s="1"/>
  <c r="H60" i="1"/>
  <c r="H64" i="1" l="1"/>
  <c r="H76" i="1" s="1"/>
  <c r="H94" i="1" s="1"/>
  <c r="H96" i="1" s="1"/>
  <c r="I64" i="1"/>
  <c r="I76" i="1" s="1"/>
  <c r="I94" i="1" s="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<sst xmlns="http://schemas.openxmlformats.org/spreadsheetml/2006/main" count="359" uniqueCount="212">
  <si>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</si>
  <si>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</si>
  <si>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</si>
  <si>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</si>
  <si>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</si>
  <si>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</si>
  <si>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</si>
  <si>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</si>
  <si>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</si>
  <si>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</si>
  <si>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</si>
  <si>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</si>
  <si>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</si>
  <si>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</si>
  <si>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</si>
  <si>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</si>
  <si>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</si>
  <si>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</si>
  <si>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</si>
  <si>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</si>
  <si>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</si>
  <si>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</si>
  <si>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</si>
  <si>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</si>
  <si>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</si>
  <si>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</si>
  <si>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</si>
  <si>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</si>
  <si>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</si>
  <si>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</si>
  <si>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</si>
  <si>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</si>
  <si>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</si>
  <si>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</si>
  <si>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</si>
  <si>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</si>
  <si>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</si>
  <si>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</si>
  <si>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</si>
  <si>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</si>
  <si>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</si>
  <si>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</si>
  <si>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</si>
  <si>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</si>
  <si>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</si>
  <si>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</si>
  <si>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</si>
  <si>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</si>
  <si>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</si>
  <si>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</si>
  <si>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</si>
  <si>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</si>
  <si>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</si>
  <si>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</si>
  <si>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</si>
  <si>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</si>
  <si>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</si>
  <si>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</si>
  <si>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</si>
  <si>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</si>
  <si>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</si>
  <si>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</si>
  <si>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</si>
  <si>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</si>
  <si>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</si>
  <si>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</si>
  <si>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</si>
  <si>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</si>
  <si>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</si>
  <si>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</si>
  <si>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</si>
  <si>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</si>
  <si>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</si>
  <si>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</si>
  <si>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</si>
  <si>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</si>
  <si>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</si>
  <si>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</si>
  <si>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</si>
  <si>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</si>
  <si>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</si>
  <si>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</si>
  <si>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</si>
  <si>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</si>
  <si>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</si>
  <si>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</si>
  <si>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</si>
  <si>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</si>
  <si>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</si>
  <si>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</si>
  <si>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</si>
  <si>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</si>
  <si>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</si>
  <si>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</si>
  <si>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</si>
  <si>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</si>
  <si>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</si>
  <si>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</si>
  <si>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</si>
  <si>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</si>
  <si>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</si>
  <si>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</si>
  <si>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</si>
  <si>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</si>
  <si>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</si>
  <si>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</si>
  <si>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</si>
  <si>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</si>
  <si>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</si>
  <si>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</si>
  <si>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</si>
  <si>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</si>
  <si>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</si>
  <si>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</si>
  <si>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</si>
  <si>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</si>
  <si>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</si>
  <si>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</si>
  <si>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</si>
  <si>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</si>
  <si>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</si>
  <si>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</si>
  <si>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</si>
  <si>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</si>
  <si>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</si>
  <si>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</si>
  <si>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</si>
  <si>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</si>
  <si>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</si>
  <si>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</si>
  <si>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</si>
  <si>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</si>
  <si>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</si>
  <si>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</si>
  <si>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</si>
  <si>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</si>
  <si>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</si>
  <si>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</si>
  <si>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</si>
  <si>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</si>
  <si>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</si>
  <si>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</si>
  <si>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</si>
  <si>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</si>
  <si>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</si>
  <si>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</si>
  <si>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Please ensure to write your justifications and assumptions for each lines where you have assumed a forecast rate.</t>
  </si>
  <si>
    <t>You are required to read the earnings call transcript and earnings presentation in additional to company press releases on key product lines and new developments.</t>
  </si>
  <si>
    <t>You can keep the currency impact at zero and drive only the organic growth.</t>
  </si>
  <si>
    <t>You can take up to 7 days for this task.</t>
  </si>
  <si>
    <t>Income Statement</t>
  </si>
  <si>
    <t>Link from Segmental Forecast sheet</t>
  </si>
  <si>
    <t>EBTDA</t>
  </si>
  <si>
    <t>PBT</t>
  </si>
  <si>
    <t>Tax rate %</t>
  </si>
  <si>
    <t>Net Income</t>
  </si>
  <si>
    <t>Diluted number of shares</t>
  </si>
  <si>
    <t>Link from Historicals sheet</t>
  </si>
  <si>
    <t>EPS</t>
  </si>
  <si>
    <t>DPS</t>
  </si>
  <si>
    <t>Calculate</t>
  </si>
  <si>
    <t>Payout ratio%</t>
  </si>
  <si>
    <t>Balance Sheet</t>
  </si>
  <si>
    <t>Cash and Cash Equivalents</t>
  </si>
  <si>
    <t>Other Items Included in Net Debt</t>
  </si>
  <si>
    <t>Net Working Capital</t>
  </si>
  <si>
    <t>(Inventories + Receivables - Payables)</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</si>
  <si>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</si>
  <si>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</si>
  <si>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</si>
  <si>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</si>
  <si>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</si>
  <si>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</si>
  <si>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</si>
  <si>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</si>
  <si>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</si>
  <si>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</si>
  <si>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</si>
  <si>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</si>
  <si>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</si>
  <si>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</si>
  <si>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</si>
  <si>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</si>
  <si>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Link from Segmental forecast sheet</t>
  </si>
  <si>
    <t>Cash Tax</t>
  </si>
  <si>
    <t>Link from Historicals sheet (below the Cash flow statement)</t>
  </si>
  <si>
    <t>NOPAT</t>
  </si>
  <si>
    <t>Cash Interest</t>
  </si>
  <si>
    <t>(Increase)/Decrease in Working Capital</t>
  </si>
  <si>
    <t xml:space="preserve"> Opening (2015) numbers should be sourced from 2014 statements, Other periods should be linked from row22 in this sheet</t>
  </si>
  <si>
    <t>Additions to PPE from cash flow statement - non cash additions (below the Cash flow statement)</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</si>
  <si>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</si>
  <si>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</si>
  <si>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</si>
  <si>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</si>
  <si>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</si>
  <si>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</si>
  <si>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</si>
  <si>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</si>
  <si>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</si>
  <si>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</si>
  <si>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</si>
  <si>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</si>
  <si>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</si>
  <si>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</si>
  <si>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</si>
  <si>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</si>
  <si>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Short term + Long term debt - (Cash + short term investments) Linked from above</t>
  </si>
  <si>
    <t>—</t>
  </si>
  <si>
    <t>32B64:G10373</t>
  </si>
  <si>
    <t>n.a</t>
  </si>
  <si>
    <t xml:space="preserve">Nike Inc projected growth rate methodology:
2024 Q4 earning call stresses out the shifts the company is making in various areas, from changes in leadership and organizational, to enhancing technological and innovation capabilities. The outlook looks strong and dynamic, especially the Online distribution channel. 
A semi-conservative approach is taken in calculating projection rates. 
This approach takes under consideration 3 factors – metrics concerning the U.S economy.
These are: Inflation (CPI), GDP, and Interest rates (FED Funds rate).
According to reliable sources such as the OECD, Federal Bureau of Forecasting, World Bank, and several U.S banks at a federal level, the metrics are projected for the next 5 years as follows: 
Inflation at 3.1%
GDP Growth 2.6%
Fed’s rate 3% - 1.5% after 2025
Based on these, the following growth rates are used:
Revenues: 3.5%
Ebitda: 3.5%
Ebit: 4% 
since they exclude D&amp;A which tend to be lower in economic environment with lower interest rates
D&amp;A: 2% - tend to be lower as explained above
CAPEX: 4.5% (according to the company’s last earnings call, they are focusing more on advancing their technology and being innovative, hence expenditures for investment purposes looks to be increasing)
PP&amp;E: 4.5% - for the same reason as above with CAPEX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</si>
</sst>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0.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70C0"/>
      <name val="Calibri"/>
      <family val="2"/>
      <scheme val="minor"/>
    </font>
    <font>
      <b/>
      <sz val="11"/>
      <color rgb="FF00B050"/>
      <name val="Calibri"/>
      <family val="2"/>
      <scheme val="minor"/>
    </font>
    <font>
      <b/>
      <i/>
      <sz val="10"/>
      <color rgb="FFFF0000"/>
      <name val="Calibri"/>
      <family val="2"/>
      <scheme val="minor"/>
    </font>
    <font>
      <b/>
      <i/>
      <sz val="10"/>
      <color theme="0"/>
      <name val="Calibri"/>
      <family val="2"/>
      <scheme val="minor"/>
    </font>
    <font>
      <i/>
      <sz val="10"/>
      <color theme="0"/>
      <name val="Calibri"/>
      <family val="2"/>
      <scheme val="minor"/>
    </font>
    <font>
      <sz val="11"/>
      <color rgb="FFFF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theme="7"/>
        <bgColor indexed="64"/>
      </patternFill>
    </fill>
    <fill>
      <patternFill patternType="solid">
        <fgColor rgb="FFFF00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43" fontId="0" fillId="0" borderId="0" xfId="1" applyFont="1"/>
    <xf numFmtId="0" fontId="6" fillId="4" borderId="0" xfId="4" applyFont="1"/>
    <xf numFmtId="0" fontId="0" fillId="0" borderId="0" xfId="0" applyAlignment="1">
      <alignment horizontal="left"/>
    </xf>
    <xf numFmtId="43" fontId="5" fillId="0" borderId="0" xfId="1" applyFont="1" applyBorder="1"/>
    <xf numFmtId="165" fontId="0" fillId="0" borderId="0" xfId="0" applyNumberFormat="1"/>
    <xf numFmtId="165" fontId="16" fillId="8" borderId="0" xfId="1" applyNumberFormat="1" applyFont="1" applyFill="1"/>
    <xf numFmtId="4" fontId="0" fillId="0" borderId="0" xfId="0" applyNumberFormat="1"/>
    <xf numFmtId="0" fontId="17" fillId="0" borderId="0" xfId="0" applyFont="1"/>
    <xf numFmtId="165" fontId="0" fillId="9" borderId="0" xfId="1" applyNumberFormat="1" applyFont="1" applyFill="1"/>
    <xf numFmtId="166" fontId="18" fillId="10" borderId="0" xfId="2" applyNumberFormat="1" applyFont="1" applyFill="1"/>
    <xf numFmtId="166" fontId="12" fillId="10" borderId="0" xfId="2" applyNumberFormat="1" applyFont="1" applyFill="1"/>
    <xf numFmtId="166" fontId="19" fillId="10" borderId="0" xfId="2" applyNumberFormat="1" applyFont="1" applyFill="1"/>
    <xf numFmtId="166" fontId="11" fillId="10" borderId="0" xfId="2" applyNumberFormat="1" applyFont="1" applyFill="1"/>
    <xf numFmtId="166" fontId="20" fillId="10" borderId="0" xfId="2" applyNumberFormat="1" applyFont="1" applyFill="1"/>
    <xf numFmtId="167" fontId="0" fillId="0" borderId="0" xfId="1" applyNumberFormat="1" applyFont="1"/>
    <xf numFmtId="3" fontId="0" fillId="0" borderId="0" xfId="1" applyNumberFormat="1" applyFont="1"/>
    <xf numFmtId="43" fontId="21" fillId="0" borderId="0" xfId="1" applyFont="1" applyBorder="1"/>
    <xf numFmtId="165" fontId="0" fillId="0" borderId="0" xfId="2" applyNumberFormat="1" applyFont="1"/>
    <xf numFmtId="166" fontId="0" fillId="0" borderId="0" xfId="2" applyNumberFormat="1" applyFont="1"/>
    <xf numFmtId="10" fontId="0" fillId="0" borderId="0" xfId="2" applyNumberFormat="1" applyFont="1"/>
    <xf numFmtId="9" fontId="0" fillId="0" borderId="0" xfId="2" applyFont="1"/>
    <xf numFmtId="43" fontId="0" fillId="0" borderId="0" xfId="0" applyNumberFormat="1"/>
    <xf numFmtId="1" fontId="0" fillId="0" borderId="0" xfId="0" applyNumberFormat="1"/>
    <xf numFmtId="0" fontId="0" fillId="0" borderId="0" xfId="0" applyAlignment="1">
      <alignment wrapText="1"/>
    </xf>
    <xf numFmtId="0" fontId="0" fillId="0" borderId="0" xfId="0"/>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petrosleras/Desktop/QCP/Task%208/1708510120_Task%208%20-%20Building%20the%20Revenue%20Model.xlsx" TargetMode="External"/><Relationship Id="rId1" Type="http://schemas.openxmlformats.org/officeDocument/2006/relationships/externalLinkPath" Target="/Users/petrosleras/Desktop/QCP/Task%208/1708510120_Task%208%20-%20Building%20the%20Revenue%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petrosleras/Desktop/QCP/Task9/1710155371_Task%209%20-%20Building%20Operational%20Forecast%20Model.xlsx" TargetMode="External"/><Relationship Id="rId1" Type="http://schemas.openxmlformats.org/officeDocument/2006/relationships/externalLinkPath" Target="/Users/petrosleras/Desktop/QCP/Task9/1710155371_Task%209%20-%20Building%20Operational%20Forecast%20Model.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Users/petrosleras/Desktop/QCP/task10/1730913522_Task%2010%20-%20Linking%20Balance%20sheet.xlsx" TargetMode="External"/><Relationship Id="rId1" Type="http://schemas.openxmlformats.org/officeDocument/2006/relationships/externalLinkPath" Target="/Users/petrosleras/Desktop/QCP/task10/1730913522_Task%2010%20-%20Linking%20Balance%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31">
          <cell r="B31">
            <v>3011</v>
          </cell>
          <cell r="C31">
            <v>3520</v>
          </cell>
          <cell r="D31">
            <v>3989</v>
          </cell>
          <cell r="E31">
            <v>4454</v>
          </cell>
          <cell r="F31">
            <v>4744</v>
          </cell>
          <cell r="G31">
            <v>4866</v>
          </cell>
          <cell r="H31">
            <v>4904</v>
          </cell>
          <cell r="I31">
            <v>4791</v>
          </cell>
        </row>
        <row r="66">
          <cell r="B66">
            <v>-113</v>
          </cell>
          <cell r="C66">
            <v>-80</v>
          </cell>
          <cell r="D66">
            <v>-273</v>
          </cell>
          <cell r="E66">
            <v>647</v>
          </cell>
          <cell r="F66">
            <v>34</v>
          </cell>
          <cell r="G66">
            <v>-380</v>
          </cell>
          <cell r="H66">
            <v>744</v>
          </cell>
          <cell r="I66">
            <v>717</v>
          </cell>
        </row>
        <row r="125">
          <cell r="K125">
            <v>26112</v>
          </cell>
        </row>
        <row r="167">
          <cell r="B167">
            <v>121</v>
          </cell>
          <cell r="C167">
            <v>133</v>
          </cell>
          <cell r="D167">
            <v>140</v>
          </cell>
          <cell r="E167">
            <v>160</v>
          </cell>
          <cell r="F167">
            <v>149</v>
          </cell>
          <cell r="G167">
            <v>148</v>
          </cell>
          <cell r="H167">
            <v>130</v>
          </cell>
          <cell r="I167">
            <v>124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31">
          <cell r="B31">
            <v>3011</v>
          </cell>
          <cell r="C31">
            <v>3520</v>
          </cell>
          <cell r="D31">
            <v>3989</v>
          </cell>
          <cell r="E31">
            <v>4454</v>
          </cell>
          <cell r="F31">
            <v>4744</v>
          </cell>
          <cell r="G31">
            <v>4866</v>
          </cell>
          <cell r="H31">
            <v>4904</v>
          </cell>
          <cell r="I31">
            <v>4791</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12">
          <cell r="B12">
            <v>3273</v>
          </cell>
          <cell r="C12">
            <v>3760</v>
          </cell>
          <cell r="D12">
            <v>4240</v>
          </cell>
          <cell r="E12">
            <v>1933</v>
          </cell>
          <cell r="F12">
            <v>4029</v>
          </cell>
          <cell r="G12">
            <v>2539</v>
          </cell>
          <cell r="H12">
            <v>5727</v>
          </cell>
          <cell r="I12">
            <v>6046</v>
          </cell>
        </row>
        <row r="14">
          <cell r="B14">
            <v>1.9</v>
          </cell>
          <cell r="C14">
            <v>2.21</v>
          </cell>
          <cell r="D14">
            <v>2.56</v>
          </cell>
          <cell r="E14">
            <v>1.19</v>
          </cell>
          <cell r="F14">
            <v>2.5499999999999998</v>
          </cell>
          <cell r="G14">
            <v>1.63</v>
          </cell>
          <cell r="H14">
            <v>3.64</v>
          </cell>
          <cell r="I14">
            <v>3.83</v>
          </cell>
        </row>
        <row r="15">
          <cell r="B15">
            <v>1.85</v>
          </cell>
          <cell r="C15">
            <v>2.16</v>
          </cell>
          <cell r="D15">
            <v>2.5099999999999998</v>
          </cell>
          <cell r="E15">
            <v>1.17</v>
          </cell>
          <cell r="F15">
            <v>2.4900000000000002</v>
          </cell>
          <cell r="G15">
            <v>1.6</v>
          </cell>
          <cell r="H15">
            <v>3.56</v>
          </cell>
          <cell r="I15">
            <v>3.75</v>
          </cell>
        </row>
        <row r="18">
          <cell r="B18">
            <v>1768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30">
          <cell r="B30">
            <v>15587</v>
          </cell>
          <cell r="C30">
            <v>15025</v>
          </cell>
          <cell r="D30">
            <v>16061</v>
          </cell>
          <cell r="E30">
            <v>15134</v>
          </cell>
          <cell r="F30">
            <v>16525</v>
          </cell>
          <cell r="G30">
            <v>20556</v>
          </cell>
          <cell r="H30">
            <v>26291</v>
          </cell>
          <cell r="I30">
            <v>28213</v>
          </cell>
        </row>
        <row r="31">
          <cell r="B31">
            <v>3011</v>
          </cell>
          <cell r="C31">
            <v>3520</v>
          </cell>
          <cell r="D31">
            <v>3989</v>
          </cell>
          <cell r="E31">
            <v>4454</v>
          </cell>
          <cell r="F31">
            <v>4744</v>
          </cell>
          <cell r="G31">
            <v>4866</v>
          </cell>
          <cell r="H31">
            <v>4904</v>
          </cell>
          <cell r="I31">
            <v>4791</v>
          </cell>
        </row>
        <row r="32">
          <cell r="F32" t="str">
            <v>—</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6">
          <cell r="B36">
            <v>21597</v>
          </cell>
          <cell r="C36">
            <v>21396</v>
          </cell>
          <cell r="D36">
            <v>23259</v>
          </cell>
          <cell r="E36">
            <v>22536</v>
          </cell>
          <cell r="F36">
            <v>23717</v>
          </cell>
          <cell r="G36">
            <v>31342</v>
          </cell>
          <cell r="H36">
            <v>37740</v>
          </cell>
          <cell r="I36">
            <v>40321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2">
          <cell r="B42"/>
          <cell r="C42"/>
          <cell r="D42"/>
          <cell r="E42"/>
          <cell r="F42" t="str">
            <v>—</v>
          </cell>
          <cell r="G42">
            <v>445</v>
          </cell>
          <cell r="H42">
            <v>467</v>
          </cell>
          <cell r="I42">
            <v>420</v>
          </cell>
        </row>
        <row r="45">
          <cell r="B45">
            <v>6332</v>
          </cell>
          <cell r="C45">
            <v>5358</v>
          </cell>
          <cell r="D45">
            <v>5474</v>
          </cell>
          <cell r="E45">
            <v>6040</v>
          </cell>
          <cell r="F45">
            <v>7866</v>
          </cell>
          <cell r="G45">
            <v>8284</v>
          </cell>
          <cell r="H45">
            <v>9674</v>
          </cell>
          <cell r="I45">
            <v>10730</v>
          </cell>
        </row>
        <row r="46">
          <cell r="B46">
            <v>1079</v>
          </cell>
          <cell r="C46">
            <v>2010</v>
          </cell>
          <cell r="F46">
            <v>3464</v>
          </cell>
          <cell r="G46">
            <v>9406</v>
          </cell>
          <cell r="H46">
            <v>9413</v>
          </cell>
          <cell r="I46">
            <v>8920</v>
          </cell>
        </row>
        <row r="57">
          <cell r="B57">
            <v>4685</v>
          </cell>
          <cell r="C57">
            <v>4151</v>
          </cell>
          <cell r="D57">
            <v>6907</v>
          </cell>
          <cell r="E57">
            <v>3517</v>
          </cell>
          <cell r="F57">
            <v>1643</v>
          </cell>
          <cell r="G57">
            <v>-191</v>
          </cell>
          <cell r="H57">
            <v>3179</v>
          </cell>
          <cell r="I57">
            <v>3476</v>
          </cell>
        </row>
        <row r="58">
          <cell r="B58">
            <v>12707</v>
          </cell>
          <cell r="C58">
            <v>12258</v>
          </cell>
          <cell r="D58">
            <v>12407</v>
          </cell>
          <cell r="E58">
            <v>9812</v>
          </cell>
          <cell r="F58">
            <v>9040</v>
          </cell>
          <cell r="G58">
            <v>8055</v>
          </cell>
          <cell r="H58">
            <v>12767</v>
          </cell>
          <cell r="I58">
            <v>15281</v>
          </cell>
        </row>
        <row r="59">
          <cell r="B59">
            <v>21597</v>
          </cell>
          <cell r="C59">
            <v>21396</v>
          </cell>
          <cell r="D59">
            <v>23259</v>
          </cell>
          <cell r="E59">
            <v>22536</v>
          </cell>
          <cell r="F59">
            <v>23717</v>
          </cell>
          <cell r="G59">
            <v>31342</v>
          </cell>
          <cell r="H59">
            <v>37740</v>
          </cell>
          <cell r="I59">
            <v>40321</v>
          </cell>
        </row>
        <row r="78">
          <cell r="B78">
            <v>-4936</v>
          </cell>
          <cell r="C78">
            <v>-5367</v>
          </cell>
          <cell r="D78">
            <v>-5928</v>
          </cell>
          <cell r="E78">
            <v>-4783</v>
          </cell>
          <cell r="F78">
            <v>-2937</v>
          </cell>
          <cell r="G78">
            <v>-2426</v>
          </cell>
          <cell r="H78">
            <v>-9961</v>
          </cell>
          <cell r="I78">
            <v>-12913</v>
          </cell>
        </row>
        <row r="80">
          <cell r="B80">
            <v>2216</v>
          </cell>
          <cell r="C80">
            <v>2386</v>
          </cell>
          <cell r="D80">
            <v>2423</v>
          </cell>
          <cell r="E80">
            <v>2496</v>
          </cell>
          <cell r="F80">
            <v>2072</v>
          </cell>
          <cell r="G80">
            <v>2379</v>
          </cell>
          <cell r="H80">
            <v>2449</v>
          </cell>
          <cell r="I80">
            <v>3967</v>
          </cell>
        </row>
        <row r="85">
          <cell r="B85">
            <v>-175</v>
          </cell>
          <cell r="C85">
            <v>-1034</v>
          </cell>
          <cell r="D85">
            <v>-1008</v>
          </cell>
          <cell r="E85">
            <v>279</v>
          </cell>
          <cell r="F85">
            <v>-264</v>
          </cell>
          <cell r="G85">
            <v>-1028</v>
          </cell>
          <cell r="H85">
            <v>0</v>
          </cell>
          <cell r="I85">
            <v>0</v>
          </cell>
        </row>
        <row r="87">
          <cell r="B87">
            <v>0</v>
          </cell>
          <cell r="C87">
            <v>981</v>
          </cell>
          <cell r="D87">
            <v>1482</v>
          </cell>
          <cell r="E87">
            <v>0</v>
          </cell>
          <cell r="F87">
            <v>0</v>
          </cell>
          <cell r="G87">
            <v>0</v>
          </cell>
          <cell r="H87">
            <v>-197</v>
          </cell>
          <cell r="I87">
            <v>0</v>
          </cell>
        </row>
        <row r="88">
          <cell r="B88">
            <v>-7</v>
          </cell>
          <cell r="C88">
            <v>-106</v>
          </cell>
          <cell r="D88">
            <v>-44</v>
          </cell>
          <cell r="E88">
            <v>-6</v>
          </cell>
          <cell r="F88">
            <v>0</v>
          </cell>
          <cell r="G88">
            <v>0</v>
          </cell>
          <cell r="H88">
            <v>1172</v>
          </cell>
          <cell r="I88">
            <v>1151</v>
          </cell>
        </row>
        <row r="89">
          <cell r="B89">
            <v>-63</v>
          </cell>
          <cell r="C89">
            <v>-67</v>
          </cell>
          <cell r="D89">
            <v>327</v>
          </cell>
          <cell r="E89">
            <v>13</v>
          </cell>
          <cell r="F89">
            <v>0</v>
          </cell>
          <cell r="G89">
            <v>6134</v>
          </cell>
          <cell r="H89">
            <v>-608</v>
          </cell>
          <cell r="I89">
            <v>-4014</v>
          </cell>
        </row>
        <row r="90">
          <cell r="B90">
            <v>-19</v>
          </cell>
          <cell r="C90">
            <v>0</v>
          </cell>
          <cell r="D90">
            <v>0</v>
          </cell>
          <cell r="E90">
            <v>13</v>
          </cell>
          <cell r="F90">
            <v>-325</v>
          </cell>
          <cell r="G90">
            <v>49</v>
          </cell>
          <cell r="H90">
            <v>-1638</v>
          </cell>
          <cell r="I90">
            <v>-1837</v>
          </cell>
        </row>
        <row r="95">
          <cell r="B95">
            <v>-3008</v>
          </cell>
          <cell r="C95">
            <v>-2945</v>
          </cell>
          <cell r="D95">
            <v>-2591</v>
          </cell>
          <cell r="E95">
            <v>-4828</v>
          </cell>
          <cell r="F95">
            <v>-5293</v>
          </cell>
          <cell r="G95">
            <v>2491</v>
          </cell>
          <cell r="H95">
            <v>8348</v>
          </cell>
          <cell r="I95">
            <v>9889</v>
          </cell>
        </row>
        <row r="96">
          <cell r="B96">
            <v>-83</v>
          </cell>
          <cell r="C96">
            <v>-105</v>
          </cell>
          <cell r="D96">
            <v>-20</v>
          </cell>
          <cell r="E96">
            <v>45</v>
          </cell>
          <cell r="F96">
            <v>-129</v>
          </cell>
          <cell r="G96">
            <v>-66</v>
          </cell>
          <cell r="H96">
            <v>9889</v>
          </cell>
          <cell r="I96">
            <v>8574</v>
          </cell>
        </row>
      </sheetData>
      <sheetData sheetId="2">
        <row r="3">
          <cell r="B3">
            <v>30601</v>
          </cell>
          <cell r="C3">
            <v>32376</v>
          </cell>
          <cell r="D3">
            <v>34350</v>
          </cell>
          <cell r="E3">
            <v>36397</v>
          </cell>
          <cell r="F3">
            <v>39117</v>
          </cell>
          <cell r="G3">
            <v>37403</v>
          </cell>
          <cell r="H3">
            <v>44538</v>
          </cell>
          <cell r="I3">
            <v>46710</v>
          </cell>
        </row>
        <row r="4">
          <cell r="B4">
            <v>0.17191329656862742</v>
          </cell>
          <cell r="C4">
            <v>5.8004640371229765E-2</v>
          </cell>
          <cell r="D4">
            <v>6.0971089696071123E-2</v>
          </cell>
          <cell r="E4">
            <v>5.95924308588065E-2</v>
          </cell>
          <cell r="F4">
            <v>7.4731433909388079E-2</v>
          </cell>
          <cell r="G4">
            <v>-4.3817266150267153E-2</v>
          </cell>
          <cell r="H4">
            <v>0.19076009945726269</v>
          </cell>
          <cell r="I4">
            <v>4.8767344739323759E-2</v>
          </cell>
        </row>
        <row r="5">
          <cell r="B5">
            <v>5423</v>
          </cell>
          <cell r="C5">
            <v>5977</v>
          </cell>
          <cell r="D5">
            <v>5898</v>
          </cell>
          <cell r="E5">
            <v>6272</v>
          </cell>
          <cell r="F5">
            <v>7062</v>
          </cell>
          <cell r="G5">
            <v>5367</v>
          </cell>
          <cell r="H5">
            <v>9385</v>
          </cell>
          <cell r="I5">
            <v>9123</v>
          </cell>
        </row>
        <row r="8">
          <cell r="B8">
            <v>606</v>
          </cell>
          <cell r="C8">
            <v>649</v>
          </cell>
          <cell r="D8">
            <v>706</v>
          </cell>
          <cell r="E8">
            <v>747</v>
          </cell>
          <cell r="F8">
            <v>705</v>
          </cell>
          <cell r="G8">
            <v>721</v>
          </cell>
          <cell r="H8">
            <v>744</v>
          </cell>
          <cell r="I8">
            <v>717</v>
          </cell>
        </row>
        <row r="9">
          <cell r="B9">
            <v>3.4129692832764569E-2</v>
          </cell>
          <cell r="C9">
            <v>7.0957095709570872E-2</v>
          </cell>
          <cell r="D9">
            <v>8.7827426810477727E-2</v>
          </cell>
          <cell r="E9">
            <v>5.8073654390934815E-2</v>
          </cell>
          <cell r="F9">
            <v>-5.6224899598393607E-2</v>
          </cell>
          <cell r="G9">
            <v>2.2695035460992941E-2</v>
          </cell>
          <cell r="H9">
            <v>3.1900138696255187E-2</v>
          </cell>
          <cell r="I9">
            <v>-3.6290322580645129E-2</v>
          </cell>
        </row>
        <row r="10">
          <cell r="B10">
            <v>1.9803274402797295E-2</v>
          </cell>
          <cell r="C10">
            <v>2.0045712873733631E-2</v>
          </cell>
          <cell r="D10">
            <v>2.0553129548762736E-2</v>
          </cell>
          <cell r="E10">
            <v>2.0523669533203285E-2</v>
          </cell>
          <cell r="F10">
            <v>1.8022854513382928E-2</v>
          </cell>
          <cell r="G10">
            <v>1.9276528620698875E-2</v>
          </cell>
          <cell r="H10">
            <v>1.6704836319547355E-2</v>
          </cell>
          <cell r="I10">
            <v>1.5350032113037893E-2</v>
          </cell>
        </row>
        <row r="11">
          <cell r="B11">
            <v>4817</v>
          </cell>
          <cell r="C11">
            <v>5328</v>
          </cell>
          <cell r="D11">
            <v>5192</v>
          </cell>
          <cell r="E11">
            <v>5525</v>
          </cell>
          <cell r="F11">
            <v>6357</v>
          </cell>
          <cell r="G11">
            <v>4646</v>
          </cell>
          <cell r="H11">
            <v>8641</v>
          </cell>
          <cell r="I11">
            <v>8406</v>
          </cell>
        </row>
      </sheetData>
      <sheetData sheetId="3">
        <row r="7">
          <cell r="C7">
            <v>5328</v>
          </cell>
          <cell r="D7">
            <v>5192</v>
          </cell>
          <cell r="E7">
            <v>5525</v>
          </cell>
          <cell r="F7">
            <v>6357</v>
          </cell>
          <cell r="G7">
            <v>4646</v>
          </cell>
          <cell r="H7">
            <v>8641</v>
          </cell>
          <cell r="I7">
            <v>8406</v>
          </cell>
        </row>
        <row r="10">
          <cell r="B10">
            <v>28</v>
          </cell>
        </row>
        <row r="12">
          <cell r="B12">
            <v>932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14" sqref="A14"/>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142</v>
      </c>
    </row>
    <row r="3" spans="1:1" x14ac:dyDescent="0.2">
      <c r="A3" s="1" t="s">
        <v>143</v>
      </c>
    </row>
    <row r="4" spans="1:1" x14ac:dyDescent="0.2">
      <c r="A4" t="s">
        <v>144</v>
      </c>
    </row>
    <row r="5" spans="1:1" x14ac:dyDescent="0.2">
      <c r="A5" s="2" t="s">
        <v>145</v>
      </c>
    </row>
    <row r="6" spans="1:1" x14ac:dyDescent="0.2">
      <c r="A6" t="s">
        <v>147</v>
      </c>
    </row>
    <row r="7" spans="1:1" x14ac:dyDescent="0.2">
      <c r="A7" t="s">
        <v>148</v>
      </c>
    </row>
    <row r="8" spans="1:1" x14ac:dyDescent="0.2">
      <c r="A8" t="s">
        <v>146</v>
      </c>
    </row>
    <row r="9" spans="1:1" x14ac:dyDescent="0.2">
      <c r="A9" t="s">
        <v>149</v>
      </c>
    </row>
    <row r="11" spans="1:1" x14ac:dyDescent="0.2">
      <c r="A11" s="20"/>
    </row>
    <row r="12" spans="1:1" x14ac:dyDescent="0.2">
      <c r="A12" s="20"/>
    </row>
    <row r="13" spans="1:1" x14ac:dyDescent="0.2">
      <c r="A13"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56" activePane="bottomLeft" state="frozen"/>
      <selection pane="bottomLeft" activeCell="H179" sqref="H179:H202"/>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8">
        <v>30601</v>
      </c>
      <c r="C2" s="8">
        <v>32376</v>
      </c>
      <c r="D2" s="8">
        <v>34350</v>
      </c>
      <c r="E2" s="8">
        <v>36397</v>
      </c>
      <c r="F2" s="8">
        <v>39117</v>
      </c>
      <c r="G2" s="8">
        <v>37403</v>
      </c>
      <c r="H2" s="3">
        <v>44538</v>
      </c>
      <c r="I2" s="3">
        <v>46710</v>
      </c>
    </row>
    <row r="3" spans="1:9" x14ac:dyDescent="0.2">
      <c r="A3" s="23" t="s">
        <v>28</v>
      </c>
      <c r="B3" s="8">
        <v>16534</v>
      </c>
      <c r="C3" s="8">
        <v>17405</v>
      </c>
      <c r="D3" s="8">
        <v>19038</v>
      </c>
      <c r="E3" s="8">
        <v>20441</v>
      </c>
      <c r="F3" s="8">
        <v>21643</v>
      </c>
      <c r="G3" s="8">
        <v>21162</v>
      </c>
      <c r="H3" s="24">
        <v>24576</v>
      </c>
      <c r="I3" s="24">
        <v>25231</v>
      </c>
    </row>
    <row r="4" spans="1:9" s="1" customFormat="1" x14ac:dyDescent="0.2">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
      <c r="A5" s="11" t="s">
        <v>21</v>
      </c>
      <c r="B5" s="8">
        <v>3213</v>
      </c>
      <c r="C5" s="8">
        <v>3278</v>
      </c>
      <c r="D5" s="8">
        <v>3341</v>
      </c>
      <c r="E5" s="8">
        <v>3577</v>
      </c>
      <c r="F5" s="8">
        <v>3753</v>
      </c>
      <c r="G5" s="8">
        <v>3592</v>
      </c>
      <c r="H5" s="3">
        <v>3114</v>
      </c>
      <c r="I5" s="3">
        <v>3850</v>
      </c>
    </row>
    <row r="6" spans="1:9" x14ac:dyDescent="0.2">
      <c r="A6" s="11" t="s">
        <v>22</v>
      </c>
      <c r="B6" s="8">
        <v>6679</v>
      </c>
      <c r="C6" s="8">
        <v>7191</v>
      </c>
      <c r="D6" s="8">
        <v>7222</v>
      </c>
      <c r="E6" s="8">
        <v>7934</v>
      </c>
      <c r="F6" s="8">
        <v>8949</v>
      </c>
      <c r="G6" s="8">
        <v>9534</v>
      </c>
      <c r="H6" s="3">
        <v>9911</v>
      </c>
      <c r="I6" s="3">
        <v>10954</v>
      </c>
    </row>
    <row r="7" spans="1:9" x14ac:dyDescent="0.2">
      <c r="A7" s="22" t="s">
        <v>23</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
      <c r="A8" s="2" t="s">
        <v>24</v>
      </c>
      <c r="B8">
        <v>28</v>
      </c>
      <c r="C8">
        <v>19</v>
      </c>
      <c r="D8">
        <v>59</v>
      </c>
      <c r="E8">
        <v>54</v>
      </c>
      <c r="F8">
        <v>49</v>
      </c>
      <c r="G8">
        <v>89</v>
      </c>
      <c r="H8" s="3">
        <v>262</v>
      </c>
      <c r="I8" s="3">
        <v>205</v>
      </c>
    </row>
    <row r="9" spans="1:9" x14ac:dyDescent="0.2">
      <c r="A9" s="2" t="s">
        <v>5</v>
      </c>
      <c r="B9">
        <v>-58</v>
      </c>
      <c r="C9">
        <v>-140</v>
      </c>
      <c r="D9">
        <v>-196</v>
      </c>
      <c r="E9">
        <v>66</v>
      </c>
      <c r="F9">
        <v>-78</v>
      </c>
      <c r="G9">
        <v>139</v>
      </c>
      <c r="H9" s="3">
        <v>14</v>
      </c>
      <c r="I9" s="3">
        <v>-181</v>
      </c>
    </row>
    <row r="10" spans="1:9" x14ac:dyDescent="0.2">
      <c r="A10" s="4" t="s">
        <v>25</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26</v>
      </c>
      <c r="B11">
        <v>932</v>
      </c>
      <c r="C11">
        <v>863</v>
      </c>
      <c r="D11">
        <v>646</v>
      </c>
      <c r="E11" s="8">
        <v>2392</v>
      </c>
      <c r="F11">
        <v>772</v>
      </c>
      <c r="G11">
        <v>348</v>
      </c>
      <c r="H11" s="3">
        <v>934</v>
      </c>
      <c r="I11" s="3">
        <v>605</v>
      </c>
    </row>
    <row r="12" spans="1:9" ht="16" thickBot="1" x14ac:dyDescent="0.25">
      <c r="A12" s="6" t="s">
        <v>29</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1542</v>
      </c>
      <c r="C17" s="61">
        <v>1697.9</v>
      </c>
      <c r="D17" s="61">
        <v>1657.8</v>
      </c>
      <c r="E17" s="61">
        <v>1623.8</v>
      </c>
      <c r="F17" s="61">
        <v>1579.7</v>
      </c>
      <c r="G17" s="61">
        <v>1558.8</v>
      </c>
      <c r="H17" s="8">
        <v>1573</v>
      </c>
      <c r="I17" s="8">
        <v>1578.8</v>
      </c>
    </row>
    <row r="18" spans="1:9" x14ac:dyDescent="0.2">
      <c r="A18" s="2" t="s">
        <v>7</v>
      </c>
      <c r="B18" s="8">
        <v>1768</v>
      </c>
      <c r="C18" s="61">
        <v>1742.5</v>
      </c>
      <c r="D18" s="61">
        <v>1692</v>
      </c>
      <c r="E18" s="61">
        <v>1659.1</v>
      </c>
      <c r="F18" s="61">
        <v>1618.4</v>
      </c>
      <c r="G18" s="61">
        <v>1591.6</v>
      </c>
      <c r="H18" s="8">
        <v>1609.4</v>
      </c>
      <c r="I18" s="8">
        <v>1610.8</v>
      </c>
    </row>
    <row r="20" spans="1:9" s="12" customFormat="1" x14ac:dyDescent="0.2">
      <c r="A20" s="12" t="s">
        <v>2</v>
      </c>
      <c r="B20" s="62">
        <f>0</f>
        <v>0</v>
      </c>
      <c r="C20" s="62">
        <f>0</f>
        <v>0</v>
      </c>
      <c r="D20" s="62">
        <f>0</f>
        <v>0</v>
      </c>
      <c r="E20" s="62">
        <f>0</f>
        <v>0</v>
      </c>
      <c r="F20" s="62">
        <f>0</f>
        <v>0</v>
      </c>
      <c r="G20" s="62">
        <f>0</f>
        <v>0</v>
      </c>
      <c r="H20" s="13">
        <f t="shared" ref="H20" si="9">+ROUND(((H12/H18)-H15),2)</f>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8">
        <v>3852</v>
      </c>
      <c r="C25" s="8">
        <v>3138</v>
      </c>
      <c r="D25" s="8">
        <v>3808</v>
      </c>
      <c r="E25" s="8">
        <v>4249</v>
      </c>
      <c r="F25" s="8">
        <v>4466</v>
      </c>
      <c r="G25" s="8">
        <v>8348</v>
      </c>
      <c r="H25" s="3">
        <v>9889</v>
      </c>
      <c r="I25" s="3">
        <v>8574</v>
      </c>
    </row>
    <row r="26" spans="1:9" x14ac:dyDescent="0.2">
      <c r="A26" s="11" t="s">
        <v>33</v>
      </c>
      <c r="B26" s="8">
        <v>2072</v>
      </c>
      <c r="C26" s="8">
        <v>2319</v>
      </c>
      <c r="D26" s="8">
        <v>2371</v>
      </c>
      <c r="E26">
        <v>996</v>
      </c>
      <c r="F26">
        <v>197</v>
      </c>
      <c r="G26">
        <v>439</v>
      </c>
      <c r="H26" s="3">
        <v>3587</v>
      </c>
      <c r="I26" s="3">
        <v>4423</v>
      </c>
    </row>
    <row r="27" spans="1:9" x14ac:dyDescent="0.2">
      <c r="A27" s="11" t="s">
        <v>34</v>
      </c>
      <c r="B27" s="8">
        <v>3358</v>
      </c>
      <c r="C27" s="8">
        <v>3241</v>
      </c>
      <c r="D27" s="8">
        <v>3677</v>
      </c>
      <c r="E27" s="8">
        <v>3498</v>
      </c>
      <c r="F27" s="8">
        <v>4272</v>
      </c>
      <c r="G27" s="8">
        <v>2749</v>
      </c>
      <c r="H27" s="3">
        <v>4463</v>
      </c>
      <c r="I27" s="3">
        <v>4667</v>
      </c>
    </row>
    <row r="28" spans="1:9" x14ac:dyDescent="0.2">
      <c r="A28" s="11" t="s">
        <v>35</v>
      </c>
      <c r="B28" s="8">
        <v>4337</v>
      </c>
      <c r="C28" s="8">
        <v>4838</v>
      </c>
      <c r="D28" s="8">
        <v>5055</v>
      </c>
      <c r="E28" s="8">
        <v>5261</v>
      </c>
      <c r="F28" s="8">
        <v>5622</v>
      </c>
      <c r="G28" s="8">
        <v>7367</v>
      </c>
      <c r="H28" s="3">
        <v>6854</v>
      </c>
      <c r="I28" s="3">
        <v>8420</v>
      </c>
    </row>
    <row r="29" spans="1:9" x14ac:dyDescent="0.2">
      <c r="A29" s="11" t="s">
        <v>36</v>
      </c>
      <c r="B29" s="8">
        <v>1968</v>
      </c>
      <c r="C29" s="8">
        <v>1489</v>
      </c>
      <c r="D29" s="8">
        <v>1150</v>
      </c>
      <c r="E29" s="8">
        <v>1130</v>
      </c>
      <c r="F29" s="8">
        <v>1968</v>
      </c>
      <c r="G29" s="8">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37</v>
      </c>
      <c r="B31" s="8">
        <v>3011</v>
      </c>
      <c r="C31" s="8">
        <v>3520</v>
      </c>
      <c r="D31" s="8">
        <v>3989</v>
      </c>
      <c r="E31" s="8">
        <v>4454</v>
      </c>
      <c r="F31" s="8">
        <v>4744</v>
      </c>
      <c r="G31" s="8">
        <v>4866</v>
      </c>
      <c r="H31" s="3">
        <v>4904</v>
      </c>
      <c r="I31" s="3">
        <v>4791</v>
      </c>
    </row>
    <row r="32" spans="1:9" x14ac:dyDescent="0.2">
      <c r="A32" s="2" t="s">
        <v>38</v>
      </c>
      <c r="F32" t="s">
        <v>208</v>
      </c>
      <c r="G32" s="8">
        <v>3097</v>
      </c>
      <c r="H32" s="3">
        <v>3113</v>
      </c>
      <c r="I32" s="3">
        <v>2926</v>
      </c>
    </row>
    <row r="33" spans="1:9" x14ac:dyDescent="0.2">
      <c r="A33" s="2" t="s">
        <v>39</v>
      </c>
      <c r="B33">
        <v>281</v>
      </c>
      <c r="C33">
        <v>281</v>
      </c>
      <c r="D33">
        <v>283</v>
      </c>
      <c r="E33">
        <v>285</v>
      </c>
      <c r="F33">
        <v>283</v>
      </c>
      <c r="G33">
        <v>274</v>
      </c>
      <c r="H33" s="3">
        <v>269</v>
      </c>
      <c r="I33" s="3">
        <v>286</v>
      </c>
    </row>
    <row r="34" spans="1:9" x14ac:dyDescent="0.2">
      <c r="A34" s="2" t="s">
        <v>40</v>
      </c>
      <c r="B34">
        <v>131</v>
      </c>
      <c r="C34">
        <v>131</v>
      </c>
      <c r="D34">
        <v>139</v>
      </c>
      <c r="E34">
        <v>154</v>
      </c>
      <c r="F34">
        <v>154</v>
      </c>
      <c r="G34">
        <v>223</v>
      </c>
      <c r="H34" s="3">
        <v>242</v>
      </c>
      <c r="I34" s="3">
        <v>284</v>
      </c>
    </row>
    <row r="35" spans="1:9" x14ac:dyDescent="0.2">
      <c r="A35" s="2" t="s">
        <v>41</v>
      </c>
      <c r="B35" s="8">
        <v>2587</v>
      </c>
      <c r="C35" s="8">
        <v>2439</v>
      </c>
      <c r="D35" s="8">
        <v>2787</v>
      </c>
      <c r="E35" s="8">
        <v>2509</v>
      </c>
      <c r="F35" s="8">
        <v>2011</v>
      </c>
      <c r="G35" s="8">
        <v>2326</v>
      </c>
      <c r="H35" s="3">
        <v>2921</v>
      </c>
      <c r="I35" s="3">
        <v>3821</v>
      </c>
    </row>
    <row r="36" spans="1:9" ht="16" thickBot="1" x14ac:dyDescent="0.2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v>107</v>
      </c>
      <c r="C39">
        <v>44</v>
      </c>
      <c r="D39">
        <v>6</v>
      </c>
      <c r="E39">
        <v>6</v>
      </c>
      <c r="F39">
        <v>6</v>
      </c>
      <c r="G39">
        <v>3</v>
      </c>
      <c r="H39" s="3">
        <v>0</v>
      </c>
      <c r="I39" s="3">
        <v>500</v>
      </c>
    </row>
    <row r="40" spans="1:9" x14ac:dyDescent="0.2">
      <c r="A40" s="11" t="s">
        <v>46</v>
      </c>
      <c r="B40">
        <v>74</v>
      </c>
      <c r="C40">
        <v>1</v>
      </c>
      <c r="D40">
        <v>325</v>
      </c>
      <c r="E40">
        <v>336</v>
      </c>
      <c r="F40">
        <v>9</v>
      </c>
      <c r="G40">
        <v>248</v>
      </c>
      <c r="H40" s="3">
        <v>2</v>
      </c>
      <c r="I40" s="3">
        <v>10</v>
      </c>
    </row>
    <row r="41" spans="1:9" x14ac:dyDescent="0.2">
      <c r="A41" s="11" t="s">
        <v>11</v>
      </c>
      <c r="B41" s="8">
        <v>2131</v>
      </c>
      <c r="C41" s="8">
        <v>2191</v>
      </c>
      <c r="D41" s="8">
        <v>2048</v>
      </c>
      <c r="E41" s="8">
        <v>2279</v>
      </c>
      <c r="F41" s="8">
        <v>2612</v>
      </c>
      <c r="G41" s="8">
        <v>2248</v>
      </c>
      <c r="H41" s="3">
        <v>2836</v>
      </c>
      <c r="I41" s="3">
        <v>3358</v>
      </c>
    </row>
    <row r="42" spans="1:9" x14ac:dyDescent="0.2">
      <c r="A42" s="11" t="s">
        <v>47</v>
      </c>
      <c r="B42" s="3"/>
      <c r="C42" s="3"/>
      <c r="D42" s="3"/>
      <c r="E42" s="3"/>
      <c r="F42" t="s">
        <v>208</v>
      </c>
      <c r="G42">
        <v>445</v>
      </c>
      <c r="H42" s="3">
        <v>467</v>
      </c>
      <c r="I42" s="3">
        <v>420</v>
      </c>
    </row>
    <row r="43" spans="1:9" x14ac:dyDescent="0.2">
      <c r="A43" s="11" t="s">
        <v>12</v>
      </c>
      <c r="B43" s="8">
        <v>3949</v>
      </c>
      <c r="C43" s="8">
        <v>3037</v>
      </c>
      <c r="D43" s="8">
        <v>3011</v>
      </c>
      <c r="E43" s="8">
        <v>3269</v>
      </c>
      <c r="F43" s="8">
        <v>5010</v>
      </c>
      <c r="G43" s="8">
        <v>5184</v>
      </c>
      <c r="H43" s="3">
        <v>6063</v>
      </c>
      <c r="I43" s="3">
        <v>6220</v>
      </c>
    </row>
    <row r="44" spans="1:9" x14ac:dyDescent="0.2">
      <c r="A44" s="11" t="s">
        <v>48</v>
      </c>
      <c r="B44">
        <v>71</v>
      </c>
      <c r="C44">
        <v>85</v>
      </c>
      <c r="D44">
        <v>84</v>
      </c>
      <c r="E44">
        <v>150</v>
      </c>
      <c r="F44">
        <v>229</v>
      </c>
      <c r="G44">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49</v>
      </c>
      <c r="B46" s="8">
        <v>1079</v>
      </c>
      <c r="C46" s="8">
        <v>2010</v>
      </c>
      <c r="D46" t="s">
        <v>208</v>
      </c>
      <c r="E46" t="s">
        <v>208</v>
      </c>
      <c r="F46" s="8">
        <v>3464</v>
      </c>
      <c r="G46" s="8">
        <v>9406</v>
      </c>
      <c r="H46" s="3">
        <v>9413</v>
      </c>
      <c r="I46" s="3">
        <v>8920</v>
      </c>
    </row>
    <row r="47" spans="1:9" x14ac:dyDescent="0.2">
      <c r="A47" s="2" t="s">
        <v>50</v>
      </c>
      <c r="B47" t="s">
        <v>208</v>
      </c>
      <c r="C47" t="s">
        <v>208</v>
      </c>
      <c r="D47" s="8">
        <v>3471</v>
      </c>
      <c r="E47" s="8">
        <v>3468</v>
      </c>
      <c r="F47" t="s">
        <v>208</v>
      </c>
      <c r="G47" s="8">
        <v>2913</v>
      </c>
      <c r="H47" s="3">
        <v>2931</v>
      </c>
      <c r="I47" s="3">
        <v>2777</v>
      </c>
    </row>
    <row r="48" spans="1:9" x14ac:dyDescent="0.2">
      <c r="A48" s="2" t="s">
        <v>51</v>
      </c>
      <c r="B48" s="8">
        <v>1479</v>
      </c>
      <c r="C48" s="8">
        <v>1770</v>
      </c>
      <c r="D48" s="8">
        <v>1907</v>
      </c>
      <c r="E48" s="8">
        <v>3216</v>
      </c>
      <c r="F48" s="8">
        <v>3347</v>
      </c>
      <c r="G48" s="8">
        <v>2684</v>
      </c>
      <c r="H48" s="3">
        <v>2955</v>
      </c>
      <c r="I48" s="3">
        <v>2613</v>
      </c>
    </row>
    <row r="49" spans="1:9" x14ac:dyDescent="0.2">
      <c r="A49" s="2" t="s">
        <v>52</v>
      </c>
      <c r="B49" s="3"/>
      <c r="C49" s="3"/>
      <c r="D49" s="3"/>
      <c r="E49" s="3"/>
      <c r="F49" s="3"/>
      <c r="G49" s="3"/>
      <c r="H49" s="3"/>
      <c r="I49" s="3"/>
    </row>
    <row r="50" spans="1:9" x14ac:dyDescent="0.2">
      <c r="A50" s="11" t="s">
        <v>53</v>
      </c>
      <c r="B50" s="3"/>
      <c r="C50" s="3"/>
      <c r="D50" s="3"/>
      <c r="E50" s="3"/>
      <c r="F50" s="3"/>
      <c r="G50" s="3"/>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3"/>
      <c r="C53" s="3"/>
      <c r="D53" s="3"/>
      <c r="E53" s="3"/>
      <c r="F53" s="3"/>
      <c r="G53" s="3"/>
      <c r="H53" s="3"/>
      <c r="I53" s="3"/>
    </row>
    <row r="54" spans="1:9" x14ac:dyDescent="0.2">
      <c r="A54" s="17" t="s">
        <v>57</v>
      </c>
      <c r="B54">
        <v>3</v>
      </c>
      <c r="C54">
        <v>3</v>
      </c>
      <c r="D54">
        <v>3</v>
      </c>
      <c r="E54">
        <v>3</v>
      </c>
      <c r="F54">
        <v>3</v>
      </c>
      <c r="G54">
        <v>3</v>
      </c>
      <c r="H54" s="3">
        <v>3</v>
      </c>
      <c r="I54" s="3">
        <v>3</v>
      </c>
    </row>
    <row r="55" spans="1:9" x14ac:dyDescent="0.2">
      <c r="A55" s="17" t="s">
        <v>58</v>
      </c>
      <c r="B55" s="8">
        <v>6773</v>
      </c>
      <c r="C55" s="8">
        <v>7786</v>
      </c>
      <c r="D55" s="8">
        <v>5710</v>
      </c>
      <c r="E55" s="8">
        <v>6384</v>
      </c>
      <c r="F55" s="8">
        <v>7163</v>
      </c>
      <c r="G55" s="8">
        <v>8299</v>
      </c>
      <c r="H55" s="3">
        <v>9965</v>
      </c>
      <c r="I55" s="3">
        <v>11484</v>
      </c>
    </row>
    <row r="56" spans="1:9" x14ac:dyDescent="0.2">
      <c r="A56" s="17" t="s">
        <v>59</v>
      </c>
      <c r="B56" s="8">
        <v>1246</v>
      </c>
      <c r="C56">
        <v>318</v>
      </c>
      <c r="D56">
        <v>-213</v>
      </c>
      <c r="E56">
        <v>-92</v>
      </c>
      <c r="F56">
        <v>231</v>
      </c>
      <c r="G56">
        <v>-56</v>
      </c>
      <c r="H56" s="3">
        <v>-380</v>
      </c>
      <c r="I56" s="3">
        <v>318</v>
      </c>
    </row>
    <row r="57" spans="1:9" x14ac:dyDescent="0.2">
      <c r="A57" s="17" t="s">
        <v>60</v>
      </c>
      <c r="B57" s="8">
        <v>4685</v>
      </c>
      <c r="C57" s="8">
        <v>4151</v>
      </c>
      <c r="D57" s="8">
        <v>6907</v>
      </c>
      <c r="E57" s="8">
        <v>3517</v>
      </c>
      <c r="F57" s="8">
        <v>1643</v>
      </c>
      <c r="G57">
        <v>-191</v>
      </c>
      <c r="H57" s="3">
        <v>3179</v>
      </c>
      <c r="I57" s="3">
        <v>3476</v>
      </c>
    </row>
    <row r="58" spans="1:9" x14ac:dyDescent="0.2">
      <c r="A58" s="4" t="s">
        <v>61</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62</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G60" si="20">+B59-B36</f>
        <v>0</v>
      </c>
      <c r="C60" s="13">
        <f t="shared" si="20"/>
        <v>0</v>
      </c>
      <c r="D60" s="13">
        <f t="shared" si="20"/>
        <v>0</v>
      </c>
      <c r="E60" s="13">
        <f t="shared" si="20"/>
        <v>0</v>
      </c>
      <c r="F60" s="13">
        <f t="shared" si="20"/>
        <v>0</v>
      </c>
      <c r="G60" s="13">
        <f t="shared" si="20"/>
        <v>0</v>
      </c>
      <c r="H60" s="13">
        <f t="shared" ref="H60" si="21">+H59-H36</f>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c r="B63" s="1" t="s">
        <v>209</v>
      </c>
      <c r="C63" s="8">
        <v>3760</v>
      </c>
      <c r="D63" s="8">
        <v>4240</v>
      </c>
      <c r="E63" s="8">
        <v>1933</v>
      </c>
      <c r="F63" s="8">
        <v>4029</v>
      </c>
      <c r="G63" s="8">
        <v>2539</v>
      </c>
    </row>
    <row r="64" spans="1:9" s="1" customFormat="1" x14ac:dyDescent="0.2">
      <c r="A64" s="10" t="s">
        <v>64</v>
      </c>
      <c r="H64" s="9">
        <f>+H12</f>
        <v>5727</v>
      </c>
      <c r="I64" s="9">
        <f>+I12</f>
        <v>6046</v>
      </c>
    </row>
    <row r="65" spans="1:9" s="1" customFormat="1" x14ac:dyDescent="0.2">
      <c r="A65" s="2" t="s">
        <v>65</v>
      </c>
      <c r="B65">
        <v>606</v>
      </c>
      <c r="C65">
        <v>649</v>
      </c>
      <c r="D65">
        <v>706</v>
      </c>
      <c r="E65">
        <v>747</v>
      </c>
      <c r="F65">
        <v>705</v>
      </c>
      <c r="G65">
        <v>721</v>
      </c>
      <c r="H65" s="3"/>
      <c r="I65" s="3"/>
    </row>
    <row r="66" spans="1:9" x14ac:dyDescent="0.2">
      <c r="A66" s="11" t="s">
        <v>66</v>
      </c>
      <c r="B66">
        <v>-113</v>
      </c>
      <c r="C66">
        <v>-80</v>
      </c>
      <c r="D66">
        <v>-273</v>
      </c>
      <c r="E66">
        <v>647</v>
      </c>
      <c r="F66">
        <v>34</v>
      </c>
      <c r="G66">
        <v>-380</v>
      </c>
      <c r="H66" s="3">
        <v>744</v>
      </c>
      <c r="I66" s="3">
        <v>717</v>
      </c>
    </row>
    <row r="67" spans="1:9" x14ac:dyDescent="0.2">
      <c r="A67" s="11" t="s">
        <v>67</v>
      </c>
      <c r="B67">
        <v>191</v>
      </c>
      <c r="C67">
        <v>236</v>
      </c>
      <c r="D67">
        <v>215</v>
      </c>
      <c r="E67">
        <v>218</v>
      </c>
      <c r="F67">
        <v>325</v>
      </c>
      <c r="G67">
        <v>429</v>
      </c>
      <c r="H67" s="3">
        <v>-385</v>
      </c>
      <c r="I67" s="3">
        <v>-650</v>
      </c>
    </row>
    <row r="68" spans="1:9" x14ac:dyDescent="0.2">
      <c r="A68" s="11" t="s">
        <v>68</v>
      </c>
      <c r="B68">
        <v>43</v>
      </c>
      <c r="C68">
        <v>13</v>
      </c>
      <c r="D68">
        <v>10</v>
      </c>
      <c r="E68">
        <v>27</v>
      </c>
      <c r="F68">
        <v>15</v>
      </c>
      <c r="G68">
        <v>398</v>
      </c>
      <c r="H68" s="3">
        <v>611</v>
      </c>
      <c r="I68" s="3">
        <v>638</v>
      </c>
    </row>
    <row r="69" spans="1:9" x14ac:dyDescent="0.2">
      <c r="A69" s="11" t="s">
        <v>69</v>
      </c>
      <c r="B69">
        <v>424</v>
      </c>
      <c r="C69">
        <v>98</v>
      </c>
      <c r="D69">
        <v>-117</v>
      </c>
      <c r="E69">
        <v>-99</v>
      </c>
      <c r="F69">
        <v>233</v>
      </c>
      <c r="G69">
        <v>23</v>
      </c>
      <c r="H69" s="3">
        <v>53</v>
      </c>
      <c r="I69" s="3">
        <v>123</v>
      </c>
    </row>
    <row r="70" spans="1:9" x14ac:dyDescent="0.2">
      <c r="A70" s="11" t="s">
        <v>70</v>
      </c>
      <c r="B70" s="3"/>
      <c r="C70" s="3"/>
      <c r="D70" s="3"/>
      <c r="E70" s="3"/>
      <c r="F70" s="3"/>
      <c r="G70" s="3"/>
      <c r="H70" s="3">
        <v>-138</v>
      </c>
      <c r="I70" s="3">
        <v>-26</v>
      </c>
    </row>
    <row r="71" spans="1:9" x14ac:dyDescent="0.2">
      <c r="A71" s="2" t="s">
        <v>71</v>
      </c>
      <c r="B71">
        <v>-216</v>
      </c>
      <c r="C71">
        <v>60</v>
      </c>
      <c r="D71">
        <v>-426</v>
      </c>
      <c r="E71">
        <v>187</v>
      </c>
      <c r="F71">
        <v>-270</v>
      </c>
      <c r="G71" s="8">
        <v>1239</v>
      </c>
      <c r="H71" s="3"/>
      <c r="I71" s="3"/>
    </row>
    <row r="72" spans="1:9" x14ac:dyDescent="0.2">
      <c r="A72" s="11" t="s">
        <v>72</v>
      </c>
      <c r="B72">
        <v>-621</v>
      </c>
      <c r="C72">
        <v>-590</v>
      </c>
      <c r="D72">
        <v>-231</v>
      </c>
      <c r="E72">
        <v>-255</v>
      </c>
      <c r="F72">
        <v>-490</v>
      </c>
      <c r="G72" s="8">
        <v>-1854</v>
      </c>
      <c r="H72" s="3">
        <v>-1606</v>
      </c>
      <c r="I72" s="3">
        <v>-504</v>
      </c>
    </row>
    <row r="73" spans="1:9" x14ac:dyDescent="0.2">
      <c r="A73" s="11" t="s">
        <v>73</v>
      </c>
      <c r="B73">
        <v>-144</v>
      </c>
      <c r="C73">
        <v>-161</v>
      </c>
      <c r="D73">
        <v>-120</v>
      </c>
      <c r="E73">
        <v>35</v>
      </c>
      <c r="F73">
        <v>-203</v>
      </c>
      <c r="G73">
        <v>-654</v>
      </c>
      <c r="H73" s="3">
        <v>507</v>
      </c>
      <c r="I73" s="3">
        <v>-1676</v>
      </c>
    </row>
    <row r="74" spans="1:9" x14ac:dyDescent="0.2">
      <c r="A74" s="11" t="s">
        <v>98</v>
      </c>
      <c r="B74" s="8">
        <v>1237</v>
      </c>
      <c r="C74">
        <v>-586</v>
      </c>
      <c r="D74">
        <v>-158</v>
      </c>
      <c r="E74" s="8">
        <v>1515</v>
      </c>
      <c r="F74" s="8">
        <v>1525</v>
      </c>
      <c r="G74">
        <v>24</v>
      </c>
      <c r="H74" s="3">
        <v>-182</v>
      </c>
      <c r="I74" s="3">
        <v>-845</v>
      </c>
    </row>
    <row r="75" spans="1:9" x14ac:dyDescent="0.2">
      <c r="A75" s="11" t="s">
        <v>97</v>
      </c>
      <c r="B75" s="26">
        <f t="shared" ref="B75:G75" si="22">+SUM(B63:B74)</f>
        <v>1407</v>
      </c>
      <c r="C75" s="26">
        <f t="shared" si="22"/>
        <v>3399</v>
      </c>
      <c r="D75" s="26">
        <f t="shared" si="22"/>
        <v>3846</v>
      </c>
      <c r="E75" s="26">
        <f t="shared" si="22"/>
        <v>4955</v>
      </c>
      <c r="F75" s="26">
        <f t="shared" si="22"/>
        <v>5903</v>
      </c>
      <c r="G75" s="26">
        <f t="shared" si="22"/>
        <v>2485</v>
      </c>
      <c r="H75" s="3">
        <v>1326</v>
      </c>
      <c r="I75" s="3">
        <v>1365</v>
      </c>
    </row>
    <row r="76" spans="1:9" x14ac:dyDescent="0.2">
      <c r="A76" s="25" t="s">
        <v>74</v>
      </c>
      <c r="B76" s="26">
        <f t="shared" ref="B76:G76" si="23">+SUM(B63:B75)</f>
        <v>2814</v>
      </c>
      <c r="C76" s="26">
        <f t="shared" si="23"/>
        <v>6798</v>
      </c>
      <c r="D76" s="26">
        <f t="shared" si="23"/>
        <v>7692</v>
      </c>
      <c r="E76" s="26">
        <f t="shared" si="23"/>
        <v>9910</v>
      </c>
      <c r="F76" s="26">
        <f t="shared" si="23"/>
        <v>11806</v>
      </c>
      <c r="G76" s="26">
        <f t="shared" si="23"/>
        <v>4970</v>
      </c>
      <c r="H76" s="26">
        <f t="shared" ref="H76" si="24">+SUM(H64:H75)</f>
        <v>6657</v>
      </c>
      <c r="I76" s="26">
        <f>+SUM(I64:I75)</f>
        <v>5188</v>
      </c>
    </row>
    <row r="77" spans="1:9" x14ac:dyDescent="0.2">
      <c r="A77" s="1" t="s">
        <v>75</v>
      </c>
      <c r="B77" s="3"/>
      <c r="C77" s="3"/>
      <c r="D77" s="3"/>
      <c r="E77" s="3"/>
      <c r="F77" s="3"/>
      <c r="G77" s="3"/>
      <c r="H77" s="3"/>
      <c r="I77" s="3"/>
    </row>
    <row r="78" spans="1:9" x14ac:dyDescent="0.2">
      <c r="A78" s="2" t="s">
        <v>76</v>
      </c>
      <c r="B78" s="8">
        <v>-4936</v>
      </c>
      <c r="C78" s="8">
        <v>-5367</v>
      </c>
      <c r="D78" s="8">
        <v>-5928</v>
      </c>
      <c r="E78" s="8">
        <v>-4783</v>
      </c>
      <c r="F78" s="8">
        <v>-2937</v>
      </c>
      <c r="G78" s="8">
        <v>-2426</v>
      </c>
      <c r="H78" s="3">
        <v>-9961</v>
      </c>
      <c r="I78" s="3">
        <v>-12913</v>
      </c>
    </row>
    <row r="79" spans="1:9" x14ac:dyDescent="0.2">
      <c r="A79" s="2" t="s">
        <v>77</v>
      </c>
      <c r="B79" s="8">
        <v>3655</v>
      </c>
      <c r="C79" s="8">
        <v>2924</v>
      </c>
      <c r="D79" s="8">
        <v>3623</v>
      </c>
      <c r="E79" s="8">
        <v>3613</v>
      </c>
      <c r="F79" s="8">
        <v>1715</v>
      </c>
      <c r="G79">
        <v>74</v>
      </c>
      <c r="H79" s="3">
        <v>4236</v>
      </c>
      <c r="I79" s="3">
        <v>8199</v>
      </c>
    </row>
    <row r="80" spans="1:9" x14ac:dyDescent="0.2">
      <c r="A80" s="2" t="s">
        <v>78</v>
      </c>
      <c r="B80" s="8">
        <v>2216</v>
      </c>
      <c r="C80" s="8">
        <v>2386</v>
      </c>
      <c r="D80" s="8">
        <v>2423</v>
      </c>
      <c r="E80" s="8">
        <v>2496</v>
      </c>
      <c r="F80" s="8">
        <v>2072</v>
      </c>
      <c r="G80" s="8">
        <v>2379</v>
      </c>
      <c r="H80" s="3">
        <v>2449</v>
      </c>
      <c r="I80" s="3">
        <v>3967</v>
      </c>
    </row>
    <row r="81" spans="1:9" x14ac:dyDescent="0.2">
      <c r="A81" s="2" t="s">
        <v>14</v>
      </c>
      <c r="B81">
        <v>-150</v>
      </c>
      <c r="C81">
        <v>150</v>
      </c>
      <c r="D81" t="s">
        <v>208</v>
      </c>
      <c r="E81" t="s">
        <v>208</v>
      </c>
      <c r="F81" t="s">
        <v>208</v>
      </c>
      <c r="G81" t="s">
        <v>208</v>
      </c>
      <c r="H81" s="3">
        <v>-695</v>
      </c>
      <c r="I81" s="3">
        <v>-758</v>
      </c>
    </row>
    <row r="82" spans="1:9" x14ac:dyDescent="0.2">
      <c r="A82" s="2" t="s">
        <v>79</v>
      </c>
      <c r="B82">
        <v>-963</v>
      </c>
      <c r="C82" s="8">
        <v>-1143</v>
      </c>
      <c r="D82" s="8">
        <v>-1105</v>
      </c>
      <c r="E82" s="8">
        <v>-1028</v>
      </c>
      <c r="F82" s="8">
        <v>-1119</v>
      </c>
      <c r="G82" s="8">
        <v>-1086</v>
      </c>
      <c r="H82" s="3">
        <v>171</v>
      </c>
      <c r="I82" s="3">
        <v>-19</v>
      </c>
    </row>
    <row r="83" spans="1:9" x14ac:dyDescent="0.2">
      <c r="A83" s="27" t="s">
        <v>80</v>
      </c>
      <c r="B83">
        <v>3</v>
      </c>
      <c r="C83">
        <v>10</v>
      </c>
      <c r="D83">
        <v>13</v>
      </c>
      <c r="E83">
        <v>3</v>
      </c>
      <c r="F83" t="s">
        <v>208</v>
      </c>
      <c r="G83" t="s">
        <v>208</v>
      </c>
      <c r="H83" s="26">
        <f t="shared" ref="H83" si="25">+SUM(H78:H82)</f>
        <v>-3800</v>
      </c>
      <c r="I83" s="26">
        <f>+SUM(I78:I82)</f>
        <v>-1524</v>
      </c>
    </row>
    <row r="84" spans="1:9" x14ac:dyDescent="0.2">
      <c r="A84" s="1" t="s">
        <v>81</v>
      </c>
      <c r="B84" t="s">
        <v>208</v>
      </c>
      <c r="C84">
        <v>6</v>
      </c>
      <c r="D84">
        <v>-34</v>
      </c>
      <c r="E84">
        <v>-22</v>
      </c>
      <c r="F84">
        <v>5</v>
      </c>
      <c r="G84">
        <v>31</v>
      </c>
      <c r="H84" s="3"/>
      <c r="I84" s="3"/>
    </row>
    <row r="85" spans="1:9" x14ac:dyDescent="0.2">
      <c r="A85" s="2" t="s">
        <v>82</v>
      </c>
      <c r="B85" s="26">
        <f>-175</f>
        <v>-175</v>
      </c>
      <c r="C85" s="26">
        <f>-1034</f>
        <v>-1034</v>
      </c>
      <c r="D85" s="26">
        <f t="shared" ref="D85:G85" si="26">+SUM(D78:D84)</f>
        <v>-1008</v>
      </c>
      <c r="E85" s="26">
        <f t="shared" si="26"/>
        <v>279</v>
      </c>
      <c r="F85" s="26">
        <f t="shared" si="26"/>
        <v>-264</v>
      </c>
      <c r="G85" s="26">
        <f t="shared" si="26"/>
        <v>-1028</v>
      </c>
      <c r="H85" s="3">
        <v>0</v>
      </c>
      <c r="I85" s="3">
        <v>0</v>
      </c>
    </row>
    <row r="86" spans="1:9" x14ac:dyDescent="0.2">
      <c r="A86" s="2" t="s">
        <v>83</v>
      </c>
      <c r="B86" s="3"/>
      <c r="C86" s="3"/>
      <c r="D86" s="3"/>
      <c r="E86" s="3"/>
      <c r="F86" s="3"/>
      <c r="G86" s="3"/>
      <c r="H86" s="3">
        <v>-52</v>
      </c>
      <c r="I86" s="3">
        <v>15</v>
      </c>
    </row>
    <row r="87" spans="1:9" x14ac:dyDescent="0.2">
      <c r="A87" s="2" t="s">
        <v>84</v>
      </c>
      <c r="B87">
        <f>0</f>
        <v>0</v>
      </c>
      <c r="C87">
        <v>981</v>
      </c>
      <c r="D87" s="8">
        <v>1482</v>
      </c>
      <c r="E87">
        <f>0</f>
        <v>0</v>
      </c>
      <c r="F87">
        <f>0</f>
        <v>0</v>
      </c>
      <c r="G87">
        <f>0</f>
        <v>0</v>
      </c>
      <c r="H87" s="3">
        <v>-197</v>
      </c>
      <c r="I87" s="3">
        <v>0</v>
      </c>
    </row>
    <row r="88" spans="1:9" x14ac:dyDescent="0.2">
      <c r="A88" s="2" t="s">
        <v>85</v>
      </c>
      <c r="B88">
        <v>-7</v>
      </c>
      <c r="C88">
        <v>-106</v>
      </c>
      <c r="D88">
        <v>-44</v>
      </c>
      <c r="E88">
        <v>-6</v>
      </c>
      <c r="F88">
        <f>0</f>
        <v>0</v>
      </c>
      <c r="G88">
        <f>0</f>
        <v>0</v>
      </c>
      <c r="H88" s="3">
        <v>1172</v>
      </c>
      <c r="I88" s="3">
        <v>1151</v>
      </c>
    </row>
    <row r="89" spans="1:9" x14ac:dyDescent="0.2">
      <c r="A89" s="2" t="s">
        <v>16</v>
      </c>
      <c r="B89">
        <v>-63</v>
      </c>
      <c r="C89">
        <v>-67</v>
      </c>
      <c r="D89">
        <v>327</v>
      </c>
      <c r="E89">
        <v>13</v>
      </c>
      <c r="F89">
        <f>0</f>
        <v>0</v>
      </c>
      <c r="G89" s="8">
        <v>6134</v>
      </c>
      <c r="H89" s="3">
        <v>-608</v>
      </c>
      <c r="I89" s="3">
        <v>-4014</v>
      </c>
    </row>
    <row r="90" spans="1:9" x14ac:dyDescent="0.2">
      <c r="A90" s="2" t="s">
        <v>86</v>
      </c>
      <c r="B90">
        <v>-19</v>
      </c>
      <c r="C90">
        <f>0</f>
        <v>0</v>
      </c>
      <c r="D90">
        <f>0</f>
        <v>0</v>
      </c>
      <c r="E90">
        <v>13</v>
      </c>
      <c r="F90">
        <v>-325</v>
      </c>
      <c r="G90">
        <v>49</v>
      </c>
      <c r="H90" s="3">
        <v>-1638</v>
      </c>
      <c r="I90" s="3">
        <v>-1837</v>
      </c>
    </row>
    <row r="91" spans="1:9" x14ac:dyDescent="0.2">
      <c r="A91" s="2" t="s">
        <v>87</v>
      </c>
      <c r="B91">
        <v>514</v>
      </c>
      <c r="C91">
        <v>507</v>
      </c>
      <c r="D91">
        <f>0</f>
        <v>0</v>
      </c>
      <c r="E91">
        <v>733</v>
      </c>
      <c r="F91">
        <v>700</v>
      </c>
      <c r="G91">
        <v>885</v>
      </c>
      <c r="H91" s="3">
        <v>-136</v>
      </c>
      <c r="I91" s="3">
        <v>-151</v>
      </c>
    </row>
    <row r="92" spans="1:9" x14ac:dyDescent="0.2">
      <c r="A92" s="27" t="s">
        <v>88</v>
      </c>
      <c r="B92" s="8">
        <v>-2534</v>
      </c>
      <c r="C92" s="8">
        <v>-3238</v>
      </c>
      <c r="D92" s="8">
        <v>-3223</v>
      </c>
      <c r="E92" s="8">
        <v>-4254</v>
      </c>
      <c r="F92" s="8">
        <v>-4286</v>
      </c>
      <c r="G92" s="8">
        <v>-3067</v>
      </c>
      <c r="H92" s="26">
        <f t="shared" ref="H92" si="27">+SUM(H85:H91)</f>
        <v>-1459</v>
      </c>
      <c r="I92" s="26">
        <f>+SUM(I85:I91)</f>
        <v>-4836</v>
      </c>
    </row>
    <row r="93" spans="1:9" x14ac:dyDescent="0.2">
      <c r="A93" s="2" t="s">
        <v>89</v>
      </c>
      <c r="B93">
        <v>-899</v>
      </c>
      <c r="C93" s="8">
        <v>-1022</v>
      </c>
      <c r="D93" s="8">
        <v>-1133</v>
      </c>
      <c r="E93" s="8">
        <v>-1243</v>
      </c>
      <c r="F93" s="8">
        <v>-1332</v>
      </c>
      <c r="G93" s="8">
        <v>-1452</v>
      </c>
      <c r="H93" s="3">
        <v>143</v>
      </c>
      <c r="I93" s="3">
        <v>-143</v>
      </c>
    </row>
    <row r="94" spans="1:9" x14ac:dyDescent="0.2">
      <c r="A94" s="27" t="s">
        <v>90</v>
      </c>
      <c r="B94" s="3"/>
      <c r="C94" s="3"/>
      <c r="D94" s="3"/>
      <c r="E94">
        <v>-84</v>
      </c>
      <c r="F94">
        <v>-50</v>
      </c>
      <c r="G94">
        <v>-58</v>
      </c>
      <c r="H94" s="26">
        <f t="shared" ref="H94" si="28">+H76+H83+H92+H93</f>
        <v>1541</v>
      </c>
      <c r="I94" s="26">
        <f>+I76+I83+I92+I93</f>
        <v>-1315</v>
      </c>
    </row>
    <row r="95" spans="1:9" x14ac:dyDescent="0.2">
      <c r="A95" t="s">
        <v>91</v>
      </c>
      <c r="B95" s="26">
        <f t="shared" ref="B95:G95" si="29">+SUM(B87:B94)</f>
        <v>-3008</v>
      </c>
      <c r="C95" s="26">
        <f t="shared" si="29"/>
        <v>-2945</v>
      </c>
      <c r="D95" s="26">
        <f t="shared" si="29"/>
        <v>-2591</v>
      </c>
      <c r="E95" s="26">
        <f t="shared" si="29"/>
        <v>-4828</v>
      </c>
      <c r="F95" s="26">
        <f t="shared" si="29"/>
        <v>-5293</v>
      </c>
      <c r="G95" s="26">
        <f t="shared" si="29"/>
        <v>2491</v>
      </c>
      <c r="H95" s="3">
        <v>8348</v>
      </c>
      <c r="I95" s="3">
        <f>+H96</f>
        <v>9889</v>
      </c>
    </row>
    <row r="96" spans="1:9" ht="16" thickBot="1" x14ac:dyDescent="0.25">
      <c r="A96" s="6" t="s">
        <v>92</v>
      </c>
      <c r="B96">
        <v>-83</v>
      </c>
      <c r="C96">
        <v>-105</v>
      </c>
      <c r="D96">
        <v>-20</v>
      </c>
      <c r="E96">
        <v>45</v>
      </c>
      <c r="F96">
        <v>-129</v>
      </c>
      <c r="G96">
        <v>-66</v>
      </c>
      <c r="H96" s="7">
        <f>+H94+H95</f>
        <v>9889</v>
      </c>
      <c r="I96" s="7">
        <f>+I94+I95</f>
        <v>8574</v>
      </c>
    </row>
    <row r="97" spans="1:9" s="12" customFormat="1" ht="16" thickTop="1" x14ac:dyDescent="0.2">
      <c r="A97" s="12" t="s">
        <v>19</v>
      </c>
      <c r="B97" s="13">
        <f t="shared" ref="B97:G97" si="30">+B96-B25</f>
        <v>-3935</v>
      </c>
      <c r="C97" s="13">
        <f t="shared" si="30"/>
        <v>-3243</v>
      </c>
      <c r="D97" s="13">
        <f t="shared" si="30"/>
        <v>-3828</v>
      </c>
      <c r="E97" s="13">
        <f t="shared" si="30"/>
        <v>-4204</v>
      </c>
      <c r="F97" s="13">
        <f t="shared" si="30"/>
        <v>-4595</v>
      </c>
      <c r="G97" s="13">
        <f t="shared" si="30"/>
        <v>-8414</v>
      </c>
      <c r="H97" s="13">
        <f t="shared" ref="H97" si="31">+H96-H25</f>
        <v>0</v>
      </c>
      <c r="I97" s="13">
        <f>+I96-I25</f>
        <v>0</v>
      </c>
    </row>
    <row r="98" spans="1:9" x14ac:dyDescent="0.2">
      <c r="A98" t="s">
        <v>93</v>
      </c>
      <c r="B98" s="8">
        <v>2220</v>
      </c>
      <c r="C98" s="8">
        <v>3852</v>
      </c>
      <c r="D98" s="8">
        <v>3138</v>
      </c>
      <c r="E98" s="8">
        <v>3808</v>
      </c>
      <c r="F98" s="8">
        <v>4249</v>
      </c>
      <c r="G98" s="8">
        <v>4466</v>
      </c>
      <c r="H98" s="3"/>
      <c r="I98" s="3"/>
    </row>
    <row r="99" spans="1:9" x14ac:dyDescent="0.2">
      <c r="A99" s="2" t="s">
        <v>17</v>
      </c>
      <c r="B99" s="8">
        <v>3852</v>
      </c>
      <c r="C99" s="8">
        <v>3138</v>
      </c>
      <c r="D99" s="8">
        <v>3808</v>
      </c>
      <c r="E99" s="8">
        <v>4249</v>
      </c>
      <c r="F99" s="8">
        <v>4466</v>
      </c>
      <c r="G99" s="8">
        <v>8348</v>
      </c>
      <c r="H99" s="3"/>
      <c r="I99" s="3"/>
    </row>
    <row r="100" spans="1:9" x14ac:dyDescent="0.2">
      <c r="A100" s="11" t="s">
        <v>94</v>
      </c>
      <c r="B100">
        <v>53</v>
      </c>
      <c r="C100">
        <v>70</v>
      </c>
      <c r="D100">
        <v>98</v>
      </c>
      <c r="E100">
        <v>125</v>
      </c>
      <c r="F100">
        <v>153</v>
      </c>
      <c r="G100">
        <v>140</v>
      </c>
      <c r="H100" s="3">
        <v>293</v>
      </c>
      <c r="I100" s="3">
        <v>290</v>
      </c>
    </row>
    <row r="101" spans="1:9" x14ac:dyDescent="0.2">
      <c r="A101" s="11" t="s">
        <v>18</v>
      </c>
      <c r="B101" s="8">
        <v>1262</v>
      </c>
      <c r="C101">
        <v>748</v>
      </c>
      <c r="D101">
        <v>703</v>
      </c>
      <c r="E101">
        <v>529</v>
      </c>
      <c r="F101">
        <v>757</v>
      </c>
      <c r="G101" s="8">
        <v>1028</v>
      </c>
      <c r="H101" s="3">
        <v>1177</v>
      </c>
      <c r="I101" s="3">
        <v>1231</v>
      </c>
    </row>
    <row r="102" spans="1:9" x14ac:dyDescent="0.2">
      <c r="A102" s="11" t="s">
        <v>95</v>
      </c>
      <c r="B102">
        <v>206</v>
      </c>
      <c r="C102">
        <v>252</v>
      </c>
      <c r="D102">
        <v>266</v>
      </c>
      <c r="E102">
        <v>294</v>
      </c>
      <c r="F102">
        <v>160</v>
      </c>
      <c r="G102">
        <v>121</v>
      </c>
      <c r="H102" s="3">
        <v>179</v>
      </c>
      <c r="I102" s="3">
        <v>160</v>
      </c>
    </row>
    <row r="103" spans="1:9" x14ac:dyDescent="0.2">
      <c r="A103" s="11" t="s">
        <v>96</v>
      </c>
      <c r="B103">
        <v>240</v>
      </c>
      <c r="C103">
        <v>271</v>
      </c>
      <c r="D103">
        <v>300</v>
      </c>
      <c r="E103">
        <v>320</v>
      </c>
      <c r="F103">
        <v>347</v>
      </c>
      <c r="G103">
        <v>385</v>
      </c>
      <c r="H103" s="3">
        <v>438</v>
      </c>
      <c r="I103" s="3">
        <v>480</v>
      </c>
    </row>
    <row r="105" spans="1:9" x14ac:dyDescent="0.2">
      <c r="A105" s="14" t="s">
        <v>99</v>
      </c>
      <c r="B105" s="14"/>
      <c r="C105" s="14"/>
      <c r="D105" s="14"/>
      <c r="E105" s="14"/>
      <c r="F105" s="14"/>
      <c r="G105" s="14"/>
      <c r="H105" s="14"/>
      <c r="I105" s="14"/>
    </row>
    <row r="106" spans="1:9" x14ac:dyDescent="0.2">
      <c r="A106" s="28" t="s">
        <v>109</v>
      </c>
      <c r="B106" s="3"/>
      <c r="C106" s="3"/>
      <c r="D106" s="3"/>
      <c r="E106" s="3"/>
      <c r="F106" s="3"/>
      <c r="G106" s="3"/>
      <c r="H106" s="3"/>
      <c r="I106" s="3"/>
    </row>
    <row r="107" spans="1:9" x14ac:dyDescent="0.2">
      <c r="A107" s="2" t="s">
        <v>100</v>
      </c>
      <c r="B107" s="3">
        <f>+SUM(B108:B110)</f>
        <v>13740</v>
      </c>
      <c r="C107" s="3">
        <f t="shared" ref="C107:G107" si="32">+SUM(C108:C110)</f>
        <v>14764</v>
      </c>
      <c r="D107" s="3">
        <f t="shared" si="32"/>
        <v>15216</v>
      </c>
      <c r="E107" s="3">
        <f t="shared" si="32"/>
        <v>14855</v>
      </c>
      <c r="F107" s="3">
        <f t="shared" si="32"/>
        <v>15902</v>
      </c>
      <c r="G107" s="3">
        <f t="shared" si="32"/>
        <v>14484</v>
      </c>
      <c r="H107" s="3">
        <f t="shared" ref="H107" si="33">+SUM(H108:H110)</f>
        <v>17179</v>
      </c>
      <c r="I107" s="3">
        <f>+SUM(I108:I110)</f>
        <v>18353</v>
      </c>
    </row>
    <row r="108" spans="1:9" x14ac:dyDescent="0.2">
      <c r="A108" s="11" t="s">
        <v>113</v>
      </c>
      <c r="B108" s="8">
        <v>8506</v>
      </c>
      <c r="C108" s="8">
        <v>9299</v>
      </c>
      <c r="D108" s="8">
        <v>9684</v>
      </c>
      <c r="E108" s="8">
        <v>9322</v>
      </c>
      <c r="F108" s="8">
        <v>10045</v>
      </c>
      <c r="G108" s="8">
        <v>9329</v>
      </c>
      <c r="H108" s="8">
        <v>11644</v>
      </c>
      <c r="I108" s="8">
        <v>12228</v>
      </c>
    </row>
    <row r="109" spans="1:9" x14ac:dyDescent="0.2">
      <c r="A109" s="11" t="s">
        <v>114</v>
      </c>
      <c r="B109" s="8">
        <v>4410</v>
      </c>
      <c r="C109" s="8">
        <v>4746</v>
      </c>
      <c r="D109" s="8">
        <v>4886</v>
      </c>
      <c r="E109" s="8">
        <v>4938</v>
      </c>
      <c r="F109" s="8">
        <v>5260</v>
      </c>
      <c r="G109" s="8">
        <v>4639</v>
      </c>
      <c r="H109" s="8">
        <v>5028</v>
      </c>
      <c r="I109" s="8">
        <v>5492</v>
      </c>
    </row>
    <row r="110" spans="1:9" x14ac:dyDescent="0.2">
      <c r="A110" s="11" t="s">
        <v>115</v>
      </c>
      <c r="B110">
        <v>824</v>
      </c>
      <c r="C110">
        <v>719</v>
      </c>
      <c r="D110">
        <v>646</v>
      </c>
      <c r="E110">
        <v>595</v>
      </c>
      <c r="F110">
        <v>597</v>
      </c>
      <c r="G110">
        <v>516</v>
      </c>
      <c r="H110">
        <v>507</v>
      </c>
      <c r="I110">
        <v>633</v>
      </c>
    </row>
    <row r="111" spans="1:9" x14ac:dyDescent="0.2">
      <c r="A111" s="2" t="s">
        <v>101</v>
      </c>
      <c r="B111" s="3">
        <f t="shared" ref="B111:G111" si="34">+SUM(B112:B114)</f>
        <v>7126</v>
      </c>
      <c r="C111" s="3">
        <f t="shared" si="34"/>
        <v>7568</v>
      </c>
      <c r="D111" s="3">
        <f t="shared" si="34"/>
        <v>7970</v>
      </c>
      <c r="E111" s="3">
        <f t="shared" si="34"/>
        <v>9242</v>
      </c>
      <c r="F111" s="3">
        <f t="shared" si="34"/>
        <v>9812</v>
      </c>
      <c r="G111" s="3">
        <f t="shared" si="34"/>
        <v>9347</v>
      </c>
      <c r="H111" s="3">
        <f t="shared" ref="H111" si="35">+SUM(H112:H114)</f>
        <v>11456</v>
      </c>
      <c r="I111" s="3">
        <f>+SUM(I112:I114)</f>
        <v>12479</v>
      </c>
    </row>
    <row r="112" spans="1:9" x14ac:dyDescent="0.2">
      <c r="A112" s="11" t="s">
        <v>113</v>
      </c>
      <c r="B112" s="8">
        <v>4703</v>
      </c>
      <c r="C112" s="8">
        <v>5043</v>
      </c>
      <c r="D112" s="8">
        <v>5192</v>
      </c>
      <c r="E112" s="8">
        <v>5875</v>
      </c>
      <c r="F112" s="8">
        <v>6293</v>
      </c>
      <c r="G112" s="8">
        <v>5892</v>
      </c>
      <c r="H112" s="8">
        <v>6970</v>
      </c>
      <c r="I112" s="8">
        <v>7388</v>
      </c>
    </row>
    <row r="113" spans="1:9" x14ac:dyDescent="0.2">
      <c r="A113" s="11" t="s">
        <v>114</v>
      </c>
      <c r="B113" s="8">
        <v>2051</v>
      </c>
      <c r="C113" s="8">
        <v>2149</v>
      </c>
      <c r="D113" s="8">
        <v>2395</v>
      </c>
      <c r="E113" s="8">
        <v>2940</v>
      </c>
      <c r="F113" s="8">
        <v>3087</v>
      </c>
      <c r="G113" s="8">
        <v>3053</v>
      </c>
      <c r="H113" s="8">
        <v>3996</v>
      </c>
      <c r="I113" s="8">
        <v>4527</v>
      </c>
    </row>
    <row r="114" spans="1:9" x14ac:dyDescent="0.2">
      <c r="A114" s="11" t="s">
        <v>115</v>
      </c>
      <c r="B114" s="8">
        <v>372</v>
      </c>
      <c r="C114">
        <v>376</v>
      </c>
      <c r="D114">
        <v>383</v>
      </c>
      <c r="E114">
        <v>427</v>
      </c>
      <c r="F114">
        <v>432</v>
      </c>
      <c r="G114">
        <v>402</v>
      </c>
      <c r="H114">
        <v>490</v>
      </c>
      <c r="I114">
        <v>564</v>
      </c>
    </row>
    <row r="115" spans="1:9" x14ac:dyDescent="0.2">
      <c r="A115" s="2" t="s">
        <v>102</v>
      </c>
      <c r="B115" s="3">
        <f t="shared" ref="B115:G115" si="36">+SUM(B116:B118)</f>
        <v>3067</v>
      </c>
      <c r="C115" s="3">
        <f t="shared" si="36"/>
        <v>3785</v>
      </c>
      <c r="D115" s="3">
        <f t="shared" si="36"/>
        <v>4237</v>
      </c>
      <c r="E115" s="3">
        <f t="shared" si="36"/>
        <v>5134</v>
      </c>
      <c r="F115" s="3">
        <f t="shared" si="36"/>
        <v>6208</v>
      </c>
      <c r="G115" s="3">
        <f t="shared" si="36"/>
        <v>6679</v>
      </c>
      <c r="H115" s="3">
        <f t="shared" ref="H115" si="37">+SUM(H116:H118)</f>
        <v>8290</v>
      </c>
      <c r="I115" s="3">
        <f>+SUM(I116:I118)</f>
        <v>7547</v>
      </c>
    </row>
    <row r="116" spans="1:9" x14ac:dyDescent="0.2">
      <c r="A116" s="11" t="s">
        <v>113</v>
      </c>
      <c r="B116" s="8">
        <v>2016</v>
      </c>
      <c r="C116" s="8">
        <v>2599</v>
      </c>
      <c r="D116" s="8">
        <v>2920</v>
      </c>
      <c r="E116" s="8">
        <v>3496</v>
      </c>
      <c r="F116" s="8">
        <v>4262</v>
      </c>
      <c r="G116" s="8">
        <v>4635</v>
      </c>
      <c r="H116" s="8">
        <v>5748</v>
      </c>
      <c r="I116" s="8">
        <v>5416</v>
      </c>
    </row>
    <row r="117" spans="1:9" x14ac:dyDescent="0.2">
      <c r="A117" s="11" t="s">
        <v>114</v>
      </c>
      <c r="B117">
        <v>925</v>
      </c>
      <c r="C117" s="8">
        <v>1055</v>
      </c>
      <c r="D117" s="8">
        <v>1188</v>
      </c>
      <c r="E117" s="8">
        <v>1508</v>
      </c>
      <c r="F117" s="8">
        <v>1808</v>
      </c>
      <c r="G117" s="8">
        <v>1896</v>
      </c>
      <c r="H117" s="8">
        <v>2347</v>
      </c>
      <c r="I117" s="8">
        <v>1938</v>
      </c>
    </row>
    <row r="118" spans="1:9" x14ac:dyDescent="0.2">
      <c r="A118" s="11" t="s">
        <v>115</v>
      </c>
      <c r="B118">
        <v>126</v>
      </c>
      <c r="C118">
        <v>131</v>
      </c>
      <c r="D118">
        <v>129</v>
      </c>
      <c r="E118">
        <v>130</v>
      </c>
      <c r="F118">
        <v>138</v>
      </c>
      <c r="G118">
        <v>148</v>
      </c>
      <c r="H118">
        <v>195</v>
      </c>
      <c r="I118">
        <v>193</v>
      </c>
    </row>
    <row r="119" spans="1:9" x14ac:dyDescent="0.2">
      <c r="A119" s="2" t="s">
        <v>106</v>
      </c>
      <c r="B119" s="3">
        <f t="shared" ref="B119:G119" si="38">+SUM(B120:B122)</f>
        <v>4653</v>
      </c>
      <c r="C119" s="3">
        <f t="shared" si="38"/>
        <v>4317</v>
      </c>
      <c r="D119" s="3">
        <f t="shared" si="38"/>
        <v>4737</v>
      </c>
      <c r="E119" s="3">
        <f t="shared" si="38"/>
        <v>5166</v>
      </c>
      <c r="F119" s="3">
        <f t="shared" si="38"/>
        <v>5254</v>
      </c>
      <c r="G119" s="3">
        <f t="shared" si="38"/>
        <v>5028</v>
      </c>
      <c r="H119" s="3">
        <f t="shared" ref="H119" si="39">+SUM(H120:H122)</f>
        <v>5343</v>
      </c>
      <c r="I119" s="3">
        <f>+SUM(I120:I122)</f>
        <v>5955</v>
      </c>
    </row>
    <row r="120" spans="1:9" x14ac:dyDescent="0.2">
      <c r="A120" s="11" t="s">
        <v>113</v>
      </c>
      <c r="B120">
        <v>3093</v>
      </c>
      <c r="C120" s="8">
        <v>2930</v>
      </c>
      <c r="D120" s="8">
        <v>3285</v>
      </c>
      <c r="E120" s="8">
        <v>3575</v>
      </c>
      <c r="F120" s="8">
        <v>3622</v>
      </c>
      <c r="G120" s="8">
        <v>3449</v>
      </c>
      <c r="H120" s="8">
        <v>3659</v>
      </c>
      <c r="I120" s="8">
        <v>4111</v>
      </c>
    </row>
    <row r="121" spans="1:9" x14ac:dyDescent="0.2">
      <c r="A121" s="11" t="s">
        <v>114</v>
      </c>
      <c r="B121">
        <v>1250</v>
      </c>
      <c r="C121" s="8">
        <v>1117</v>
      </c>
      <c r="D121" s="8">
        <v>1185</v>
      </c>
      <c r="E121" s="8">
        <v>1347</v>
      </c>
      <c r="F121" s="8">
        <v>1395</v>
      </c>
      <c r="G121" s="8">
        <v>1365</v>
      </c>
      <c r="H121" s="8">
        <v>1494</v>
      </c>
      <c r="I121" s="8">
        <v>1610</v>
      </c>
    </row>
    <row r="122" spans="1:9" x14ac:dyDescent="0.2">
      <c r="A122" s="11" t="s">
        <v>115</v>
      </c>
      <c r="B122">
        <v>310</v>
      </c>
      <c r="C122">
        <v>270</v>
      </c>
      <c r="D122">
        <v>267</v>
      </c>
      <c r="E122">
        <v>244</v>
      </c>
      <c r="F122">
        <v>237</v>
      </c>
      <c r="G122">
        <v>214</v>
      </c>
      <c r="H122">
        <v>190</v>
      </c>
      <c r="I122">
        <v>234</v>
      </c>
    </row>
    <row r="123" spans="1:9" x14ac:dyDescent="0.2">
      <c r="A123" s="2" t="s">
        <v>107</v>
      </c>
      <c r="B123">
        <v>115</v>
      </c>
      <c r="C123">
        <v>73</v>
      </c>
      <c r="D123">
        <v>73</v>
      </c>
      <c r="E123">
        <v>88</v>
      </c>
      <c r="F123">
        <v>42</v>
      </c>
      <c r="G123">
        <v>30</v>
      </c>
      <c r="H123" s="3">
        <v>25</v>
      </c>
      <c r="I123" s="3">
        <v>102</v>
      </c>
    </row>
    <row r="124" spans="1:9" x14ac:dyDescent="0.2">
      <c r="A124" s="4" t="s">
        <v>103</v>
      </c>
      <c r="B124" s="5">
        <f>+B107+B111+B115+B119+B123</f>
        <v>28701</v>
      </c>
      <c r="C124" s="5">
        <f>+C107+C111+C115+C119+C123</f>
        <v>30507</v>
      </c>
      <c r="D124" s="5">
        <f t="shared" ref="D124:G124" si="40">+D107+D111+D115+D119+D123</f>
        <v>32233</v>
      </c>
      <c r="E124" s="5">
        <f t="shared" si="40"/>
        <v>34485</v>
      </c>
      <c r="F124" s="5">
        <f t="shared" si="40"/>
        <v>37218</v>
      </c>
      <c r="G124" s="5">
        <f t="shared" si="40"/>
        <v>35568</v>
      </c>
      <c r="H124" s="5">
        <f t="shared" ref="H124:I124" si="41">+H107+H111+H115+H119+H123</f>
        <v>42293</v>
      </c>
      <c r="I124" s="5">
        <f t="shared" si="41"/>
        <v>44436</v>
      </c>
    </row>
    <row r="125" spans="1:9" x14ac:dyDescent="0.2">
      <c r="A125" s="2" t="s">
        <v>104</v>
      </c>
      <c r="B125" s="8">
        <v>1982</v>
      </c>
      <c r="C125" s="8">
        <v>1955</v>
      </c>
      <c r="D125" s="8">
        <v>2042</v>
      </c>
      <c r="E125" s="8">
        <v>1886</v>
      </c>
      <c r="F125" s="8">
        <f>SUM(F126:F129)</f>
        <v>1906</v>
      </c>
      <c r="G125" s="8">
        <f>SUM(G126:G129)</f>
        <v>1846</v>
      </c>
      <c r="H125" s="3">
        <f>+SUM(H126:H129)</f>
        <v>2205</v>
      </c>
      <c r="I125" s="3">
        <f>+SUM(I126:I129)</f>
        <v>2346</v>
      </c>
    </row>
    <row r="126" spans="1:9" x14ac:dyDescent="0.2">
      <c r="A126" s="11" t="s">
        <v>113</v>
      </c>
      <c r="B126" s="63"/>
      <c r="C126" s="63"/>
      <c r="D126" s="63"/>
      <c r="E126" s="63"/>
      <c r="F126" s="3">
        <f>1658</f>
        <v>1658</v>
      </c>
      <c r="G126" s="3">
        <f>1642</f>
        <v>1642</v>
      </c>
      <c r="H126" s="3">
        <v>1986</v>
      </c>
      <c r="I126" s="3">
        <v>2094</v>
      </c>
    </row>
    <row r="127" spans="1:9" x14ac:dyDescent="0.2">
      <c r="A127" s="11" t="s">
        <v>114</v>
      </c>
      <c r="B127" s="63"/>
      <c r="C127" s="63"/>
      <c r="D127" s="63"/>
      <c r="E127" s="63"/>
      <c r="F127" s="3">
        <f>118</f>
        <v>118</v>
      </c>
      <c r="G127" s="3">
        <f>89</f>
        <v>89</v>
      </c>
      <c r="H127" s="3">
        <v>104</v>
      </c>
      <c r="I127" s="3">
        <v>103</v>
      </c>
    </row>
    <row r="128" spans="1:9" x14ac:dyDescent="0.2">
      <c r="A128" s="11" t="s">
        <v>115</v>
      </c>
      <c r="B128" s="63"/>
      <c r="C128" s="63"/>
      <c r="D128" s="63"/>
      <c r="E128" s="63"/>
      <c r="F128" s="3">
        <f>24</f>
        <v>24</v>
      </c>
      <c r="G128" s="3">
        <f>25</f>
        <v>25</v>
      </c>
      <c r="H128" s="3">
        <v>29</v>
      </c>
      <c r="I128" s="3">
        <v>26</v>
      </c>
    </row>
    <row r="129" spans="1:9" x14ac:dyDescent="0.2">
      <c r="A129" s="11" t="s">
        <v>121</v>
      </c>
      <c r="B129" s="63"/>
      <c r="C129" s="63"/>
      <c r="D129" s="63"/>
      <c r="E129" s="63"/>
      <c r="F129" s="3">
        <f>106</f>
        <v>106</v>
      </c>
      <c r="G129" s="3">
        <f>90</f>
        <v>90</v>
      </c>
      <c r="H129" s="3">
        <v>86</v>
      </c>
      <c r="I129" s="3">
        <v>123</v>
      </c>
    </row>
    <row r="130" spans="1:9" x14ac:dyDescent="0.2">
      <c r="A130" s="2" t="s">
        <v>108</v>
      </c>
      <c r="B130">
        <v>-82</v>
      </c>
      <c r="C130">
        <v>-86</v>
      </c>
      <c r="D130">
        <v>75</v>
      </c>
      <c r="E130">
        <v>26</v>
      </c>
      <c r="F130">
        <v>-7</v>
      </c>
      <c r="G130">
        <v>-11</v>
      </c>
      <c r="H130" s="3">
        <v>40</v>
      </c>
      <c r="I130" s="3">
        <v>-72</v>
      </c>
    </row>
    <row r="131" spans="1:9" ht="16" thickBot="1" x14ac:dyDescent="0.25">
      <c r="A131" s="6" t="s">
        <v>105</v>
      </c>
      <c r="B131" s="7">
        <f t="shared" ref="B131:G131" si="42">+B124+B125+B130</f>
        <v>30601</v>
      </c>
      <c r="C131" s="7">
        <f t="shared" si="42"/>
        <v>32376</v>
      </c>
      <c r="D131" s="7">
        <f t="shared" si="42"/>
        <v>34350</v>
      </c>
      <c r="E131" s="7">
        <f t="shared" si="42"/>
        <v>36397</v>
      </c>
      <c r="F131" s="7">
        <f t="shared" si="42"/>
        <v>39117</v>
      </c>
      <c r="G131" s="7">
        <f t="shared" si="42"/>
        <v>37403</v>
      </c>
      <c r="H131" s="7">
        <f t="shared" ref="H131" si="43">+H124+H125+H130</f>
        <v>44538</v>
      </c>
      <c r="I131" s="7">
        <f>+I124+I125+I130</f>
        <v>46710</v>
      </c>
    </row>
    <row r="132" spans="1:9" s="12" customFormat="1" ht="16" thickTop="1" x14ac:dyDescent="0.2">
      <c r="A132" s="12" t="s">
        <v>111</v>
      </c>
      <c r="B132" s="62">
        <f>B131-B2</f>
        <v>0</v>
      </c>
      <c r="C132" s="62">
        <f t="shared" ref="C132:G132" si="44">C131-C2</f>
        <v>0</v>
      </c>
      <c r="D132" s="62">
        <f t="shared" si="44"/>
        <v>0</v>
      </c>
      <c r="E132" s="62">
        <f t="shared" si="44"/>
        <v>0</v>
      </c>
      <c r="F132" s="62">
        <f t="shared" si="44"/>
        <v>0</v>
      </c>
      <c r="G132" s="62">
        <f t="shared" si="44"/>
        <v>0</v>
      </c>
      <c r="H132" s="13">
        <f>+H131-H2</f>
        <v>0</v>
      </c>
    </row>
    <row r="133" spans="1:9" x14ac:dyDescent="0.2">
      <c r="A133" s="1" t="s">
        <v>110</v>
      </c>
    </row>
    <row r="134" spans="1:9" x14ac:dyDescent="0.2">
      <c r="A134" s="2" t="s">
        <v>100</v>
      </c>
      <c r="B134" s="8">
        <v>3645</v>
      </c>
      <c r="C134" s="8">
        <v>3763</v>
      </c>
      <c r="D134" s="8">
        <v>3875</v>
      </c>
      <c r="E134" s="8">
        <v>3600</v>
      </c>
      <c r="F134" s="8">
        <v>3925</v>
      </c>
      <c r="G134" s="8">
        <v>2899</v>
      </c>
      <c r="H134" s="3">
        <v>5089</v>
      </c>
      <c r="I134" s="3">
        <v>5114</v>
      </c>
    </row>
    <row r="135" spans="1:9" x14ac:dyDescent="0.2">
      <c r="A135" s="2" t="s">
        <v>101</v>
      </c>
      <c r="B135" s="8">
        <v>1524</v>
      </c>
      <c r="C135" s="8">
        <v>1787</v>
      </c>
      <c r="D135" s="8">
        <v>1507</v>
      </c>
      <c r="E135" s="8">
        <v>1587</v>
      </c>
      <c r="F135" s="8">
        <v>1995</v>
      </c>
      <c r="G135" s="8">
        <v>1541</v>
      </c>
      <c r="H135" s="3">
        <v>2435</v>
      </c>
      <c r="I135" s="3">
        <v>3293</v>
      </c>
    </row>
    <row r="136" spans="1:9" x14ac:dyDescent="0.2">
      <c r="A136" s="2" t="s">
        <v>102</v>
      </c>
      <c r="B136">
        <v>993</v>
      </c>
      <c r="C136" s="8">
        <v>1372</v>
      </c>
      <c r="D136" s="8">
        <v>1507</v>
      </c>
      <c r="E136" s="8">
        <v>1807</v>
      </c>
      <c r="F136" s="8">
        <v>2376</v>
      </c>
      <c r="G136" s="8">
        <v>2490</v>
      </c>
      <c r="H136" s="3">
        <v>3243</v>
      </c>
      <c r="I136" s="3">
        <v>2365</v>
      </c>
    </row>
    <row r="137" spans="1:9" x14ac:dyDescent="0.2">
      <c r="A137" s="2" t="s">
        <v>106</v>
      </c>
      <c r="B137" s="3">
        <v>918</v>
      </c>
      <c r="C137" s="8">
        <v>1002</v>
      </c>
      <c r="D137">
        <v>980</v>
      </c>
      <c r="E137" s="8">
        <v>1189</v>
      </c>
      <c r="F137" s="8">
        <v>1323</v>
      </c>
      <c r="G137" s="8">
        <v>1184</v>
      </c>
      <c r="H137" s="3">
        <v>1530</v>
      </c>
      <c r="I137" s="3">
        <v>1896</v>
      </c>
    </row>
    <row r="138" spans="1:9" x14ac:dyDescent="0.2">
      <c r="A138" s="2" t="s">
        <v>107</v>
      </c>
      <c r="B138" s="3">
        <v>-2263</v>
      </c>
      <c r="C138">
        <v>-2596</v>
      </c>
      <c r="D138">
        <v>-2677</v>
      </c>
      <c r="E138">
        <v>-2658</v>
      </c>
      <c r="F138">
        <v>-3262</v>
      </c>
      <c r="G138">
        <v>-3468</v>
      </c>
      <c r="H138" s="3">
        <v>-3656</v>
      </c>
      <c r="I138" s="3">
        <v>-4262</v>
      </c>
    </row>
    <row r="139" spans="1:9" x14ac:dyDescent="0.2">
      <c r="A139" s="4" t="s">
        <v>103</v>
      </c>
      <c r="B139" s="5">
        <f t="shared" ref="B139:G139" si="45">+SUM(B134:B138)</f>
        <v>4817</v>
      </c>
      <c r="C139" s="5">
        <f t="shared" si="45"/>
        <v>5328</v>
      </c>
      <c r="D139" s="5">
        <f t="shared" si="45"/>
        <v>5192</v>
      </c>
      <c r="E139" s="5">
        <f t="shared" si="45"/>
        <v>5525</v>
      </c>
      <c r="F139" s="5">
        <f t="shared" si="45"/>
        <v>6357</v>
      </c>
      <c r="G139" s="5">
        <f t="shared" si="45"/>
        <v>4646</v>
      </c>
      <c r="H139" s="5">
        <f t="shared" ref="H139:I139" si="46">+SUM(H134:H138)</f>
        <v>8641</v>
      </c>
      <c r="I139" s="5">
        <f t="shared" si="46"/>
        <v>8406</v>
      </c>
    </row>
    <row r="140" spans="1:9" x14ac:dyDescent="0.2">
      <c r="A140" s="2" t="s">
        <v>104</v>
      </c>
      <c r="B140">
        <v>517</v>
      </c>
      <c r="C140">
        <v>487</v>
      </c>
      <c r="D140">
        <v>477</v>
      </c>
      <c r="E140">
        <v>310</v>
      </c>
      <c r="F140">
        <v>303</v>
      </c>
      <c r="G140">
        <v>297</v>
      </c>
      <c r="H140" s="3">
        <v>543</v>
      </c>
      <c r="I140" s="3">
        <v>669</v>
      </c>
    </row>
    <row r="141" spans="1:9" x14ac:dyDescent="0.2">
      <c r="A141" s="2" t="s">
        <v>108</v>
      </c>
      <c r="B141" s="3">
        <v>-1101</v>
      </c>
      <c r="C141" s="3">
        <v>-1173</v>
      </c>
      <c r="D141" s="3">
        <v>-724</v>
      </c>
      <c r="E141" s="8">
        <v>-1456</v>
      </c>
      <c r="F141" s="8">
        <v>-1810</v>
      </c>
      <c r="G141" s="8">
        <v>-1967</v>
      </c>
      <c r="H141" s="3">
        <v>-2261</v>
      </c>
      <c r="I141" s="3">
        <v>-2219</v>
      </c>
    </row>
    <row r="142" spans="1:9" ht="16" thickBot="1" x14ac:dyDescent="0.25">
      <c r="A142" s="6" t="s">
        <v>112</v>
      </c>
      <c r="B142" s="7">
        <f t="shared" ref="B142:G142" si="47">+SUM(B139:B141)</f>
        <v>4233</v>
      </c>
      <c r="C142" s="7">
        <f t="shared" si="47"/>
        <v>4642</v>
      </c>
      <c r="D142" s="7">
        <f t="shared" si="47"/>
        <v>4945</v>
      </c>
      <c r="E142" s="7">
        <f t="shared" si="47"/>
        <v>4379</v>
      </c>
      <c r="F142" s="7">
        <f t="shared" si="47"/>
        <v>4850</v>
      </c>
      <c r="G142" s="7">
        <f t="shared" si="47"/>
        <v>2976</v>
      </c>
      <c r="H142" s="7">
        <f t="shared" ref="H142" si="48">+SUM(H139:H141)</f>
        <v>6923</v>
      </c>
      <c r="I142" s="7">
        <f>+SUM(I139:I141)</f>
        <v>6856</v>
      </c>
    </row>
    <row r="143" spans="1:9" s="12" customFormat="1" ht="16" thickTop="1" x14ac:dyDescent="0.2">
      <c r="A143" s="12" t="s">
        <v>111</v>
      </c>
      <c r="B143" s="13">
        <f t="shared" ref="B143:G143" si="49">+B142-B10-B8</f>
        <v>0</v>
      </c>
      <c r="C143" s="13">
        <f t="shared" si="49"/>
        <v>0</v>
      </c>
      <c r="D143" s="13">
        <f t="shared" si="49"/>
        <v>0</v>
      </c>
      <c r="E143" s="13">
        <f t="shared" si="49"/>
        <v>0</v>
      </c>
      <c r="F143" s="13">
        <f t="shared" si="49"/>
        <v>0</v>
      </c>
      <c r="G143" s="13">
        <f t="shared" si="49"/>
        <v>0</v>
      </c>
      <c r="H143" s="13">
        <f t="shared" ref="H143" si="50">+H142-H10-H8</f>
        <v>0</v>
      </c>
      <c r="I143" s="13">
        <f>+I142-I10-I8</f>
        <v>0</v>
      </c>
    </row>
    <row r="144" spans="1:9" x14ac:dyDescent="0.2">
      <c r="A144" s="1" t="s">
        <v>117</v>
      </c>
    </row>
    <row r="145" spans="1:9" x14ac:dyDescent="0.2">
      <c r="A145" s="2" t="s">
        <v>100</v>
      </c>
      <c r="B145" s="3">
        <f>632</f>
        <v>632</v>
      </c>
      <c r="C145" s="3">
        <f>742</f>
        <v>742</v>
      </c>
      <c r="D145" s="3">
        <f>819</f>
        <v>819</v>
      </c>
      <c r="E145" s="3">
        <f>848</f>
        <v>848</v>
      </c>
      <c r="F145" s="3">
        <f>814</f>
        <v>814</v>
      </c>
      <c r="G145">
        <f>645</f>
        <v>645</v>
      </c>
      <c r="H145" s="3">
        <v>617</v>
      </c>
      <c r="I145" s="3">
        <v>639</v>
      </c>
    </row>
    <row r="146" spans="1:9" x14ac:dyDescent="0.2">
      <c r="A146" s="2" t="s">
        <v>101</v>
      </c>
      <c r="B146" s="3">
        <f>451</f>
        <v>451</v>
      </c>
      <c r="C146" s="3">
        <f>589</f>
        <v>589</v>
      </c>
      <c r="D146" s="3">
        <f>709</f>
        <v>709</v>
      </c>
      <c r="E146" s="3">
        <f>849</f>
        <v>849</v>
      </c>
      <c r="F146" s="3">
        <f>929</f>
        <v>929</v>
      </c>
      <c r="G146">
        <f>885</f>
        <v>885</v>
      </c>
      <c r="H146" s="3">
        <v>982</v>
      </c>
      <c r="I146" s="3">
        <v>920</v>
      </c>
    </row>
    <row r="147" spans="1:9" x14ac:dyDescent="0.2">
      <c r="A147" s="2" t="s">
        <v>102</v>
      </c>
      <c r="B147" s="3">
        <f>47</f>
        <v>47</v>
      </c>
      <c r="C147" s="3">
        <f>50</f>
        <v>50</v>
      </c>
      <c r="D147" s="3">
        <f>225</f>
        <v>225</v>
      </c>
      <c r="E147" s="3">
        <f>256</f>
        <v>256</v>
      </c>
      <c r="F147" s="3">
        <f>237</f>
        <v>237</v>
      </c>
      <c r="G147">
        <f>214</f>
        <v>214</v>
      </c>
      <c r="H147" s="3">
        <v>288</v>
      </c>
      <c r="I147" s="3">
        <v>303</v>
      </c>
    </row>
    <row r="148" spans="1:9" x14ac:dyDescent="0.2">
      <c r="A148" s="2" t="s">
        <v>118</v>
      </c>
      <c r="B148" s="3">
        <f>254+205+103</f>
        <v>562</v>
      </c>
      <c r="C148" s="3">
        <f>234</f>
        <v>234</v>
      </c>
      <c r="D148" s="3">
        <f>340</f>
        <v>340</v>
      </c>
      <c r="E148" s="3">
        <f>339</f>
        <v>339</v>
      </c>
      <c r="F148" s="3">
        <f>326</f>
        <v>326</v>
      </c>
      <c r="G148">
        <f>296</f>
        <v>296</v>
      </c>
      <c r="H148" s="3">
        <v>304</v>
      </c>
      <c r="I148" s="3">
        <v>274</v>
      </c>
    </row>
    <row r="149" spans="1:9" x14ac:dyDescent="0.2">
      <c r="A149" s="2" t="s">
        <v>107</v>
      </c>
      <c r="B149" s="3">
        <f>484</f>
        <v>484</v>
      </c>
      <c r="C149" s="3">
        <f>511+223+109</f>
        <v>843</v>
      </c>
      <c r="D149" s="3">
        <f>533</f>
        <v>533</v>
      </c>
      <c r="E149" s="3">
        <f>597</f>
        <v>597</v>
      </c>
      <c r="F149" s="3">
        <f>665</f>
        <v>665</v>
      </c>
      <c r="G149">
        <f>830</f>
        <v>830</v>
      </c>
      <c r="H149" s="3">
        <v>780</v>
      </c>
      <c r="I149" s="3">
        <v>789</v>
      </c>
    </row>
    <row r="150" spans="1:9" x14ac:dyDescent="0.2">
      <c r="A150" s="4" t="s">
        <v>119</v>
      </c>
      <c r="B150" s="5">
        <f t="shared" ref="B150:E150" si="51">+SUM(B145:B149)</f>
        <v>2176</v>
      </c>
      <c r="C150" s="5">
        <f t="shared" si="51"/>
        <v>2458</v>
      </c>
      <c r="D150" s="5">
        <f t="shared" si="51"/>
        <v>2626</v>
      </c>
      <c r="E150" s="5">
        <f t="shared" si="51"/>
        <v>2889</v>
      </c>
      <c r="F150" s="5">
        <f>+SUM(F145:F149)</f>
        <v>2971</v>
      </c>
      <c r="G150" s="5">
        <f>+SUM(G145:G149)</f>
        <v>2870</v>
      </c>
      <c r="H150" s="5">
        <f t="shared" ref="H150:I150" si="52">+SUM(H145:H149)</f>
        <v>2971</v>
      </c>
      <c r="I150" s="5">
        <f t="shared" si="52"/>
        <v>2925</v>
      </c>
    </row>
    <row r="151" spans="1:9" x14ac:dyDescent="0.2">
      <c r="A151" s="2" t="s">
        <v>104</v>
      </c>
      <c r="B151" s="3">
        <f>122</f>
        <v>122</v>
      </c>
      <c r="C151" s="3">
        <f>125</f>
        <v>125</v>
      </c>
      <c r="D151" s="3">
        <f>125</f>
        <v>125</v>
      </c>
      <c r="E151" s="3">
        <f>115</f>
        <v>115</v>
      </c>
      <c r="F151" s="3">
        <f>100</f>
        <v>100</v>
      </c>
      <c r="G151">
        <f>80</f>
        <v>80</v>
      </c>
      <c r="H151" s="3">
        <v>63</v>
      </c>
      <c r="I151" s="3">
        <v>49</v>
      </c>
    </row>
    <row r="152" spans="1:9" x14ac:dyDescent="0.2">
      <c r="A152" s="2" t="s">
        <v>108</v>
      </c>
      <c r="B152" s="3">
        <f>713</f>
        <v>713</v>
      </c>
      <c r="C152" s="3">
        <f>937</f>
        <v>937</v>
      </c>
      <c r="D152" s="3">
        <f>1238</f>
        <v>1238</v>
      </c>
      <c r="E152" s="3">
        <f>1450</f>
        <v>1450</v>
      </c>
      <c r="F152" s="3">
        <f>1673</f>
        <v>1673</v>
      </c>
      <c r="G152">
        <f>1916</f>
        <v>1916</v>
      </c>
      <c r="H152" s="3">
        <v>1870</v>
      </c>
      <c r="I152" s="3">
        <v>1817</v>
      </c>
    </row>
    <row r="153" spans="1:9" ht="16" thickBot="1" x14ac:dyDescent="0.25">
      <c r="A153" s="6" t="s">
        <v>120</v>
      </c>
      <c r="B153" s="7">
        <f t="shared" ref="B153:E153" si="53">+SUM(B150:B152)</f>
        <v>3011</v>
      </c>
      <c r="C153" s="7">
        <f t="shared" si="53"/>
        <v>3520</v>
      </c>
      <c r="D153" s="7">
        <f t="shared" si="53"/>
        <v>3989</v>
      </c>
      <c r="E153" s="7">
        <f t="shared" si="53"/>
        <v>4454</v>
      </c>
      <c r="F153" s="7">
        <f>+SUM(F150:F152)</f>
        <v>4744</v>
      </c>
      <c r="G153" s="7">
        <f>+SUM(G150:G152)</f>
        <v>4866</v>
      </c>
      <c r="H153" s="7">
        <f t="shared" ref="H153" si="54">+SUM(H150:H152)</f>
        <v>4904</v>
      </c>
      <c r="I153" s="7">
        <f>+SUM(I150:I152)</f>
        <v>4791</v>
      </c>
    </row>
    <row r="154" spans="1:9" ht="16" thickTop="1" x14ac:dyDescent="0.2">
      <c r="A154" s="12" t="s">
        <v>111</v>
      </c>
      <c r="B154" s="13">
        <f t="shared" ref="B154:G154" si="55">+B153-B31</f>
        <v>0</v>
      </c>
      <c r="C154" s="13">
        <f t="shared" si="55"/>
        <v>0</v>
      </c>
      <c r="D154" s="13">
        <f t="shared" si="55"/>
        <v>0</v>
      </c>
      <c r="E154" s="13">
        <f t="shared" si="55"/>
        <v>0</v>
      </c>
      <c r="F154" s="13">
        <f t="shared" si="55"/>
        <v>0</v>
      </c>
      <c r="G154" s="13">
        <f t="shared" si="55"/>
        <v>0</v>
      </c>
      <c r="H154" s="13">
        <f t="shared" ref="H154" si="56">+H153-H31</f>
        <v>0</v>
      </c>
      <c r="I154" s="13">
        <f>+I153-I31</f>
        <v>0</v>
      </c>
    </row>
    <row r="155" spans="1:9" x14ac:dyDescent="0.2">
      <c r="A155" s="1" t="s">
        <v>122</v>
      </c>
    </row>
    <row r="156" spans="1:9" x14ac:dyDescent="0.2">
      <c r="A156" s="2" t="s">
        <v>100</v>
      </c>
      <c r="B156" s="3">
        <f>208</f>
        <v>208</v>
      </c>
      <c r="C156" s="3">
        <f>242</f>
        <v>242</v>
      </c>
      <c r="D156" s="3">
        <f>223</f>
        <v>223</v>
      </c>
      <c r="E156" s="3">
        <f>196</f>
        <v>196</v>
      </c>
      <c r="F156" s="3">
        <f>117</f>
        <v>117</v>
      </c>
      <c r="G156" s="3">
        <f>110</f>
        <v>110</v>
      </c>
      <c r="H156" s="3">
        <v>98</v>
      </c>
      <c r="I156" s="3">
        <v>146</v>
      </c>
    </row>
    <row r="157" spans="1:9" x14ac:dyDescent="0.2">
      <c r="A157" s="2" t="s">
        <v>101</v>
      </c>
      <c r="B157" s="3">
        <f>216</f>
        <v>216</v>
      </c>
      <c r="C157" s="3">
        <f>215</f>
        <v>215</v>
      </c>
      <c r="D157" s="3">
        <f>173</f>
        <v>173</v>
      </c>
      <c r="E157" s="3">
        <f>240</f>
        <v>240</v>
      </c>
      <c r="F157" s="3">
        <f>233</f>
        <v>233</v>
      </c>
      <c r="G157" s="3">
        <f>139</f>
        <v>139</v>
      </c>
      <c r="H157" s="3">
        <v>153</v>
      </c>
      <c r="I157" s="3">
        <v>197</v>
      </c>
    </row>
    <row r="158" spans="1:9" x14ac:dyDescent="0.2">
      <c r="A158" s="2" t="s">
        <v>102</v>
      </c>
      <c r="B158" s="3">
        <f>20</f>
        <v>20</v>
      </c>
      <c r="C158" s="3">
        <f>17</f>
        <v>17</v>
      </c>
      <c r="D158" s="3">
        <f>51</f>
        <v>51</v>
      </c>
      <c r="E158" s="3">
        <f>76</f>
        <v>76</v>
      </c>
      <c r="F158" s="3">
        <f>49</f>
        <v>49</v>
      </c>
      <c r="G158" s="3">
        <f>28</f>
        <v>28</v>
      </c>
      <c r="H158" s="3">
        <v>94</v>
      </c>
      <c r="I158" s="3">
        <v>78</v>
      </c>
    </row>
    <row r="159" spans="1:9" x14ac:dyDescent="0.2">
      <c r="A159" s="2" t="s">
        <v>118</v>
      </c>
      <c r="B159" s="3">
        <f>69</f>
        <v>69</v>
      </c>
      <c r="C159" s="3">
        <f>44</f>
        <v>44</v>
      </c>
      <c r="D159" s="3">
        <f>59</f>
        <v>59</v>
      </c>
      <c r="E159" s="3">
        <f>49</f>
        <v>49</v>
      </c>
      <c r="F159" s="3">
        <f>47</f>
        <v>47</v>
      </c>
      <c r="G159" s="3">
        <f>41</f>
        <v>41</v>
      </c>
      <c r="H159" s="3">
        <v>54</v>
      </c>
      <c r="I159" s="3">
        <v>56</v>
      </c>
    </row>
    <row r="160" spans="1:9" x14ac:dyDescent="0.2">
      <c r="A160" s="2" t="s">
        <v>107</v>
      </c>
      <c r="B160" s="3">
        <f>15+37+225</f>
        <v>277</v>
      </c>
      <c r="C160" s="3">
        <f>13+51+258</f>
        <v>322</v>
      </c>
      <c r="D160" s="3">
        <f>278</f>
        <v>278</v>
      </c>
      <c r="E160" s="3">
        <f>286</f>
        <v>286</v>
      </c>
      <c r="F160" s="3">
        <f>278</f>
        <v>278</v>
      </c>
      <c r="G160" s="3">
        <f>438</f>
        <v>438</v>
      </c>
      <c r="H160" s="3">
        <v>278</v>
      </c>
      <c r="I160" s="3">
        <v>222</v>
      </c>
    </row>
    <row r="161" spans="1:9" x14ac:dyDescent="0.2">
      <c r="A161" s="4" t="s">
        <v>119</v>
      </c>
      <c r="B161" s="5">
        <f t="shared" ref="B161:G161" si="57">+SUM(B156:B160)</f>
        <v>790</v>
      </c>
      <c r="C161" s="5">
        <f t="shared" si="57"/>
        <v>840</v>
      </c>
      <c r="D161" s="5">
        <f t="shared" si="57"/>
        <v>784</v>
      </c>
      <c r="E161" s="5">
        <f t="shared" si="57"/>
        <v>847</v>
      </c>
      <c r="F161" s="5">
        <f t="shared" si="57"/>
        <v>724</v>
      </c>
      <c r="G161" s="5">
        <f t="shared" si="57"/>
        <v>756</v>
      </c>
      <c r="H161" s="5">
        <f t="shared" ref="H161:I161" si="58">+SUM(H156:H160)</f>
        <v>677</v>
      </c>
      <c r="I161" s="5">
        <f t="shared" si="58"/>
        <v>699</v>
      </c>
    </row>
    <row r="162" spans="1:9" x14ac:dyDescent="0.2">
      <c r="A162" s="2" t="s">
        <v>104</v>
      </c>
      <c r="B162" s="3">
        <f>27</f>
        <v>27</v>
      </c>
      <c r="C162" s="3">
        <f>39</f>
        <v>39</v>
      </c>
      <c r="D162" s="3">
        <f>30</f>
        <v>30</v>
      </c>
      <c r="E162" s="3">
        <f>22</f>
        <v>22</v>
      </c>
      <c r="F162" s="3">
        <f>18</f>
        <v>18</v>
      </c>
      <c r="G162" s="3">
        <f>12</f>
        <v>12</v>
      </c>
      <c r="H162" s="3">
        <v>7</v>
      </c>
      <c r="I162" s="3">
        <v>9</v>
      </c>
    </row>
    <row r="163" spans="1:9" x14ac:dyDescent="0.2">
      <c r="A163" s="2" t="s">
        <v>108</v>
      </c>
      <c r="B163" s="3">
        <f>84</f>
        <v>84</v>
      </c>
      <c r="C163" s="3">
        <f>312</f>
        <v>312</v>
      </c>
      <c r="D163" s="3">
        <f>387</f>
        <v>387</v>
      </c>
      <c r="E163" s="3">
        <f>325</f>
        <v>325</v>
      </c>
      <c r="F163" s="3">
        <f>333</f>
        <v>333</v>
      </c>
      <c r="G163" s="3">
        <f>356</f>
        <v>356</v>
      </c>
      <c r="H163" s="3">
        <f t="shared" ref="H163" si="59">-(SUM(H161:H162)+H81)</f>
        <v>11</v>
      </c>
      <c r="I163" s="3">
        <f>-(SUM(I161:I162)+I81)</f>
        <v>50</v>
      </c>
    </row>
    <row r="164" spans="1:9" ht="16" thickBot="1" x14ac:dyDescent="0.25">
      <c r="A164" s="6" t="s">
        <v>123</v>
      </c>
      <c r="B164" s="7">
        <f t="shared" ref="B164:G164" si="60">+SUM(B161:B163)</f>
        <v>901</v>
      </c>
      <c r="C164" s="7">
        <f t="shared" si="60"/>
        <v>1191</v>
      </c>
      <c r="D164" s="7">
        <f t="shared" si="60"/>
        <v>1201</v>
      </c>
      <c r="E164" s="7">
        <f t="shared" si="60"/>
        <v>1194</v>
      </c>
      <c r="F164" s="7">
        <f t="shared" si="60"/>
        <v>1075</v>
      </c>
      <c r="G164" s="7">
        <f t="shared" si="60"/>
        <v>1124</v>
      </c>
      <c r="H164" s="7">
        <f t="shared" ref="H164" si="61">+SUM(H161:H163)</f>
        <v>695</v>
      </c>
      <c r="I164" s="7">
        <f>+SUM(I161:I163)</f>
        <v>758</v>
      </c>
    </row>
    <row r="165" spans="1:9" ht="16" thickTop="1" x14ac:dyDescent="0.2">
      <c r="A165" s="12" t="s">
        <v>111</v>
      </c>
      <c r="B165" s="13"/>
      <c r="C165" s="13"/>
      <c r="D165" s="13"/>
      <c r="E165" s="13"/>
      <c r="F165" s="13"/>
      <c r="G165" s="13"/>
      <c r="H165" s="13">
        <f t="shared" ref="H165" si="62">+H164+H81</f>
        <v>0</v>
      </c>
      <c r="I165" s="13">
        <f>+I164+I81</f>
        <v>0</v>
      </c>
    </row>
    <row r="166" spans="1:9" x14ac:dyDescent="0.2">
      <c r="A166" s="1" t="s">
        <v>124</v>
      </c>
    </row>
    <row r="167" spans="1:9" x14ac:dyDescent="0.2">
      <c r="A167" s="2" t="s">
        <v>100</v>
      </c>
      <c r="B167" s="3">
        <f>121</f>
        <v>121</v>
      </c>
      <c r="C167" s="3">
        <f>133</f>
        <v>133</v>
      </c>
      <c r="D167" s="3">
        <f>140</f>
        <v>140</v>
      </c>
      <c r="E167" s="3">
        <f>160</f>
        <v>160</v>
      </c>
      <c r="F167" s="3">
        <f>149</f>
        <v>149</v>
      </c>
      <c r="G167" s="3">
        <f>148</f>
        <v>148</v>
      </c>
      <c r="H167" s="3">
        <v>130</v>
      </c>
      <c r="I167" s="3">
        <v>124</v>
      </c>
    </row>
    <row r="168" spans="1:9" x14ac:dyDescent="0.2">
      <c r="A168" s="2" t="s">
        <v>101</v>
      </c>
      <c r="B168" s="3">
        <f>75</f>
        <v>75</v>
      </c>
      <c r="C168" s="3">
        <f>72</f>
        <v>72</v>
      </c>
      <c r="D168" s="3">
        <f>91</f>
        <v>91</v>
      </c>
      <c r="E168" s="3">
        <f>116</f>
        <v>116</v>
      </c>
      <c r="F168" s="3">
        <f>111</f>
        <v>111</v>
      </c>
      <c r="G168" s="3">
        <f>132</f>
        <v>132</v>
      </c>
      <c r="H168" s="3">
        <v>136</v>
      </c>
      <c r="I168" s="3">
        <v>134</v>
      </c>
    </row>
    <row r="169" spans="1:9" x14ac:dyDescent="0.2">
      <c r="A169" s="2" t="s">
        <v>102</v>
      </c>
      <c r="B169" s="3">
        <f>12</f>
        <v>12</v>
      </c>
      <c r="C169" s="3">
        <f>12</f>
        <v>12</v>
      </c>
      <c r="D169" s="3">
        <f>13</f>
        <v>13</v>
      </c>
      <c r="E169" s="3">
        <f>56</f>
        <v>56</v>
      </c>
      <c r="F169" s="3">
        <f>50</f>
        <v>50</v>
      </c>
      <c r="G169" s="3">
        <f>44</f>
        <v>44</v>
      </c>
      <c r="H169" s="3">
        <v>46</v>
      </c>
      <c r="I169" s="3">
        <v>41</v>
      </c>
    </row>
    <row r="170" spans="1:9" x14ac:dyDescent="0.2">
      <c r="A170" s="2" t="s">
        <v>106</v>
      </c>
      <c r="B170" s="3">
        <f>46</f>
        <v>46</v>
      </c>
      <c r="C170" s="3">
        <f>48+18+25</f>
        <v>91</v>
      </c>
      <c r="D170" s="3">
        <f>54</f>
        <v>54</v>
      </c>
      <c r="E170" s="3">
        <f>55</f>
        <v>55</v>
      </c>
      <c r="F170" s="3">
        <f>53</f>
        <v>53</v>
      </c>
      <c r="G170" s="3">
        <f>46</f>
        <v>46</v>
      </c>
      <c r="H170" s="3">
        <v>43</v>
      </c>
      <c r="I170" s="3">
        <v>42</v>
      </c>
    </row>
    <row r="171" spans="1:9" x14ac:dyDescent="0.2">
      <c r="A171" s="2" t="s">
        <v>107</v>
      </c>
      <c r="B171" s="3">
        <f>22+27+210</f>
        <v>259</v>
      </c>
      <c r="C171" s="3">
        <f>230</f>
        <v>230</v>
      </c>
      <c r="D171" s="3">
        <f>18+38+233</f>
        <v>289</v>
      </c>
      <c r="E171" s="3">
        <f>217</f>
        <v>217</v>
      </c>
      <c r="F171" s="3">
        <f>195</f>
        <v>195</v>
      </c>
      <c r="G171" s="3">
        <f>214</f>
        <v>214</v>
      </c>
      <c r="H171" s="3">
        <v>222</v>
      </c>
      <c r="I171" s="3">
        <v>220</v>
      </c>
    </row>
    <row r="172" spans="1:9" x14ac:dyDescent="0.2">
      <c r="A172" s="4" t="s">
        <v>119</v>
      </c>
      <c r="B172" s="5">
        <f t="shared" ref="B172:G172" si="63">+SUM(B167:B171)</f>
        <v>513</v>
      </c>
      <c r="C172" s="5">
        <f t="shared" si="63"/>
        <v>538</v>
      </c>
      <c r="D172" s="5">
        <f t="shared" si="63"/>
        <v>587</v>
      </c>
      <c r="E172" s="5">
        <f t="shared" si="63"/>
        <v>604</v>
      </c>
      <c r="F172" s="5">
        <f t="shared" si="63"/>
        <v>558</v>
      </c>
      <c r="G172" s="5">
        <f t="shared" si="63"/>
        <v>584</v>
      </c>
      <c r="H172" s="5">
        <f t="shared" ref="H172:I172" si="64">+SUM(H167:H171)</f>
        <v>577</v>
      </c>
      <c r="I172" s="5">
        <f t="shared" si="64"/>
        <v>561</v>
      </c>
    </row>
    <row r="173" spans="1:9" x14ac:dyDescent="0.2">
      <c r="A173" s="2" t="s">
        <v>104</v>
      </c>
      <c r="B173" s="3">
        <f>18</f>
        <v>18</v>
      </c>
      <c r="C173" s="3">
        <f>27</f>
        <v>27</v>
      </c>
      <c r="D173" s="3">
        <f>28</f>
        <v>28</v>
      </c>
      <c r="E173" s="3">
        <f>33</f>
        <v>33</v>
      </c>
      <c r="F173" s="3">
        <f>31</f>
        <v>31</v>
      </c>
      <c r="G173" s="3">
        <f>25</f>
        <v>25</v>
      </c>
      <c r="H173" s="3">
        <v>26</v>
      </c>
      <c r="I173" s="3">
        <v>22</v>
      </c>
    </row>
    <row r="174" spans="1:9" x14ac:dyDescent="0.2">
      <c r="A174" s="2" t="s">
        <v>108</v>
      </c>
      <c r="B174" s="3">
        <f>75</f>
        <v>75</v>
      </c>
      <c r="C174" s="3">
        <f>84</f>
        <v>84</v>
      </c>
      <c r="D174" s="3">
        <f>91</f>
        <v>91</v>
      </c>
      <c r="E174" s="3">
        <f>110</f>
        <v>110</v>
      </c>
      <c r="F174" s="3">
        <f>116</f>
        <v>116</v>
      </c>
      <c r="G174" s="3">
        <f>112</f>
        <v>112</v>
      </c>
      <c r="H174" s="3">
        <v>141</v>
      </c>
      <c r="I174" s="3">
        <v>134</v>
      </c>
    </row>
    <row r="175" spans="1:9" ht="16" thickBot="1" x14ac:dyDescent="0.25">
      <c r="A175" s="6" t="s">
        <v>125</v>
      </c>
      <c r="B175" s="7">
        <f t="shared" ref="B175:G175" si="65">+SUM(B172:B174)</f>
        <v>606</v>
      </c>
      <c r="C175" s="7">
        <f t="shared" si="65"/>
        <v>649</v>
      </c>
      <c r="D175" s="7">
        <f t="shared" si="65"/>
        <v>706</v>
      </c>
      <c r="E175" s="7">
        <f t="shared" si="65"/>
        <v>747</v>
      </c>
      <c r="F175" s="7">
        <f t="shared" si="65"/>
        <v>705</v>
      </c>
      <c r="G175" s="7">
        <f t="shared" si="65"/>
        <v>721</v>
      </c>
      <c r="H175" s="7">
        <f t="shared" ref="H175" si="66">+SUM(H172:H174)</f>
        <v>744</v>
      </c>
      <c r="I175" s="7">
        <f>+SUM(I172:I174)</f>
        <v>717</v>
      </c>
    </row>
    <row r="176" spans="1:9" ht="16" thickTop="1" x14ac:dyDescent="0.2">
      <c r="A176" s="12" t="s">
        <v>111</v>
      </c>
      <c r="B176" s="13"/>
      <c r="C176" s="13"/>
      <c r="D176" s="13"/>
      <c r="E176" s="13"/>
      <c r="F176" s="13"/>
      <c r="G176" s="13"/>
      <c r="H176" s="13">
        <f t="shared" ref="H176" si="67">+H175-H66</f>
        <v>0</v>
      </c>
      <c r="I176" s="13">
        <f>+I175-I66</f>
        <v>0</v>
      </c>
    </row>
    <row r="177" spans="1:9" x14ac:dyDescent="0.2">
      <c r="A177" s="14" t="s">
        <v>126</v>
      </c>
      <c r="B177" s="14"/>
      <c r="C177" s="14"/>
      <c r="D177" s="14"/>
      <c r="E177" s="14"/>
      <c r="F177" s="14"/>
      <c r="G177" s="14"/>
      <c r="H177" s="14"/>
      <c r="I177" s="14"/>
    </row>
    <row r="178" spans="1:9" x14ac:dyDescent="0.2">
      <c r="A178" s="28" t="s">
        <v>127</v>
      </c>
    </row>
    <row r="179" spans="1:9" x14ac:dyDescent="0.2">
      <c r="A179" s="33" t="s">
        <v>100</v>
      </c>
      <c r="B179" s="34" t="e">
        <f>B107/K107-1</f>
        <v>#DIV/0!</v>
      </c>
      <c r="C179" s="34">
        <f t="shared" ref="C179:H194" si="68">C107/B107-1</f>
        <v>7.4526928675400228E-2</v>
      </c>
      <c r="D179" s="34">
        <f t="shared" si="68"/>
        <v>3.0615009482525046E-2</v>
      </c>
      <c r="E179" s="34">
        <f t="shared" si="68"/>
        <v>-2.372502628811779E-2</v>
      </c>
      <c r="F179" s="34">
        <f t="shared" si="68"/>
        <v>7.0481319421070276E-2</v>
      </c>
      <c r="G179" s="34">
        <f t="shared" si="68"/>
        <v>-8.9171173437303519E-2</v>
      </c>
      <c r="H179" s="34">
        <f t="shared" si="68"/>
        <v>0.18606738470035911</v>
      </c>
      <c r="I179" s="34">
        <v>7.0000000000000007E-2</v>
      </c>
    </row>
    <row r="180" spans="1:9" x14ac:dyDescent="0.2">
      <c r="A180" s="31" t="s">
        <v>113</v>
      </c>
      <c r="B180" s="64" t="e">
        <f t="shared" ref="B180:B200" si="69">B108/K108-1</f>
        <v>#DIV/0!</v>
      </c>
      <c r="C180" s="30">
        <f t="shared" si="68"/>
        <v>9.3228309428638578E-2</v>
      </c>
      <c r="D180" s="30">
        <f t="shared" si="68"/>
        <v>4.1402301322722934E-2</v>
      </c>
      <c r="E180" s="30">
        <f t="shared" si="68"/>
        <v>-3.7381247418422192E-2</v>
      </c>
      <c r="F180" s="30">
        <f t="shared" si="68"/>
        <v>7.755846384895948E-2</v>
      </c>
      <c r="G180" s="30">
        <f t="shared" si="68"/>
        <v>-7.1279243404678949E-2</v>
      </c>
      <c r="H180" s="30">
        <f t="shared" si="68"/>
        <v>0.24815092721620746</v>
      </c>
      <c r="I180" s="30">
        <v>0.05</v>
      </c>
    </row>
    <row r="181" spans="1:9" x14ac:dyDescent="0.2">
      <c r="A181" s="31" t="s">
        <v>114</v>
      </c>
      <c r="B181" s="64" t="e">
        <f t="shared" si="69"/>
        <v>#DIV/0!</v>
      </c>
      <c r="C181" s="30">
        <f t="shared" si="68"/>
        <v>7.6190476190476142E-2</v>
      </c>
      <c r="D181" s="30">
        <f t="shared" si="68"/>
        <v>2.9498525073746285E-2</v>
      </c>
      <c r="E181" s="30">
        <f t="shared" si="68"/>
        <v>1.0642652476463343E-2</v>
      </c>
      <c r="F181" s="30">
        <f t="shared" si="68"/>
        <v>6.5208586472256025E-2</v>
      </c>
      <c r="G181" s="30">
        <f t="shared" si="68"/>
        <v>-0.11806083650190113</v>
      </c>
      <c r="H181" s="30">
        <f t="shared" si="68"/>
        <v>8.3854278939426541E-2</v>
      </c>
      <c r="I181" s="30">
        <v>0.09</v>
      </c>
    </row>
    <row r="182" spans="1:9" x14ac:dyDescent="0.2">
      <c r="A182" s="31" t="s">
        <v>115</v>
      </c>
      <c r="B182" s="64" t="e">
        <f t="shared" si="69"/>
        <v>#DIV/0!</v>
      </c>
      <c r="C182" s="30">
        <f t="shared" si="68"/>
        <v>-0.12742718446601942</v>
      </c>
      <c r="D182" s="30">
        <f t="shared" si="68"/>
        <v>-0.10152990264255912</v>
      </c>
      <c r="E182" s="30">
        <f t="shared" si="68"/>
        <v>-7.8947368421052655E-2</v>
      </c>
      <c r="F182" s="30">
        <f t="shared" si="68"/>
        <v>3.3613445378151141E-3</v>
      </c>
      <c r="G182" s="30">
        <f t="shared" si="68"/>
        <v>-0.13567839195979903</v>
      </c>
      <c r="H182" s="30">
        <f t="shared" si="68"/>
        <v>-1.744186046511631E-2</v>
      </c>
      <c r="I182" s="30">
        <v>0.25</v>
      </c>
    </row>
    <row r="183" spans="1:9" x14ac:dyDescent="0.2">
      <c r="A183" s="33" t="s">
        <v>101</v>
      </c>
      <c r="B183" s="34" t="e">
        <f t="shared" si="69"/>
        <v>#DIV/0!</v>
      </c>
      <c r="C183" s="34">
        <f t="shared" si="68"/>
        <v>6.2026382262138746E-2</v>
      </c>
      <c r="D183" s="34">
        <f t="shared" si="68"/>
        <v>5.3118393234672379E-2</v>
      </c>
      <c r="E183" s="34">
        <f t="shared" si="68"/>
        <v>0.15959849435382689</v>
      </c>
      <c r="F183" s="34">
        <f t="shared" si="68"/>
        <v>6.1674962129409261E-2</v>
      </c>
      <c r="G183" s="34">
        <f t="shared" si="68"/>
        <v>-4.7390949857317621E-2</v>
      </c>
      <c r="H183" s="34">
        <f t="shared" si="68"/>
        <v>0.22563389322777372</v>
      </c>
      <c r="I183" s="34">
        <v>0.12</v>
      </c>
    </row>
    <row r="184" spans="1:9" x14ac:dyDescent="0.2">
      <c r="A184" s="31" t="s">
        <v>113</v>
      </c>
      <c r="B184" s="65" t="e">
        <f t="shared" si="69"/>
        <v>#DIV/0!</v>
      </c>
      <c r="C184" s="30">
        <f t="shared" si="68"/>
        <v>7.2294280246651077E-2</v>
      </c>
      <c r="D184" s="30">
        <f>D112/C112-1</f>
        <v>2.9545905215149659E-2</v>
      </c>
      <c r="E184" s="30">
        <f>E112/D112-1</f>
        <v>0.1315485362095532</v>
      </c>
      <c r="F184" s="30">
        <f>F112/E112-1</f>
        <v>7.1148936170212673E-2</v>
      </c>
      <c r="G184" s="30">
        <f>G112/F112-1</f>
        <v>-6.3721595423486432E-2</v>
      </c>
      <c r="H184" s="30">
        <f>H112/G112-1</f>
        <v>0.18295994568907004</v>
      </c>
      <c r="I184" s="30">
        <v>0.09</v>
      </c>
    </row>
    <row r="185" spans="1:9" x14ac:dyDescent="0.2">
      <c r="A185" s="31" t="s">
        <v>114</v>
      </c>
      <c r="B185" s="65" t="e">
        <f t="shared" si="69"/>
        <v>#DIV/0!</v>
      </c>
      <c r="C185" s="30">
        <f t="shared" si="68"/>
        <v>4.7781569965870352E-2</v>
      </c>
      <c r="D185" s="30">
        <f t="shared" si="68"/>
        <v>0.11447184737087013</v>
      </c>
      <c r="E185" s="30">
        <f t="shared" si="68"/>
        <v>0.22755741127348639</v>
      </c>
      <c r="F185" s="30">
        <f t="shared" si="68"/>
        <v>5.0000000000000044E-2</v>
      </c>
      <c r="G185" s="30">
        <f t="shared" si="68"/>
        <v>-1.1013929381276322E-2</v>
      </c>
      <c r="H185" s="30">
        <f t="shared" si="68"/>
        <v>0.30887651490337364</v>
      </c>
      <c r="I185" s="30">
        <v>0.16</v>
      </c>
    </row>
    <row r="186" spans="1:9" x14ac:dyDescent="0.2">
      <c r="A186" s="31" t="s">
        <v>115</v>
      </c>
      <c r="B186" s="65" t="e">
        <f t="shared" si="69"/>
        <v>#DIV/0!</v>
      </c>
      <c r="C186" s="30">
        <f t="shared" si="68"/>
        <v>1.0752688172043001E-2</v>
      </c>
      <c r="D186" s="30">
        <f t="shared" si="68"/>
        <v>1.8617021276595702E-2</v>
      </c>
      <c r="E186" s="30">
        <f t="shared" si="68"/>
        <v>0.11488250652741505</v>
      </c>
      <c r="F186" s="30">
        <f t="shared" si="68"/>
        <v>1.1709601873536313E-2</v>
      </c>
      <c r="G186" s="30">
        <f t="shared" si="68"/>
        <v>-6.944444444444442E-2</v>
      </c>
      <c r="H186" s="30">
        <f t="shared" si="68"/>
        <v>0.21890547263681581</v>
      </c>
      <c r="I186" s="30">
        <v>0.17</v>
      </c>
    </row>
    <row r="187" spans="1:9" x14ac:dyDescent="0.2">
      <c r="A187" s="33" t="s">
        <v>102</v>
      </c>
      <c r="B187" s="34" t="e">
        <f t="shared" si="69"/>
        <v>#DIV/0!</v>
      </c>
      <c r="C187" s="34">
        <f t="shared" si="68"/>
        <v>0.23410498858819695</v>
      </c>
      <c r="D187" s="34">
        <f t="shared" si="68"/>
        <v>0.11941875825627468</v>
      </c>
      <c r="E187" s="34">
        <f t="shared" si="68"/>
        <v>0.21170639603493036</v>
      </c>
      <c r="F187" s="34">
        <f t="shared" si="68"/>
        <v>0.20919361121932223</v>
      </c>
      <c r="G187" s="34">
        <f t="shared" si="68"/>
        <v>7.5869845360824639E-2</v>
      </c>
      <c r="H187" s="34">
        <f t="shared" si="68"/>
        <v>0.24120377301991325</v>
      </c>
      <c r="I187" s="34">
        <v>-0.13</v>
      </c>
    </row>
    <row r="188" spans="1:9" x14ac:dyDescent="0.2">
      <c r="A188" s="31" t="s">
        <v>113</v>
      </c>
      <c r="B188" s="65" t="e">
        <f t="shared" si="69"/>
        <v>#DIV/0!</v>
      </c>
      <c r="C188" s="30">
        <f t="shared" si="68"/>
        <v>0.28918650793650791</v>
      </c>
      <c r="D188" s="30">
        <f t="shared" si="68"/>
        <v>0.12350904193920731</v>
      </c>
      <c r="E188" s="30">
        <f t="shared" si="68"/>
        <v>0.19726027397260282</v>
      </c>
      <c r="F188" s="30">
        <f t="shared" si="68"/>
        <v>0.21910755148741412</v>
      </c>
      <c r="G188" s="30">
        <f t="shared" si="68"/>
        <v>8.7517597372125833E-2</v>
      </c>
      <c r="H188" s="30">
        <f t="shared" si="68"/>
        <v>0.24012944983818763</v>
      </c>
      <c r="I188" s="30">
        <v>-0.1</v>
      </c>
    </row>
    <row r="189" spans="1:9" x14ac:dyDescent="0.2">
      <c r="A189" s="31" t="s">
        <v>114</v>
      </c>
      <c r="B189" s="65" t="e">
        <f t="shared" si="69"/>
        <v>#DIV/0!</v>
      </c>
      <c r="C189" s="30">
        <f t="shared" si="68"/>
        <v>0.14054054054054044</v>
      </c>
      <c r="D189" s="30">
        <f t="shared" si="68"/>
        <v>0.12606635071090055</v>
      </c>
      <c r="E189" s="30">
        <f t="shared" si="68"/>
        <v>0.26936026936026947</v>
      </c>
      <c r="F189" s="30">
        <f t="shared" si="68"/>
        <v>0.19893899204244025</v>
      </c>
      <c r="G189" s="30">
        <f t="shared" si="68"/>
        <v>4.8672566371681381E-2</v>
      </c>
      <c r="H189" s="30">
        <f t="shared" si="68"/>
        <v>0.2378691983122363</v>
      </c>
      <c r="I189" s="30">
        <v>-0.21</v>
      </c>
    </row>
    <row r="190" spans="1:9" x14ac:dyDescent="0.2">
      <c r="A190" s="31" t="s">
        <v>115</v>
      </c>
      <c r="B190" s="65" t="e">
        <f t="shared" si="69"/>
        <v>#DIV/0!</v>
      </c>
      <c r="C190" s="30">
        <f t="shared" si="68"/>
        <v>3.9682539682539764E-2</v>
      </c>
      <c r="D190" s="30">
        <f t="shared" si="68"/>
        <v>-1.5267175572519109E-2</v>
      </c>
      <c r="E190" s="30">
        <f t="shared" si="68"/>
        <v>7.7519379844961378E-3</v>
      </c>
      <c r="F190" s="30">
        <f t="shared" si="68"/>
        <v>6.1538461538461542E-2</v>
      </c>
      <c r="G190" s="30">
        <f t="shared" si="68"/>
        <v>7.2463768115942129E-2</v>
      </c>
      <c r="H190" s="30">
        <f t="shared" si="68"/>
        <v>0.31756756756756754</v>
      </c>
      <c r="I190" s="30">
        <v>-0.06</v>
      </c>
    </row>
    <row r="191" spans="1:9" x14ac:dyDescent="0.2">
      <c r="A191" s="33" t="s">
        <v>106</v>
      </c>
      <c r="B191" s="34" t="e">
        <f t="shared" si="69"/>
        <v>#DIV/0!</v>
      </c>
      <c r="C191" s="34">
        <f t="shared" si="68"/>
        <v>-7.2211476466795599E-2</v>
      </c>
      <c r="D191" s="34">
        <f t="shared" si="68"/>
        <v>9.7289784572619942E-2</v>
      </c>
      <c r="E191" s="34">
        <f t="shared" si="68"/>
        <v>9.0563647878403986E-2</v>
      </c>
      <c r="F191" s="34">
        <f t="shared" si="68"/>
        <v>1.7034456058846237E-2</v>
      </c>
      <c r="G191" s="34">
        <f t="shared" si="68"/>
        <v>-4.3014845831747195E-2</v>
      </c>
      <c r="H191" s="34">
        <f t="shared" si="68"/>
        <v>6.2649164677804237E-2</v>
      </c>
      <c r="I191" s="34">
        <v>0.16</v>
      </c>
    </row>
    <row r="192" spans="1:9" x14ac:dyDescent="0.2">
      <c r="A192" s="31" t="s">
        <v>113</v>
      </c>
      <c r="B192" s="65" t="e">
        <f t="shared" si="69"/>
        <v>#DIV/0!</v>
      </c>
      <c r="C192" s="30">
        <f t="shared" si="68"/>
        <v>-5.269964435822827E-2</v>
      </c>
      <c r="D192" s="30">
        <f t="shared" si="68"/>
        <v>0.12116040955631391</v>
      </c>
      <c r="E192" s="30">
        <f t="shared" si="68"/>
        <v>8.8280060882800715E-2</v>
      </c>
      <c r="F192" s="30">
        <f t="shared" si="68"/>
        <v>1.3146853146853044E-2</v>
      </c>
      <c r="G192" s="30">
        <f t="shared" si="68"/>
        <v>-4.7763666482606326E-2</v>
      </c>
      <c r="H192" s="30">
        <f t="shared" si="68"/>
        <v>6.0887213685126174E-2</v>
      </c>
      <c r="I192" s="30">
        <v>0.17</v>
      </c>
    </row>
    <row r="193" spans="1:9" x14ac:dyDescent="0.2">
      <c r="A193" s="31" t="s">
        <v>114</v>
      </c>
      <c r="B193" s="65" t="e">
        <f t="shared" si="69"/>
        <v>#DIV/0!</v>
      </c>
      <c r="C193" s="30">
        <f t="shared" si="68"/>
        <v>-0.10640000000000005</v>
      </c>
      <c r="D193" s="30">
        <f t="shared" si="68"/>
        <v>6.0877350044762801E-2</v>
      </c>
      <c r="E193" s="30">
        <f t="shared" si="68"/>
        <v>0.13670886075949373</v>
      </c>
      <c r="F193" s="30">
        <f t="shared" si="68"/>
        <v>3.563474387527843E-2</v>
      </c>
      <c r="G193" s="30">
        <f t="shared" si="68"/>
        <v>-2.1505376344086002E-2</v>
      </c>
      <c r="H193" s="30">
        <f t="shared" si="68"/>
        <v>9.4505494505494614E-2</v>
      </c>
      <c r="I193" s="30">
        <v>0.12</v>
      </c>
    </row>
    <row r="194" spans="1:9" x14ac:dyDescent="0.2">
      <c r="A194" s="31" t="s">
        <v>115</v>
      </c>
      <c r="B194" s="65" t="e">
        <f t="shared" si="69"/>
        <v>#DIV/0!</v>
      </c>
      <c r="C194" s="30">
        <f t="shared" si="68"/>
        <v>-0.12903225806451613</v>
      </c>
      <c r="D194" s="30">
        <f t="shared" si="68"/>
        <v>-1.1111111111111072E-2</v>
      </c>
      <c r="E194" s="30">
        <f t="shared" si="68"/>
        <v>-8.6142322097378266E-2</v>
      </c>
      <c r="F194" s="30">
        <f t="shared" si="68"/>
        <v>-2.8688524590163911E-2</v>
      </c>
      <c r="G194" s="30">
        <f t="shared" si="68"/>
        <v>-9.7046413502109741E-2</v>
      </c>
      <c r="H194" s="30">
        <f t="shared" si="68"/>
        <v>-0.11214953271028039</v>
      </c>
      <c r="I194" s="30">
        <v>0.28000000000000003</v>
      </c>
    </row>
    <row r="195" spans="1:9" x14ac:dyDescent="0.2">
      <c r="A195" s="33" t="s">
        <v>107</v>
      </c>
      <c r="B195" s="34" t="e">
        <f t="shared" si="69"/>
        <v>#DIV/0!</v>
      </c>
      <c r="C195" s="34">
        <f t="shared" ref="C195:H197" si="70">C123/B123-1</f>
        <v>-0.36521739130434783</v>
      </c>
      <c r="D195" s="34">
        <f t="shared" si="70"/>
        <v>0</v>
      </c>
      <c r="E195" s="34">
        <f t="shared" si="70"/>
        <v>0.20547945205479445</v>
      </c>
      <c r="F195" s="34">
        <f t="shared" si="70"/>
        <v>-0.52272727272727271</v>
      </c>
      <c r="G195" s="34">
        <f t="shared" si="70"/>
        <v>-0.2857142857142857</v>
      </c>
      <c r="H195" s="34">
        <f t="shared" si="70"/>
        <v>-0.16666666666666663</v>
      </c>
      <c r="I195" s="34">
        <v>3.02</v>
      </c>
    </row>
    <row r="196" spans="1:9" x14ac:dyDescent="0.2">
      <c r="A196" s="35" t="s">
        <v>103</v>
      </c>
      <c r="B196" s="66" t="e">
        <f t="shared" si="69"/>
        <v>#DIV/0!</v>
      </c>
      <c r="C196" s="37">
        <f t="shared" si="70"/>
        <v>6.2924636772237807E-2</v>
      </c>
      <c r="D196" s="37">
        <f t="shared" si="70"/>
        <v>5.6577179008096445E-2</v>
      </c>
      <c r="E196" s="37">
        <f t="shared" si="70"/>
        <v>6.9866286104303121E-2</v>
      </c>
      <c r="F196" s="37">
        <f t="shared" si="70"/>
        <v>7.9251848629839028E-2</v>
      </c>
      <c r="G196" s="37">
        <f t="shared" si="70"/>
        <v>-4.4333387070772168E-2</v>
      </c>
      <c r="H196" s="37">
        <f t="shared" si="70"/>
        <v>0.18907444894286995</v>
      </c>
      <c r="I196" s="37">
        <v>0.06</v>
      </c>
    </row>
    <row r="197" spans="1:9" x14ac:dyDescent="0.2">
      <c r="A197" s="33" t="s">
        <v>104</v>
      </c>
      <c r="B197" s="66" t="e">
        <f t="shared" si="69"/>
        <v>#DIV/0!</v>
      </c>
      <c r="C197" s="34">
        <f t="shared" si="70"/>
        <v>-1.3622603430877955E-2</v>
      </c>
      <c r="D197" s="34">
        <f t="shared" si="70"/>
        <v>4.4501278772378416E-2</v>
      </c>
      <c r="E197" s="34">
        <f t="shared" si="70"/>
        <v>-7.6395690499510338E-2</v>
      </c>
      <c r="F197" s="34">
        <f t="shared" si="70"/>
        <v>1.0604453870625585E-2</v>
      </c>
      <c r="G197" s="34">
        <f t="shared" si="70"/>
        <v>-3.147953830010497E-2</v>
      </c>
      <c r="H197" s="34">
        <f t="shared" si="70"/>
        <v>0.19447453954496208</v>
      </c>
      <c r="I197" s="34">
        <v>7.0000000000000007E-2</v>
      </c>
    </row>
    <row r="198" spans="1:9" x14ac:dyDescent="0.2">
      <c r="A198" s="31" t="s">
        <v>113</v>
      </c>
      <c r="B198" s="66" t="e">
        <f t="shared" si="69"/>
        <v>#DIV/0!</v>
      </c>
      <c r="C198" s="67"/>
      <c r="D198" s="67"/>
      <c r="E198" s="67"/>
      <c r="F198" s="67"/>
      <c r="G198" s="67"/>
      <c r="H198" s="67"/>
      <c r="I198" s="30">
        <v>0.06</v>
      </c>
    </row>
    <row r="199" spans="1:9" x14ac:dyDescent="0.2">
      <c r="A199" s="31" t="s">
        <v>114</v>
      </c>
      <c r="B199" s="66" t="e">
        <f t="shared" si="69"/>
        <v>#DIV/0!</v>
      </c>
      <c r="C199" s="67"/>
      <c r="D199" s="67"/>
      <c r="E199" s="67"/>
      <c r="F199" s="67"/>
      <c r="G199" s="67"/>
      <c r="H199" s="67"/>
      <c r="I199" s="30">
        <v>-0.03</v>
      </c>
    </row>
    <row r="200" spans="1:9" x14ac:dyDescent="0.2">
      <c r="A200" s="31" t="s">
        <v>115</v>
      </c>
      <c r="B200" s="66" t="e">
        <f t="shared" si="69"/>
        <v>#DIV/0!</v>
      </c>
      <c r="C200" s="67"/>
      <c r="D200" s="67"/>
      <c r="E200" s="67"/>
      <c r="F200" s="67"/>
      <c r="G200" s="67"/>
      <c r="H200" s="67"/>
      <c r="I200" s="30">
        <v>-0.16</v>
      </c>
    </row>
    <row r="201" spans="1:9" x14ac:dyDescent="0.2">
      <c r="A201" s="31" t="s">
        <v>121</v>
      </c>
      <c r="B201" s="68"/>
      <c r="C201" s="67"/>
      <c r="D201" s="67"/>
      <c r="E201" s="67"/>
      <c r="F201" s="67"/>
      <c r="G201" s="67"/>
      <c r="H201" s="67"/>
      <c r="I201" s="30">
        <v>0.42</v>
      </c>
    </row>
    <row r="202" spans="1:9" x14ac:dyDescent="0.2">
      <c r="A202" s="29" t="s">
        <v>108</v>
      </c>
      <c r="B202" s="67"/>
      <c r="C202" s="30">
        <f>C130/B130-1</f>
        <v>4.8780487804878092E-2</v>
      </c>
      <c r="D202" s="30">
        <f t="shared" ref="D202:H202" si="71">D130/C130-1</f>
        <v>-1.8720930232558139</v>
      </c>
      <c r="E202" s="30">
        <f t="shared" si="71"/>
        <v>-0.65333333333333332</v>
      </c>
      <c r="F202" s="30">
        <f t="shared" si="71"/>
        <v>-1.2692307692307692</v>
      </c>
      <c r="G202" s="30">
        <f t="shared" si="71"/>
        <v>0.5714285714285714</v>
      </c>
      <c r="H202" s="30">
        <f t="shared" si="71"/>
        <v>-4.6363636363636367</v>
      </c>
      <c r="I202" s="30">
        <v>0</v>
      </c>
    </row>
    <row r="203" spans="1:9" ht="16" thickBot="1" x14ac:dyDescent="0.25">
      <c r="A203" s="32" t="s">
        <v>105</v>
      </c>
      <c r="B203" s="36"/>
      <c r="C203" s="36"/>
      <c r="D203" s="36"/>
      <c r="E203" s="36"/>
      <c r="F203" s="36"/>
      <c r="G203" s="36"/>
      <c r="H203" s="36"/>
      <c r="I203" s="36">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9"/>
  <sheetViews>
    <sheetView tabSelected="1" workbookViewId="0">
      <selection activeCell="S33" sqref="S33"/>
    </sheetView>
  </sheetViews>
  <sheetFormatPr baseColWidth="10" defaultColWidth="8.83203125" defaultRowHeight="15" x14ac:dyDescent="0.2"/>
  <cols>
    <col min="1" max="1" width="48.83203125" customWidth="1"/>
    <col min="2" max="14" width="11.83203125" customWidth="1"/>
  </cols>
  <sheetData>
    <row r="1" spans="1:31"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31" x14ac:dyDescent="0.2">
      <c r="A2" s="39" t="s">
        <v>128</v>
      </c>
      <c r="B2" s="39"/>
      <c r="C2" s="39"/>
      <c r="D2" s="39"/>
      <c r="E2" s="39"/>
      <c r="F2" s="39"/>
      <c r="G2" s="39"/>
      <c r="H2" s="39"/>
      <c r="I2" s="39"/>
      <c r="J2" s="38"/>
      <c r="K2" s="38"/>
      <c r="L2" s="38"/>
      <c r="M2" s="38"/>
      <c r="N2" s="38"/>
      <c r="O2" s="78" t="s">
        <v>211</v>
      </c>
      <c r="P2" s="79"/>
      <c r="Q2" s="79"/>
      <c r="R2" s="79"/>
      <c r="S2" s="79"/>
      <c r="T2" s="79"/>
      <c r="U2" s="79"/>
      <c r="V2" s="79"/>
      <c r="W2" s="79"/>
      <c r="X2" s="79"/>
      <c r="Y2" s="79"/>
      <c r="Z2" s="79"/>
      <c r="AA2" s="79"/>
      <c r="AB2" s="79"/>
      <c r="AC2" s="79"/>
      <c r="AD2" s="79"/>
      <c r="AE2" s="79"/>
    </row>
    <row r="3" spans="1:31" x14ac:dyDescent="0.2">
      <c r="A3" s="40" t="s">
        <v>139</v>
      </c>
      <c r="B3" s="3">
        <v>30601</v>
      </c>
      <c r="C3" s="3">
        <v>32376</v>
      </c>
      <c r="D3" s="3">
        <v>34350</v>
      </c>
      <c r="E3" s="3">
        <v>36397</v>
      </c>
      <c r="F3" s="3">
        <v>39117</v>
      </c>
      <c r="G3" s="3">
        <v>37403</v>
      </c>
      <c r="H3" s="3">
        <v>44538</v>
      </c>
      <c r="I3" s="3">
        <v>46710</v>
      </c>
      <c r="J3" s="9">
        <f>I3*(1+3.5%)</f>
        <v>48344.85</v>
      </c>
      <c r="K3" s="9">
        <f t="shared" ref="K3:N3" si="2">J3*(1+3.5%)</f>
        <v>50036.919749999994</v>
      </c>
      <c r="L3" s="9">
        <f t="shared" si="2"/>
        <v>51788.211941249989</v>
      </c>
      <c r="M3" s="9">
        <f t="shared" si="2"/>
        <v>53600.799359193734</v>
      </c>
      <c r="N3" s="9">
        <f t="shared" si="2"/>
        <v>55476.827336765513</v>
      </c>
      <c r="O3" s="79"/>
      <c r="P3" s="79"/>
      <c r="Q3" s="79"/>
      <c r="R3" s="79"/>
      <c r="S3" s="79"/>
      <c r="T3" s="79"/>
      <c r="U3" s="79"/>
      <c r="V3" s="79"/>
      <c r="W3" s="79"/>
      <c r="X3" s="79"/>
      <c r="Y3" s="79"/>
      <c r="Z3" s="79"/>
      <c r="AA3" s="79"/>
      <c r="AB3" s="79"/>
      <c r="AC3" s="79"/>
      <c r="AD3" s="79"/>
      <c r="AE3" s="79"/>
    </row>
    <row r="4" spans="1:31" x14ac:dyDescent="0.2">
      <c r="A4" s="41" t="s">
        <v>129</v>
      </c>
      <c r="B4" s="73">
        <f>B3/[1]Historicals!K125-1</f>
        <v>0.17191329656862742</v>
      </c>
      <c r="C4" s="74">
        <f>C3/B3-1</f>
        <v>5.8004640371229765E-2</v>
      </c>
      <c r="D4" s="74">
        <f t="shared" ref="D4:I4" si="3">D3/C3-1</f>
        <v>6.0971089696071123E-2</v>
      </c>
      <c r="E4" s="74">
        <f t="shared" si="3"/>
        <v>5.95924308588065E-2</v>
      </c>
      <c r="F4" s="74">
        <f t="shared" si="3"/>
        <v>7.4731433909388079E-2</v>
      </c>
      <c r="G4" s="74">
        <f t="shared" si="3"/>
        <v>-4.3817266150267153E-2</v>
      </c>
      <c r="H4" s="74">
        <f t="shared" si="3"/>
        <v>0.19076009945726269</v>
      </c>
      <c r="I4" s="74">
        <f t="shared" si="3"/>
        <v>4.8767344739323759E-2</v>
      </c>
      <c r="J4" s="46">
        <f>J3/I3-1</f>
        <v>3.499999999999992E-2</v>
      </c>
      <c r="K4" s="46">
        <f t="shared" ref="K4" si="4">K3/J3-1</f>
        <v>3.499999999999992E-2</v>
      </c>
      <c r="L4" s="46">
        <f t="shared" ref="L4" si="5">L3/K3-1</f>
        <v>3.499999999999992E-2</v>
      </c>
      <c r="M4" s="46">
        <f t="shared" ref="M4" si="6">M3/L3-1</f>
        <v>3.499999999999992E-2</v>
      </c>
      <c r="N4" s="46">
        <f t="shared" ref="N4" si="7">N3/M3-1</f>
        <v>3.499999999999992E-2</v>
      </c>
      <c r="O4" s="79"/>
      <c r="P4" s="79"/>
      <c r="Q4" s="79"/>
      <c r="R4" s="79"/>
      <c r="S4" s="79"/>
      <c r="T4" s="79"/>
      <c r="U4" s="79"/>
      <c r="V4" s="79"/>
      <c r="W4" s="79"/>
      <c r="X4" s="79"/>
      <c r="Y4" s="79"/>
      <c r="Z4" s="79"/>
      <c r="AA4" s="79"/>
      <c r="AB4" s="79"/>
      <c r="AC4" s="79"/>
      <c r="AD4" s="79"/>
      <c r="AE4" s="79"/>
    </row>
    <row r="5" spans="1:31" x14ac:dyDescent="0.2">
      <c r="A5" s="40" t="s">
        <v>130</v>
      </c>
      <c r="B5">
        <f>B11+B8</f>
        <v>5423</v>
      </c>
      <c r="C5">
        <f t="shared" ref="C5:I5" si="8">C11+C8</f>
        <v>5977</v>
      </c>
      <c r="D5">
        <f t="shared" si="8"/>
        <v>5898</v>
      </c>
      <c r="E5">
        <f t="shared" si="8"/>
        <v>6272</v>
      </c>
      <c r="F5">
        <f t="shared" si="8"/>
        <v>7062</v>
      </c>
      <c r="G5">
        <f t="shared" si="8"/>
        <v>5367</v>
      </c>
      <c r="H5">
        <f t="shared" si="8"/>
        <v>9385</v>
      </c>
      <c r="I5">
        <f t="shared" si="8"/>
        <v>9123</v>
      </c>
      <c r="J5" s="77">
        <f>I5*(1+3.5%)</f>
        <v>9442.3049999999985</v>
      </c>
      <c r="K5" s="77">
        <f t="shared" ref="K5:N5" si="9">J5*(1+3.5%)</f>
        <v>9772.7856749999974</v>
      </c>
      <c r="L5" s="77">
        <f t="shared" si="9"/>
        <v>10114.833173624997</v>
      </c>
      <c r="M5" s="77">
        <f t="shared" si="9"/>
        <v>10468.852334701871</v>
      </c>
      <c r="N5" s="77">
        <f t="shared" si="9"/>
        <v>10835.262166416436</v>
      </c>
      <c r="O5" s="79"/>
      <c r="P5" s="79"/>
      <c r="Q5" s="79"/>
      <c r="R5" s="79"/>
      <c r="S5" s="79"/>
      <c r="T5" s="79"/>
      <c r="U5" s="79"/>
      <c r="V5" s="79"/>
      <c r="W5" s="79"/>
      <c r="X5" s="79"/>
      <c r="Y5" s="79"/>
      <c r="Z5" s="79"/>
      <c r="AA5" s="79"/>
      <c r="AB5" s="79"/>
      <c r="AC5" s="79"/>
      <c r="AD5" s="79"/>
      <c r="AE5" s="79"/>
    </row>
    <row r="6" spans="1:31" x14ac:dyDescent="0.2">
      <c r="A6" s="41" t="s">
        <v>129</v>
      </c>
      <c r="B6" s="74">
        <f>B5/4266-1</f>
        <v>0.27121425222691053</v>
      </c>
      <c r="C6" s="74">
        <f>C5/B5-1</f>
        <v>0.10215747741102721</v>
      </c>
      <c r="D6" s="74">
        <f t="shared" ref="D6:I6" si="10">D5/C5-1</f>
        <v>-1.3217333110255969E-2</v>
      </c>
      <c r="E6" s="74">
        <f t="shared" si="10"/>
        <v>6.3411325873177438E-2</v>
      </c>
      <c r="F6" s="74">
        <f t="shared" si="10"/>
        <v>0.12595663265306123</v>
      </c>
      <c r="G6" s="74">
        <f t="shared" si="10"/>
        <v>-0.24001699235344098</v>
      </c>
      <c r="H6" s="74">
        <f t="shared" si="10"/>
        <v>0.74864915222656969</v>
      </c>
      <c r="I6" s="74">
        <f t="shared" si="10"/>
        <v>-2.7916888652104399E-2</v>
      </c>
      <c r="J6" s="46">
        <v>3.499999999999992E-2</v>
      </c>
      <c r="K6" s="46">
        <v>3.499999999999992E-2</v>
      </c>
      <c r="L6" s="46">
        <v>3.499999999999992E-2</v>
      </c>
      <c r="M6" s="46">
        <v>3.499999999999992E-2</v>
      </c>
      <c r="N6" s="46">
        <v>3.499999999999992E-2</v>
      </c>
      <c r="O6" s="79"/>
      <c r="P6" s="79"/>
      <c r="Q6" s="79"/>
      <c r="R6" s="79"/>
      <c r="S6" s="79"/>
      <c r="T6" s="79"/>
      <c r="U6" s="79"/>
      <c r="V6" s="79"/>
      <c r="W6" s="79"/>
      <c r="X6" s="79"/>
      <c r="Y6" s="79"/>
      <c r="Z6" s="79"/>
      <c r="AA6" s="79"/>
      <c r="AB6" s="79"/>
      <c r="AC6" s="79"/>
      <c r="AD6" s="79"/>
      <c r="AE6" s="79"/>
    </row>
    <row r="7" spans="1:31" x14ac:dyDescent="0.2">
      <c r="A7" s="41" t="s">
        <v>131</v>
      </c>
      <c r="B7" s="74">
        <f>B5/B3</f>
        <v>0.1772164308355936</v>
      </c>
      <c r="C7" s="74">
        <f t="shared" ref="C7:I7" si="11">C5/C3</f>
        <v>0.1846120583148011</v>
      </c>
      <c r="D7" s="74">
        <f t="shared" si="11"/>
        <v>0.17170305676855896</v>
      </c>
      <c r="E7" s="74">
        <f t="shared" si="11"/>
        <v>0.17232189466164793</v>
      </c>
      <c r="F7" s="74">
        <f t="shared" si="11"/>
        <v>0.18053531712554644</v>
      </c>
      <c r="G7" s="74">
        <f t="shared" si="11"/>
        <v>0.14349116381038954</v>
      </c>
      <c r="H7" s="74">
        <f t="shared" si="11"/>
        <v>0.21071893663837621</v>
      </c>
      <c r="I7" s="74">
        <f t="shared" si="11"/>
        <v>0.19531149646756582</v>
      </c>
      <c r="J7" s="46">
        <f>J5/J3</f>
        <v>0.19531149646756579</v>
      </c>
      <c r="K7" s="46">
        <f t="shared" ref="K7:N7" si="12">K5/K3</f>
        <v>0.19531149646756579</v>
      </c>
      <c r="L7" s="46">
        <f t="shared" si="12"/>
        <v>0.19531149646756582</v>
      </c>
      <c r="M7" s="46">
        <f t="shared" si="12"/>
        <v>0.19531149646756582</v>
      </c>
      <c r="N7" s="46">
        <f t="shared" si="12"/>
        <v>0.19531149646756582</v>
      </c>
      <c r="O7" s="79"/>
      <c r="P7" s="79"/>
      <c r="Q7" s="79"/>
      <c r="R7" s="79"/>
      <c r="S7" s="79"/>
      <c r="T7" s="79"/>
      <c r="U7" s="79"/>
      <c r="V7" s="79"/>
      <c r="W7" s="79"/>
      <c r="X7" s="79"/>
      <c r="Y7" s="79"/>
      <c r="Z7" s="79"/>
      <c r="AA7" s="79"/>
      <c r="AB7" s="79"/>
      <c r="AC7" s="79"/>
      <c r="AD7" s="79"/>
      <c r="AE7" s="79"/>
    </row>
    <row r="8" spans="1:31" x14ac:dyDescent="0.2">
      <c r="A8" s="40" t="s">
        <v>132</v>
      </c>
      <c r="B8">
        <v>606</v>
      </c>
      <c r="C8">
        <v>649</v>
      </c>
      <c r="D8">
        <v>706</v>
      </c>
      <c r="E8">
        <v>747</v>
      </c>
      <c r="F8">
        <v>705</v>
      </c>
      <c r="G8">
        <v>721</v>
      </c>
      <c r="H8">
        <v>744</v>
      </c>
      <c r="I8">
        <v>717</v>
      </c>
      <c r="J8" s="77">
        <f>I8*(1+2%)</f>
        <v>731.34</v>
      </c>
      <c r="K8" s="77">
        <f t="shared" ref="K8:N8" si="13">J8*(1+2%)</f>
        <v>745.96680000000003</v>
      </c>
      <c r="L8" s="77">
        <f t="shared" si="13"/>
        <v>760.88613600000008</v>
      </c>
      <c r="M8" s="77">
        <f t="shared" si="13"/>
        <v>776.10385872000006</v>
      </c>
      <c r="N8" s="77">
        <f t="shared" si="13"/>
        <v>791.62593589440007</v>
      </c>
      <c r="O8" s="79"/>
      <c r="P8" s="79"/>
      <c r="Q8" s="79"/>
      <c r="R8" s="79"/>
      <c r="S8" s="79"/>
      <c r="T8" s="79"/>
      <c r="U8" s="79"/>
      <c r="V8" s="79"/>
      <c r="W8" s="79"/>
      <c r="X8" s="79"/>
      <c r="Y8" s="79"/>
      <c r="Z8" s="79"/>
      <c r="AA8" s="79"/>
      <c r="AB8" s="79"/>
      <c r="AC8" s="79"/>
      <c r="AD8" s="79"/>
      <c r="AE8" s="79"/>
    </row>
    <row r="9" spans="1:31" x14ac:dyDescent="0.2">
      <c r="A9" s="41" t="s">
        <v>129</v>
      </c>
      <c r="B9" s="74">
        <f>B8/586-1</f>
        <v>3.4129692832764569E-2</v>
      </c>
      <c r="C9" s="74">
        <f>C8/B8-1</f>
        <v>7.0957095709570872E-2</v>
      </c>
      <c r="D9" s="74">
        <f t="shared" ref="D9:I9" si="14">D8/C8-1</f>
        <v>8.7827426810477727E-2</v>
      </c>
      <c r="E9" s="74">
        <f t="shared" si="14"/>
        <v>5.8073654390934815E-2</v>
      </c>
      <c r="F9" s="74">
        <f t="shared" si="14"/>
        <v>-5.6224899598393607E-2</v>
      </c>
      <c r="G9" s="74">
        <f t="shared" si="14"/>
        <v>2.2695035460992941E-2</v>
      </c>
      <c r="H9" s="74">
        <f t="shared" si="14"/>
        <v>3.1900138696255187E-2</v>
      </c>
      <c r="I9" s="74">
        <f t="shared" si="14"/>
        <v>-3.6290322580645129E-2</v>
      </c>
      <c r="J9" s="46">
        <v>2.0000000000000018E-2</v>
      </c>
      <c r="K9" s="46">
        <v>2.4999999999999911E-2</v>
      </c>
      <c r="L9" s="46">
        <v>2.4999999999999911E-2</v>
      </c>
      <c r="M9" s="46">
        <v>2.4999999999999911E-2</v>
      </c>
      <c r="N9" s="46">
        <v>2.4999999999999911E-2</v>
      </c>
      <c r="O9" s="79"/>
      <c r="P9" s="79"/>
      <c r="Q9" s="79"/>
      <c r="R9" s="79"/>
      <c r="S9" s="79"/>
      <c r="T9" s="79"/>
      <c r="U9" s="79"/>
      <c r="V9" s="79"/>
      <c r="W9" s="79"/>
      <c r="X9" s="79"/>
      <c r="Y9" s="79"/>
      <c r="Z9" s="79"/>
      <c r="AA9" s="79"/>
      <c r="AB9" s="79"/>
      <c r="AC9" s="79"/>
      <c r="AD9" s="79"/>
      <c r="AE9" s="79"/>
    </row>
    <row r="10" spans="1:31" x14ac:dyDescent="0.2">
      <c r="A10" s="41" t="s">
        <v>133</v>
      </c>
      <c r="B10" s="74">
        <f>B8/B3</f>
        <v>1.9803274402797295E-2</v>
      </c>
      <c r="C10" s="74">
        <f t="shared" ref="C10:I10" si="15">C8/C3</f>
        <v>2.0045712873733631E-2</v>
      </c>
      <c r="D10" s="74">
        <f t="shared" si="15"/>
        <v>2.0553129548762736E-2</v>
      </c>
      <c r="E10" s="74">
        <f t="shared" si="15"/>
        <v>2.0523669533203285E-2</v>
      </c>
      <c r="F10" s="74">
        <f t="shared" si="15"/>
        <v>1.8022854513382928E-2</v>
      </c>
      <c r="G10" s="74">
        <f t="shared" si="15"/>
        <v>1.9276528620698875E-2</v>
      </c>
      <c r="H10" s="74">
        <f t="shared" si="15"/>
        <v>1.6704836319547355E-2</v>
      </c>
      <c r="I10" s="74">
        <f t="shared" si="15"/>
        <v>1.5350032113037893E-2</v>
      </c>
      <c r="J10" s="46">
        <f>J8/J3</f>
        <v>1.5127567879515606E-2</v>
      </c>
      <c r="K10" s="46">
        <f t="shared" ref="K10:N10" si="16">K8/K3</f>
        <v>1.4908327765319728E-2</v>
      </c>
      <c r="L10" s="46">
        <f t="shared" si="16"/>
        <v>1.4692265044083214E-2</v>
      </c>
      <c r="M10" s="46">
        <f t="shared" si="16"/>
        <v>1.4479333666632734E-2</v>
      </c>
      <c r="N10" s="46">
        <f t="shared" si="16"/>
        <v>1.4269488251174288E-2</v>
      </c>
      <c r="O10" s="79"/>
      <c r="P10" s="79"/>
      <c r="Q10" s="79"/>
      <c r="R10" s="79"/>
      <c r="S10" s="79"/>
      <c r="T10" s="79"/>
      <c r="U10" s="79"/>
      <c r="V10" s="79"/>
      <c r="W10" s="79"/>
      <c r="X10" s="79"/>
      <c r="Y10" s="79"/>
      <c r="Z10" s="79"/>
      <c r="AA10" s="79"/>
      <c r="AB10" s="79"/>
      <c r="AC10" s="79"/>
      <c r="AD10" s="79"/>
      <c r="AE10" s="79"/>
    </row>
    <row r="11" spans="1:31" x14ac:dyDescent="0.2">
      <c r="A11" s="40" t="s">
        <v>134</v>
      </c>
      <c r="B11">
        <v>4817</v>
      </c>
      <c r="C11">
        <v>5328</v>
      </c>
      <c r="D11">
        <v>5192</v>
      </c>
      <c r="E11">
        <v>5525</v>
      </c>
      <c r="F11">
        <v>6357</v>
      </c>
      <c r="G11">
        <v>4646</v>
      </c>
      <c r="H11">
        <v>8641</v>
      </c>
      <c r="I11">
        <v>8406</v>
      </c>
      <c r="J11" s="77">
        <f>I11*(1+4%)</f>
        <v>8742.24</v>
      </c>
      <c r="K11" s="77">
        <f t="shared" ref="K11:N11" si="17">J11*(1+4%)</f>
        <v>9091.9295999999995</v>
      </c>
      <c r="L11" s="77">
        <f t="shared" si="17"/>
        <v>9455.6067839999996</v>
      </c>
      <c r="M11" s="77">
        <f t="shared" si="17"/>
        <v>9833.8310553600004</v>
      </c>
      <c r="N11" s="77">
        <f t="shared" si="17"/>
        <v>10227.1842975744</v>
      </c>
      <c r="O11" s="79"/>
      <c r="P11" s="79"/>
      <c r="Q11" s="79"/>
      <c r="R11" s="79"/>
      <c r="S11" s="79"/>
      <c r="T11" s="79"/>
      <c r="U11" s="79"/>
      <c r="V11" s="79"/>
      <c r="W11" s="79"/>
      <c r="X11" s="79"/>
      <c r="Y11" s="79"/>
      <c r="Z11" s="79"/>
      <c r="AA11" s="79"/>
      <c r="AB11" s="79"/>
      <c r="AC11" s="79"/>
      <c r="AD11" s="79"/>
      <c r="AE11" s="79"/>
    </row>
    <row r="12" spans="1:31" x14ac:dyDescent="0.2">
      <c r="A12" s="41" t="s">
        <v>129</v>
      </c>
      <c r="B12" s="75">
        <f>B11/3680-1</f>
        <v>0.3089673913043478</v>
      </c>
      <c r="C12" s="74">
        <f>C11/B11-1</f>
        <v>0.10608262403985891</v>
      </c>
      <c r="D12" s="74">
        <f t="shared" ref="D12:I12" si="18">D11/C11-1</f>
        <v>-2.5525525525525561E-2</v>
      </c>
      <c r="E12" s="74">
        <f t="shared" si="18"/>
        <v>6.4137134052388189E-2</v>
      </c>
      <c r="F12" s="74">
        <f t="shared" si="18"/>
        <v>0.15058823529411769</v>
      </c>
      <c r="G12" s="74">
        <f t="shared" si="18"/>
        <v>-0.26915211577788267</v>
      </c>
      <c r="H12" s="74">
        <f t="shared" si="18"/>
        <v>0.85987946620749023</v>
      </c>
      <c r="I12" s="74">
        <f t="shared" si="18"/>
        <v>-2.7195926397407755E-2</v>
      </c>
      <c r="J12" s="46">
        <v>4.0000000000000036E-2</v>
      </c>
      <c r="K12" s="46">
        <v>4.0000000000000036E-2</v>
      </c>
      <c r="L12" s="46">
        <v>4.0000000000000036E-2</v>
      </c>
      <c r="M12" s="46">
        <v>4.0000000000000036E-2</v>
      </c>
      <c r="N12" s="46">
        <v>4.0000000000000036E-2</v>
      </c>
      <c r="O12" s="79"/>
      <c r="P12" s="79"/>
      <c r="Q12" s="79"/>
      <c r="R12" s="79"/>
      <c r="S12" s="79"/>
      <c r="T12" s="79"/>
      <c r="U12" s="79"/>
      <c r="V12" s="79"/>
      <c r="W12" s="79"/>
      <c r="X12" s="79"/>
      <c r="Y12" s="79"/>
      <c r="Z12" s="79"/>
      <c r="AA12" s="79"/>
      <c r="AB12" s="79"/>
      <c r="AC12" s="79"/>
      <c r="AD12" s="79"/>
      <c r="AE12" s="79"/>
    </row>
    <row r="13" spans="1:31" x14ac:dyDescent="0.2">
      <c r="A13" s="41" t="s">
        <v>131</v>
      </c>
      <c r="B13" s="76">
        <f>B11/B3</f>
        <v>0.15741315643279633</v>
      </c>
      <c r="C13" s="76">
        <f t="shared" ref="C13:I13" si="19">C11/C3</f>
        <v>0.16456634544106746</v>
      </c>
      <c r="D13" s="76">
        <f t="shared" si="19"/>
        <v>0.15114992721979623</v>
      </c>
      <c r="E13" s="76">
        <f t="shared" si="19"/>
        <v>0.15179822512844465</v>
      </c>
      <c r="F13" s="76">
        <f t="shared" si="19"/>
        <v>0.16251246261216351</v>
      </c>
      <c r="G13" s="76">
        <f t="shared" si="19"/>
        <v>0.12421463518969067</v>
      </c>
      <c r="H13" s="76">
        <f t="shared" si="19"/>
        <v>0.19401410031882887</v>
      </c>
      <c r="I13" s="76">
        <f t="shared" si="19"/>
        <v>0.17996146435452795</v>
      </c>
      <c r="J13" s="46">
        <f>J11/J3</f>
        <v>0.18083084340938074</v>
      </c>
      <c r="K13" s="46">
        <f t="shared" ref="K13:N13" si="20">K11/K3</f>
        <v>0.18170442236304926</v>
      </c>
      <c r="L13" s="46">
        <f t="shared" si="20"/>
        <v>0.18258222150489975</v>
      </c>
      <c r="M13" s="46">
        <f t="shared" si="20"/>
        <v>0.18346426122231474</v>
      </c>
      <c r="N13" s="46">
        <f t="shared" si="20"/>
        <v>0.18435056200116651</v>
      </c>
      <c r="O13" s="79"/>
      <c r="P13" s="79"/>
      <c r="Q13" s="79"/>
      <c r="R13" s="79"/>
      <c r="S13" s="79"/>
      <c r="T13" s="79"/>
      <c r="U13" s="79"/>
      <c r="V13" s="79"/>
      <c r="W13" s="79"/>
      <c r="X13" s="79"/>
      <c r="Y13" s="79"/>
      <c r="Z13" s="79"/>
      <c r="AA13" s="79"/>
      <c r="AB13" s="79"/>
      <c r="AC13" s="79"/>
      <c r="AD13" s="79"/>
      <c r="AE13" s="79"/>
    </row>
    <row r="14" spans="1:31" x14ac:dyDescent="0.2">
      <c r="A14" s="40" t="s">
        <v>135</v>
      </c>
      <c r="B14" s="8">
        <f>[1]Historicals!B31-2834+[1]Historicals!B66</f>
        <v>64</v>
      </c>
      <c r="C14" s="8">
        <f>[1]Historicals!C31-[1]Historicals!B31+[1]Historicals!C66</f>
        <v>429</v>
      </c>
      <c r="D14" s="8">
        <f>[1]Historicals!D31-[1]Historicals!C31+[1]Historicals!D66</f>
        <v>196</v>
      </c>
      <c r="E14" s="8">
        <f>[1]Historicals!E31-[1]Historicals!D31+[1]Historicals!E66</f>
        <v>1112</v>
      </c>
      <c r="F14" s="8">
        <f>[1]Historicals!F31-[1]Historicals!E31+[1]Historicals!F66</f>
        <v>324</v>
      </c>
      <c r="G14" s="8">
        <f>[1]Historicals!G31-[1]Historicals!F31+[1]Historicals!G66</f>
        <v>-258</v>
      </c>
      <c r="H14" s="8">
        <f>[1]Historicals!H31-[1]Historicals!G31+[1]Historicals!H66</f>
        <v>782</v>
      </c>
      <c r="I14" s="8">
        <f>[1]Historicals!I31-[1]Historicals!H31+[1]Historicals!I66</f>
        <v>604</v>
      </c>
      <c r="J14" s="77">
        <f>I14*(1+4.5%)</f>
        <v>631.17999999999995</v>
      </c>
      <c r="K14" s="77">
        <f t="shared" ref="K14:N14" si="21">J14*(1+4.5%)</f>
        <v>659.58309999999994</v>
      </c>
      <c r="L14" s="77">
        <f t="shared" si="21"/>
        <v>689.26433949999989</v>
      </c>
      <c r="M14" s="77">
        <f t="shared" si="21"/>
        <v>720.28123477749989</v>
      </c>
      <c r="N14" s="77">
        <f t="shared" si="21"/>
        <v>752.69389034248729</v>
      </c>
      <c r="O14" s="79"/>
      <c r="P14" s="79"/>
      <c r="Q14" s="79"/>
      <c r="R14" s="79"/>
      <c r="S14" s="79"/>
      <c r="T14" s="79"/>
      <c r="U14" s="79"/>
      <c r="V14" s="79"/>
      <c r="W14" s="79"/>
      <c r="X14" s="79"/>
      <c r="Y14" s="79"/>
      <c r="Z14" s="79"/>
      <c r="AA14" s="79"/>
      <c r="AB14" s="79"/>
      <c r="AC14" s="79"/>
      <c r="AD14" s="79"/>
      <c r="AE14" s="79"/>
    </row>
    <row r="15" spans="1:31" x14ac:dyDescent="0.2">
      <c r="A15" s="41" t="s">
        <v>129</v>
      </c>
      <c r="B15" s="74">
        <f>1.89%</f>
        <v>1.89E-2</v>
      </c>
      <c r="C15" s="73">
        <f>C14/B14-1</f>
        <v>5.703125</v>
      </c>
      <c r="D15" s="73">
        <f t="shared" ref="D15:I15" si="22">D14/C14-1</f>
        <v>-0.54312354312354305</v>
      </c>
      <c r="E15" s="73">
        <f t="shared" si="22"/>
        <v>4.6734693877551017</v>
      </c>
      <c r="F15" s="73">
        <f t="shared" si="22"/>
        <v>-0.70863309352517989</v>
      </c>
      <c r="G15" s="73">
        <f t="shared" si="22"/>
        <v>-1.7962962962962963</v>
      </c>
      <c r="H15" s="73">
        <f t="shared" si="22"/>
        <v>-4.0310077519379846</v>
      </c>
      <c r="I15" s="73">
        <f t="shared" si="22"/>
        <v>-0.22762148337595911</v>
      </c>
      <c r="J15" s="46">
        <v>4.4999999999999929E-2</v>
      </c>
      <c r="K15" s="46">
        <v>4.4999999999999929E-2</v>
      </c>
      <c r="L15" s="46">
        <v>4.4999999999999929E-2</v>
      </c>
      <c r="M15" s="46">
        <v>4.4999999999999929E-2</v>
      </c>
      <c r="N15" s="46">
        <v>4.4999999999999929E-2</v>
      </c>
      <c r="O15" s="79"/>
      <c r="P15" s="79"/>
      <c r="Q15" s="79"/>
      <c r="R15" s="79"/>
      <c r="S15" s="79"/>
      <c r="T15" s="79"/>
      <c r="U15" s="79"/>
      <c r="V15" s="79"/>
      <c r="W15" s="79"/>
      <c r="X15" s="79"/>
      <c r="Y15" s="79"/>
      <c r="Z15" s="79"/>
      <c r="AA15" s="79"/>
      <c r="AB15" s="79"/>
      <c r="AC15" s="79"/>
      <c r="AD15" s="79"/>
      <c r="AE15" s="79"/>
    </row>
    <row r="16" spans="1:31" x14ac:dyDescent="0.2">
      <c r="A16" s="41" t="s">
        <v>133</v>
      </c>
      <c r="B16" s="74">
        <f>B14/B3</f>
        <v>2.091434920427437E-3</v>
      </c>
      <c r="C16" s="74">
        <f>C14/C3</f>
        <v>1.3250555967383247E-2</v>
      </c>
      <c r="D16" s="74">
        <f t="shared" ref="D16:I16" si="23">D14/D3</f>
        <v>5.7059679767103352E-3</v>
      </c>
      <c r="E16" s="74">
        <f t="shared" si="23"/>
        <v>3.055196856883809E-2</v>
      </c>
      <c r="F16" s="74">
        <f t="shared" si="23"/>
        <v>8.2828437763632183E-3</v>
      </c>
      <c r="G16" s="74">
        <f t="shared" si="23"/>
        <v>-6.8978424190572945E-3</v>
      </c>
      <c r="H16" s="74">
        <f t="shared" si="23"/>
        <v>1.7558040325115633E-2</v>
      </c>
      <c r="I16" s="74">
        <f t="shared" si="23"/>
        <v>1.2930849925069578E-2</v>
      </c>
      <c r="J16" s="46">
        <f>J14/J3</f>
        <v>1.3055785673137883E-2</v>
      </c>
      <c r="K16" s="46">
        <f t="shared" ref="K16:N16" si="24">K14/K3</f>
        <v>1.3181928529883178E-2</v>
      </c>
      <c r="L16" s="46">
        <f t="shared" si="24"/>
        <v>1.3309290158191227E-2</v>
      </c>
      <c r="M16" s="46">
        <f t="shared" si="24"/>
        <v>1.3437882333632691E-2</v>
      </c>
      <c r="N16" s="46">
        <f t="shared" si="24"/>
        <v>1.3567716945551846E-2</v>
      </c>
      <c r="O16" s="79"/>
      <c r="P16" s="79"/>
      <c r="Q16" s="79"/>
      <c r="R16" s="79"/>
      <c r="S16" s="79"/>
      <c r="T16" s="79"/>
      <c r="U16" s="79"/>
      <c r="V16" s="79"/>
      <c r="W16" s="79"/>
      <c r="X16" s="79"/>
      <c r="Y16" s="79"/>
      <c r="Z16" s="79"/>
      <c r="AA16" s="79"/>
      <c r="AB16" s="79"/>
      <c r="AC16" s="79"/>
      <c r="AD16" s="79"/>
      <c r="AE16" s="79"/>
    </row>
    <row r="17" spans="1:31" x14ac:dyDescent="0.2">
      <c r="A17" s="9" t="s">
        <v>141</v>
      </c>
      <c r="B17" s="8">
        <f>[2]Historicals!B31</f>
        <v>3011</v>
      </c>
      <c r="C17" s="8">
        <f>[2]Historicals!C31</f>
        <v>3520</v>
      </c>
      <c r="D17" s="8">
        <f>[2]Historicals!D31</f>
        <v>3989</v>
      </c>
      <c r="E17" s="8">
        <f>[2]Historicals!E31</f>
        <v>4454</v>
      </c>
      <c r="F17" s="8">
        <f>[2]Historicals!F31</f>
        <v>4744</v>
      </c>
      <c r="G17" s="8">
        <f>[2]Historicals!G31</f>
        <v>4866</v>
      </c>
      <c r="H17" s="8">
        <f>[2]Historicals!H31</f>
        <v>4904</v>
      </c>
      <c r="I17" s="8">
        <f>[2]Historicals!I31</f>
        <v>4791</v>
      </c>
      <c r="J17" s="77">
        <f>I17*(1+4.5%)</f>
        <v>5006.5949999999993</v>
      </c>
      <c r="K17" s="77">
        <f t="shared" ref="K17:N17" si="25">J17*(1+4.5%)</f>
        <v>5231.8917749999991</v>
      </c>
      <c r="L17" s="77">
        <f t="shared" si="25"/>
        <v>5467.3269048749989</v>
      </c>
      <c r="M17" s="77">
        <f t="shared" si="25"/>
        <v>5713.3566155943736</v>
      </c>
      <c r="N17" s="77">
        <f t="shared" si="25"/>
        <v>5970.4576632961198</v>
      </c>
      <c r="O17" s="79"/>
      <c r="P17" s="79"/>
      <c r="Q17" s="79"/>
      <c r="R17" s="79"/>
      <c r="S17" s="79"/>
      <c r="T17" s="79"/>
      <c r="U17" s="79"/>
      <c r="V17" s="79"/>
      <c r="W17" s="79"/>
      <c r="X17" s="79"/>
      <c r="Y17" s="79"/>
      <c r="Z17" s="79"/>
      <c r="AA17" s="79"/>
      <c r="AB17" s="79"/>
      <c r="AC17" s="79"/>
      <c r="AD17" s="79"/>
      <c r="AE17" s="79"/>
    </row>
    <row r="18" spans="1:31" x14ac:dyDescent="0.2">
      <c r="A18" s="41" t="s">
        <v>129</v>
      </c>
      <c r="B18" s="46" t="e">
        <f>B17/B54-1</f>
        <v>#DIV/0!</v>
      </c>
      <c r="C18" s="46">
        <f>C17/B17-1</f>
        <v>0.16904682829624718</v>
      </c>
      <c r="D18" s="46">
        <f t="shared" ref="D18:I18" si="26">D17/C17-1</f>
        <v>0.13323863636363642</v>
      </c>
      <c r="E18" s="46">
        <f t="shared" si="26"/>
        <v>0.11657056906492858</v>
      </c>
      <c r="F18" s="46">
        <f t="shared" si="26"/>
        <v>6.5110013471037176E-2</v>
      </c>
      <c r="G18" s="46">
        <f t="shared" si="26"/>
        <v>2.5716694772343951E-2</v>
      </c>
      <c r="H18" s="46">
        <f t="shared" si="26"/>
        <v>7.8092889436909285E-3</v>
      </c>
      <c r="I18" s="46">
        <f t="shared" si="26"/>
        <v>-2.3042414355628038E-2</v>
      </c>
      <c r="J18" s="46">
        <f t="shared" ref="J18:N18" si="27">+IFERROR(J17/I17-1,"nm")</f>
        <v>4.4999999999999929E-2</v>
      </c>
      <c r="K18" s="46">
        <f t="shared" si="27"/>
        <v>4.4999999999999929E-2</v>
      </c>
      <c r="L18" s="46">
        <f t="shared" si="27"/>
        <v>4.4999999999999929E-2</v>
      </c>
      <c r="M18" s="46">
        <f t="shared" si="27"/>
        <v>4.4999999999999929E-2</v>
      </c>
      <c r="N18" s="46">
        <f t="shared" si="27"/>
        <v>4.4999999999999929E-2</v>
      </c>
      <c r="O18" s="79"/>
      <c r="P18" s="79"/>
      <c r="Q18" s="79"/>
      <c r="R18" s="79"/>
      <c r="S18" s="79"/>
      <c r="T18" s="79"/>
      <c r="U18" s="79"/>
      <c r="V18" s="79"/>
      <c r="W18" s="79"/>
      <c r="X18" s="79"/>
      <c r="Y18" s="79"/>
      <c r="Z18" s="79"/>
      <c r="AA18" s="79"/>
      <c r="AB18" s="79"/>
      <c r="AC18" s="79"/>
      <c r="AD18" s="79"/>
      <c r="AE18" s="79"/>
    </row>
    <row r="19" spans="1:31" x14ac:dyDescent="0.2">
      <c r="A19" s="41" t="s">
        <v>133</v>
      </c>
      <c r="B19" s="46">
        <f>B17/B3</f>
        <v>9.8395477271984569E-2</v>
      </c>
      <c r="C19" s="46">
        <f t="shared" ref="C19:I19" si="28">+IFERROR(C17/C$3,"nm")</f>
        <v>0.10872251050160613</v>
      </c>
      <c r="D19" s="46">
        <f t="shared" si="28"/>
        <v>0.11612809315866085</v>
      </c>
      <c r="E19" s="46">
        <f t="shared" si="28"/>
        <v>0.12237272302662307</v>
      </c>
      <c r="F19" s="46">
        <f t="shared" si="28"/>
        <v>0.1212771940588491</v>
      </c>
      <c r="G19" s="46">
        <f t="shared" si="28"/>
        <v>0.13009651632222013</v>
      </c>
      <c r="H19" s="46">
        <f t="shared" si="28"/>
        <v>0.11010822219228523</v>
      </c>
      <c r="I19" s="46">
        <f t="shared" si="28"/>
        <v>0.10256904303147078</v>
      </c>
      <c r="J19" s="46">
        <f>J17/J3</f>
        <v>0.10356004827815164</v>
      </c>
      <c r="K19" s="46">
        <f t="shared" ref="K19:N19" si="29">K17/K3</f>
        <v>0.10456062845475216</v>
      </c>
      <c r="L19" s="46">
        <f t="shared" si="29"/>
        <v>0.10557087607267247</v>
      </c>
      <c r="M19" s="46">
        <f t="shared" si="29"/>
        <v>0.10659088453714273</v>
      </c>
      <c r="N19" s="46">
        <f t="shared" si="29"/>
        <v>0.10762074815585908</v>
      </c>
      <c r="O19" s="79"/>
      <c r="P19" s="79"/>
      <c r="Q19" s="79"/>
      <c r="R19" s="79"/>
      <c r="S19" s="79"/>
      <c r="T19" s="79"/>
      <c r="U19" s="79"/>
      <c r="V19" s="79"/>
      <c r="W19" s="79"/>
      <c r="X19" s="79"/>
      <c r="Y19" s="79"/>
      <c r="Z19" s="79"/>
      <c r="AA19" s="79"/>
      <c r="AB19" s="79"/>
      <c r="AC19" s="79"/>
      <c r="AD19" s="79"/>
      <c r="AE19" s="79"/>
    </row>
    <row r="20" spans="1:31" x14ac:dyDescent="0.2">
      <c r="A20" s="42" t="str">
        <f>+Historicals!A107</f>
        <v>North America</v>
      </c>
      <c r="B20" s="42"/>
      <c r="C20" s="42"/>
      <c r="D20" s="42"/>
      <c r="E20" s="42"/>
      <c r="F20" s="42"/>
      <c r="G20" s="42"/>
      <c r="H20" s="42"/>
      <c r="I20" s="42"/>
      <c r="J20" s="38"/>
      <c r="K20" s="38"/>
      <c r="L20" s="38"/>
      <c r="M20" s="38"/>
      <c r="N20" s="38"/>
      <c r="O20" s="79"/>
      <c r="P20" s="79"/>
      <c r="Q20" s="79"/>
      <c r="R20" s="79"/>
      <c r="S20" s="79"/>
      <c r="T20" s="79"/>
      <c r="U20" s="79"/>
      <c r="V20" s="79"/>
      <c r="W20" s="79"/>
      <c r="X20" s="79"/>
      <c r="Y20" s="79"/>
      <c r="Z20" s="79"/>
      <c r="AA20" s="79"/>
      <c r="AB20" s="79"/>
      <c r="AC20" s="79"/>
      <c r="AD20" s="79"/>
      <c r="AE20" s="79"/>
    </row>
    <row r="21" spans="1:31" x14ac:dyDescent="0.2">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I21*(1+3.5%)</f>
        <v>18995.355</v>
      </c>
      <c r="K21" s="9">
        <f t="shared" ref="K21:N21" si="30">J21*(1+3.5%)</f>
        <v>19660.192424999997</v>
      </c>
      <c r="L21" s="9">
        <f t="shared" si="30"/>
        <v>20348.299159874994</v>
      </c>
      <c r="M21" s="9">
        <f t="shared" si="30"/>
        <v>21060.489630470616</v>
      </c>
      <c r="N21" s="9">
        <f t="shared" si="30"/>
        <v>21797.606767537087</v>
      </c>
      <c r="O21" s="79"/>
      <c r="P21" s="79"/>
      <c r="Q21" s="79"/>
      <c r="R21" s="79"/>
      <c r="S21" s="79"/>
      <c r="T21" s="79"/>
      <c r="U21" s="79"/>
      <c r="V21" s="79"/>
      <c r="W21" s="79"/>
      <c r="X21" s="79"/>
      <c r="Y21" s="79"/>
      <c r="Z21" s="79"/>
      <c r="AA21" s="79"/>
      <c r="AB21" s="79"/>
      <c r="AC21" s="79"/>
      <c r="AD21" s="79"/>
      <c r="AE21" s="79"/>
    </row>
    <row r="22" spans="1:31" x14ac:dyDescent="0.2">
      <c r="A22" s="43" t="s">
        <v>129</v>
      </c>
      <c r="B22" s="46" t="str">
        <f t="shared" ref="B22:H22" si="31">+IFERROR(B21/A21-1,"nm")</f>
        <v>nm</v>
      </c>
      <c r="C22" s="46">
        <f t="shared" si="31"/>
        <v>7.4526928675400228E-2</v>
      </c>
      <c r="D22" s="46">
        <f t="shared" si="31"/>
        <v>3.0615009482525046E-2</v>
      </c>
      <c r="E22" s="46">
        <f t="shared" si="31"/>
        <v>-2.372502628811779E-2</v>
      </c>
      <c r="F22" s="46">
        <f t="shared" si="31"/>
        <v>7.0481319421070276E-2</v>
      </c>
      <c r="G22" s="46">
        <f t="shared" si="31"/>
        <v>-8.9171173437303519E-2</v>
      </c>
      <c r="H22" s="46">
        <f t="shared" si="31"/>
        <v>0.18606738470035911</v>
      </c>
      <c r="I22" s="46">
        <f>+IFERROR(I21/H21-1,"nm")</f>
        <v>6.8339251411607238E-2</v>
      </c>
      <c r="J22" s="46">
        <f>J21/I21-1</f>
        <v>3.499999999999992E-2</v>
      </c>
      <c r="K22" s="46">
        <f t="shared" ref="K22:N22" si="32">K21/J21-1</f>
        <v>3.499999999999992E-2</v>
      </c>
      <c r="L22" s="46">
        <f t="shared" si="32"/>
        <v>3.499999999999992E-2</v>
      </c>
      <c r="M22" s="46">
        <f t="shared" si="32"/>
        <v>3.499999999999992E-2</v>
      </c>
      <c r="N22" s="46">
        <f t="shared" si="32"/>
        <v>3.499999999999992E-2</v>
      </c>
      <c r="O22" s="79"/>
      <c r="P22" s="79"/>
      <c r="Q22" s="79"/>
      <c r="R22" s="79"/>
      <c r="S22" s="79"/>
      <c r="T22" s="79"/>
      <c r="U22" s="79"/>
      <c r="V22" s="79"/>
      <c r="W22" s="79"/>
      <c r="X22" s="79"/>
      <c r="Y22" s="79"/>
      <c r="Z22" s="79"/>
      <c r="AA22" s="79"/>
      <c r="AB22" s="79"/>
      <c r="AC22" s="79"/>
      <c r="AD22" s="79"/>
      <c r="AE22" s="79"/>
    </row>
    <row r="23" spans="1:31" x14ac:dyDescent="0.2">
      <c r="A23" s="44"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I23*(1+3.5%)</f>
        <v>12655.98</v>
      </c>
      <c r="K23" s="3">
        <f t="shared" ref="K23:N23" si="33">J23*(1+3.5%)</f>
        <v>13098.939299999998</v>
      </c>
      <c r="L23" s="3">
        <f t="shared" si="33"/>
        <v>13557.402175499998</v>
      </c>
      <c r="M23" s="3">
        <f t="shared" si="33"/>
        <v>14031.911251642496</v>
      </c>
      <c r="N23" s="3">
        <f t="shared" si="33"/>
        <v>14523.028145449982</v>
      </c>
      <c r="O23" s="79"/>
      <c r="P23" s="79"/>
      <c r="Q23" s="79"/>
      <c r="R23" s="79"/>
      <c r="S23" s="79"/>
      <c r="T23" s="79"/>
      <c r="U23" s="79"/>
      <c r="V23" s="79"/>
      <c r="W23" s="79"/>
      <c r="X23" s="79"/>
      <c r="Y23" s="79"/>
      <c r="Z23" s="79"/>
      <c r="AA23" s="79"/>
      <c r="AB23" s="79"/>
      <c r="AC23" s="79"/>
      <c r="AD23" s="79"/>
      <c r="AE23" s="79"/>
    </row>
    <row r="24" spans="1:31" x14ac:dyDescent="0.2">
      <c r="A24" s="43" t="s">
        <v>129</v>
      </c>
      <c r="B24" s="46" t="str">
        <f t="shared" ref="B24" si="34">+IFERROR(B23/A23-1,"nm")</f>
        <v>nm</v>
      </c>
      <c r="C24" s="46">
        <f t="shared" ref="C24" si="35">+IFERROR(C23/B23-1,"nm")</f>
        <v>9.3228309428638578E-2</v>
      </c>
      <c r="D24" s="46">
        <f t="shared" ref="D24" si="36">+IFERROR(D23/C23-1,"nm")</f>
        <v>4.1402301322722934E-2</v>
      </c>
      <c r="E24" s="46">
        <f t="shared" ref="E24" si="37">+IFERROR(E23/D23-1,"nm")</f>
        <v>-3.7381247418422192E-2</v>
      </c>
      <c r="F24" s="46">
        <f t="shared" ref="F24" si="38">+IFERROR(F23/E23-1,"nm")</f>
        <v>7.755846384895948E-2</v>
      </c>
      <c r="G24" s="46">
        <f t="shared" ref="G24" si="39">+IFERROR(G23/F23-1,"nm")</f>
        <v>-7.1279243404678949E-2</v>
      </c>
      <c r="H24" s="46">
        <f t="shared" ref="H24" si="40">+IFERROR(H23/G23-1,"nm")</f>
        <v>0.24815092721620746</v>
      </c>
      <c r="I24" s="46">
        <f>+IFERROR(I23/H23-1,"nm")</f>
        <v>5.0154586052902683E-2</v>
      </c>
      <c r="J24" s="46">
        <f>J23/I23-1</f>
        <v>3.499999999999992E-2</v>
      </c>
      <c r="K24" s="46">
        <f t="shared" ref="K24:N24" si="41">K23/J23-1</f>
        <v>3.499999999999992E-2</v>
      </c>
      <c r="L24" s="46">
        <f t="shared" si="41"/>
        <v>3.499999999999992E-2</v>
      </c>
      <c r="M24" s="46">
        <f t="shared" si="41"/>
        <v>3.499999999999992E-2</v>
      </c>
      <c r="N24" s="46">
        <f t="shared" si="41"/>
        <v>3.499999999999992E-2</v>
      </c>
      <c r="O24" s="79"/>
      <c r="P24" s="79"/>
      <c r="Q24" s="79"/>
      <c r="R24" s="79"/>
      <c r="S24" s="79"/>
      <c r="T24" s="79"/>
      <c r="U24" s="79"/>
      <c r="V24" s="79"/>
      <c r="W24" s="79"/>
      <c r="X24" s="79"/>
      <c r="Y24" s="79"/>
      <c r="Z24" s="79"/>
      <c r="AA24" s="79"/>
      <c r="AB24" s="79"/>
      <c r="AC24" s="79"/>
      <c r="AD24" s="79"/>
      <c r="AE24" s="79"/>
    </row>
    <row r="25" spans="1:31" x14ac:dyDescent="0.2">
      <c r="A25" s="43" t="s">
        <v>137</v>
      </c>
      <c r="B25" s="46" t="e">
        <f>+Historicals!B180</f>
        <v>#DIV/0!</v>
      </c>
      <c r="C25" s="46">
        <f>+Historicals!C180</f>
        <v>9.3228309428638578E-2</v>
      </c>
      <c r="D25" s="46">
        <f>+Historicals!D180</f>
        <v>4.1402301322722934E-2</v>
      </c>
      <c r="E25" s="46">
        <f>+Historicals!E180</f>
        <v>-3.7381247418422192E-2</v>
      </c>
      <c r="F25" s="46">
        <f>+Historicals!F180</f>
        <v>7.755846384895948E-2</v>
      </c>
      <c r="G25" s="46">
        <f>+Historicals!G180</f>
        <v>-7.1279243404678949E-2</v>
      </c>
      <c r="H25" s="46">
        <f>+Historicals!H180</f>
        <v>0.24815092721620746</v>
      </c>
      <c r="I25" s="46">
        <f>+Historicals!I180</f>
        <v>0.05</v>
      </c>
      <c r="J25" s="48">
        <f>J24</f>
        <v>3.499999999999992E-2</v>
      </c>
      <c r="K25" s="48">
        <f t="shared" ref="K25:N25" si="42">K24</f>
        <v>3.499999999999992E-2</v>
      </c>
      <c r="L25" s="48">
        <f t="shared" si="42"/>
        <v>3.499999999999992E-2</v>
      </c>
      <c r="M25" s="48">
        <f t="shared" si="42"/>
        <v>3.499999999999992E-2</v>
      </c>
      <c r="N25" s="48">
        <f t="shared" si="42"/>
        <v>3.499999999999992E-2</v>
      </c>
      <c r="O25" s="79"/>
      <c r="P25" s="79"/>
      <c r="Q25" s="79"/>
      <c r="R25" s="79"/>
      <c r="S25" s="79"/>
      <c r="T25" s="79"/>
      <c r="U25" s="79"/>
      <c r="V25" s="79"/>
      <c r="W25" s="79"/>
      <c r="X25" s="79"/>
      <c r="Y25" s="79"/>
      <c r="Z25" s="79"/>
      <c r="AA25" s="79"/>
      <c r="AB25" s="79"/>
      <c r="AC25" s="79"/>
      <c r="AD25" s="79"/>
      <c r="AE25" s="79"/>
    </row>
    <row r="26" spans="1:31" x14ac:dyDescent="0.2">
      <c r="A26" s="43" t="s">
        <v>138</v>
      </c>
      <c r="B26" s="46" t="str">
        <f t="shared" ref="B26:H26" si="43">+IFERROR(B24-B25,"nm")</f>
        <v>nm</v>
      </c>
      <c r="C26" s="46">
        <f t="shared" si="43"/>
        <v>0</v>
      </c>
      <c r="D26" s="46">
        <f t="shared" si="43"/>
        <v>0</v>
      </c>
      <c r="E26" s="46">
        <f t="shared" si="43"/>
        <v>0</v>
      </c>
      <c r="F26" s="46">
        <f t="shared" si="43"/>
        <v>0</v>
      </c>
      <c r="G26" s="46">
        <f t="shared" si="43"/>
        <v>0</v>
      </c>
      <c r="H26" s="46">
        <f t="shared" si="43"/>
        <v>0</v>
      </c>
      <c r="I26" s="46">
        <f>+IFERROR(I24-I25,"nm")</f>
        <v>1.5458605290268046E-4</v>
      </c>
      <c r="J26" s="48">
        <f>0%</f>
        <v>0</v>
      </c>
      <c r="K26" s="48">
        <f>0%</f>
        <v>0</v>
      </c>
      <c r="L26" s="48">
        <f>0%</f>
        <v>0</v>
      </c>
      <c r="M26" s="48">
        <f>0%</f>
        <v>0</v>
      </c>
      <c r="N26" s="48">
        <f>0%</f>
        <v>0</v>
      </c>
      <c r="O26" s="79"/>
      <c r="P26" s="79"/>
      <c r="Q26" s="79"/>
      <c r="R26" s="79"/>
      <c r="S26" s="79"/>
      <c r="T26" s="79"/>
      <c r="U26" s="79"/>
      <c r="V26" s="79"/>
      <c r="W26" s="79"/>
      <c r="X26" s="79"/>
      <c r="Y26" s="79"/>
      <c r="Z26" s="79"/>
      <c r="AA26" s="79"/>
      <c r="AB26" s="79"/>
      <c r="AC26" s="79"/>
      <c r="AD26" s="79"/>
      <c r="AE26" s="79"/>
    </row>
    <row r="27" spans="1:31" x14ac:dyDescent="0.2">
      <c r="A27" s="44"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77">
        <f>5492*(1+3.5%)</f>
        <v>5684.2199999999993</v>
      </c>
      <c r="K27" s="77">
        <f>J27*(1+3.5%)</f>
        <v>5883.1676999999991</v>
      </c>
      <c r="L27" s="77">
        <f>5883*(1+3.5%)</f>
        <v>6088.9049999999997</v>
      </c>
      <c r="M27" s="77">
        <f t="shared" ref="M27" si="44">L27*(1+3.5%)</f>
        <v>6302.0166749999989</v>
      </c>
      <c r="N27" s="77">
        <f>M27*(1+3.5%)</f>
        <v>6522.587258624998</v>
      </c>
      <c r="O27" s="79"/>
      <c r="P27" s="79"/>
      <c r="Q27" s="79"/>
      <c r="R27" s="79"/>
      <c r="S27" s="79"/>
      <c r="T27" s="79"/>
      <c r="U27" s="79"/>
      <c r="V27" s="79"/>
      <c r="W27" s="79"/>
      <c r="X27" s="79"/>
      <c r="Y27" s="79"/>
      <c r="Z27" s="79"/>
      <c r="AA27" s="79"/>
      <c r="AB27" s="79"/>
      <c r="AC27" s="79"/>
      <c r="AD27" s="79"/>
      <c r="AE27" s="79"/>
    </row>
    <row r="28" spans="1:31" x14ac:dyDescent="0.2">
      <c r="A28" s="43" t="s">
        <v>129</v>
      </c>
      <c r="B28" s="46" t="str">
        <f t="shared" ref="B28" si="45">+IFERROR(B27/A27-1,"nm")</f>
        <v>nm</v>
      </c>
      <c r="C28" s="46">
        <f t="shared" ref="C28" si="46">+IFERROR(C27/B27-1,"nm")</f>
        <v>7.6190476190476142E-2</v>
      </c>
      <c r="D28" s="46">
        <f t="shared" ref="D28" si="47">+IFERROR(D27/C27-1,"nm")</f>
        <v>2.9498525073746285E-2</v>
      </c>
      <c r="E28" s="46">
        <f t="shared" ref="E28" si="48">+IFERROR(E27/D27-1,"nm")</f>
        <v>1.0642652476463343E-2</v>
      </c>
      <c r="F28" s="46">
        <f t="shared" ref="F28" si="49">+IFERROR(F27/E27-1,"nm")</f>
        <v>6.5208586472256025E-2</v>
      </c>
      <c r="G28" s="46">
        <f t="shared" ref="G28" si="50">+IFERROR(G27/F27-1,"nm")</f>
        <v>-0.11806083650190113</v>
      </c>
      <c r="H28" s="46">
        <f t="shared" ref="H28" si="51">+IFERROR(H27/G27-1,"nm")</f>
        <v>8.3854278939426541E-2</v>
      </c>
      <c r="I28" s="46">
        <f>+IFERROR(I27/H27-1,"nm")</f>
        <v>9.2283214001591007E-2</v>
      </c>
      <c r="J28" s="46">
        <f>J27/I27-1</f>
        <v>3.499999999999992E-2</v>
      </c>
      <c r="K28" s="46">
        <f t="shared" ref="K28:M28" si="52">K27/J27-1</f>
        <v>3.499999999999992E-2</v>
      </c>
      <c r="L28" s="46">
        <f t="shared" si="52"/>
        <v>3.4970497271393564E-2</v>
      </c>
      <c r="M28" s="46">
        <f t="shared" si="52"/>
        <v>3.499999999999992E-2</v>
      </c>
      <c r="N28" s="46">
        <f>N27/M27-1</f>
        <v>3.499999999999992E-2</v>
      </c>
    </row>
    <row r="29" spans="1:31" x14ac:dyDescent="0.2">
      <c r="A29" s="43" t="s">
        <v>137</v>
      </c>
      <c r="B29" s="46" t="e">
        <f>+Historicals!B184</f>
        <v>#DIV/0!</v>
      </c>
      <c r="C29" s="46">
        <f>+Historicals!C184</f>
        <v>7.2294280246651077E-2</v>
      </c>
      <c r="D29" s="46">
        <f>+Historicals!D184</f>
        <v>2.9545905215149659E-2</v>
      </c>
      <c r="E29" s="46">
        <f>+Historicals!E184</f>
        <v>0.1315485362095532</v>
      </c>
      <c r="F29" s="46">
        <f>+Historicals!F184</f>
        <v>7.1148936170212673E-2</v>
      </c>
      <c r="G29" s="46">
        <f>+Historicals!G184</f>
        <v>-6.3721595423486432E-2</v>
      </c>
      <c r="H29" s="46">
        <f>+Historicals!H184</f>
        <v>0.18295994568907004</v>
      </c>
      <c r="I29" s="46">
        <f>+Historicals!I184</f>
        <v>0.09</v>
      </c>
      <c r="J29" s="48">
        <f>J28</f>
        <v>3.499999999999992E-2</v>
      </c>
      <c r="K29" s="48">
        <f t="shared" ref="K29:N29" si="53">K28</f>
        <v>3.499999999999992E-2</v>
      </c>
      <c r="L29" s="48">
        <f t="shared" si="53"/>
        <v>3.4970497271393564E-2</v>
      </c>
      <c r="M29" s="48">
        <f t="shared" si="53"/>
        <v>3.499999999999992E-2</v>
      </c>
      <c r="N29" s="48">
        <f t="shared" si="53"/>
        <v>3.499999999999992E-2</v>
      </c>
    </row>
    <row r="30" spans="1:31" x14ac:dyDescent="0.2">
      <c r="A30" s="43" t="s">
        <v>138</v>
      </c>
      <c r="B30" s="46" t="str">
        <f t="shared" ref="B30" si="54">+IFERROR(B28-B29,"nm")</f>
        <v>nm</v>
      </c>
      <c r="C30" s="46">
        <f t="shared" ref="C30" si="55">+IFERROR(C28-C29,"nm")</f>
        <v>3.8961959438250648E-3</v>
      </c>
      <c r="D30" s="46">
        <f t="shared" ref="D30" si="56">+IFERROR(D28-D29,"nm")</f>
        <v>-4.7380141403374765E-5</v>
      </c>
      <c r="E30" s="46">
        <f t="shared" ref="E30" si="57">+IFERROR(E28-E29,"nm")</f>
        <v>-0.12090588373308986</v>
      </c>
      <c r="F30" s="46">
        <f t="shared" ref="F30" si="58">+IFERROR(F28-F29,"nm")</f>
        <v>-5.9403496979566484E-3</v>
      </c>
      <c r="G30" s="46">
        <f t="shared" ref="G30" si="59">+IFERROR(G28-G29,"nm")</f>
        <v>-5.4339241078414702E-2</v>
      </c>
      <c r="H30" s="46">
        <f t="shared" ref="H30" si="60">+IFERROR(H28-H29,"nm")</f>
        <v>-9.9105666749643495E-2</v>
      </c>
      <c r="I30" s="46">
        <f>+IFERROR(I28-I29,"nm")</f>
        <v>2.2832140015910107E-3</v>
      </c>
      <c r="J30" s="48">
        <f>0%</f>
        <v>0</v>
      </c>
      <c r="K30" s="48">
        <f>0%</f>
        <v>0</v>
      </c>
      <c r="L30" s="48">
        <f>0%</f>
        <v>0</v>
      </c>
      <c r="M30" s="48">
        <f>0%</f>
        <v>0</v>
      </c>
      <c r="N30" s="48">
        <f>0%</f>
        <v>0</v>
      </c>
    </row>
    <row r="31" spans="1:31" x14ac:dyDescent="0.2">
      <c r="A31" s="44"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I31*(1+3.5%)</f>
        <v>655.15499999999997</v>
      </c>
      <c r="K31" s="3">
        <f t="shared" ref="K31:N31" si="61">J31*(1+3.5%)</f>
        <v>678.08542499999987</v>
      </c>
      <c r="L31" s="3">
        <f t="shared" si="61"/>
        <v>701.8184148749998</v>
      </c>
      <c r="M31" s="3">
        <f t="shared" si="61"/>
        <v>726.38205939562476</v>
      </c>
      <c r="N31" s="3">
        <f t="shared" si="61"/>
        <v>751.80543147447156</v>
      </c>
    </row>
    <row r="32" spans="1:31" x14ac:dyDescent="0.2">
      <c r="A32" s="43" t="s">
        <v>129</v>
      </c>
      <c r="B32" s="46" t="str">
        <f t="shared" ref="B32" si="62">+IFERROR(B31/A31-1,"nm")</f>
        <v>nm</v>
      </c>
      <c r="C32" s="46">
        <f t="shared" ref="C32" si="63">+IFERROR(C31/B31-1,"nm")</f>
        <v>-0.12742718446601942</v>
      </c>
      <c r="D32" s="46">
        <f t="shared" ref="D32" si="64">+IFERROR(D31/C31-1,"nm")</f>
        <v>-0.10152990264255912</v>
      </c>
      <c r="E32" s="46">
        <f t="shared" ref="E32" si="65">+IFERROR(E31/D31-1,"nm")</f>
        <v>-7.8947368421052655E-2</v>
      </c>
      <c r="F32" s="46">
        <f t="shared" ref="F32" si="66">+IFERROR(F31/E31-1,"nm")</f>
        <v>3.3613445378151141E-3</v>
      </c>
      <c r="G32" s="46">
        <f t="shared" ref="G32" si="67">+IFERROR(G31/F31-1,"nm")</f>
        <v>-0.13567839195979903</v>
      </c>
      <c r="H32" s="46">
        <f t="shared" ref="H32" si="68">+IFERROR(H31/G31-1,"nm")</f>
        <v>-1.744186046511631E-2</v>
      </c>
      <c r="I32" s="46">
        <f>+IFERROR(I31/H31-1,"nm")</f>
        <v>0.24852071005917153</v>
      </c>
      <c r="J32" s="46">
        <f>J31/I31-1</f>
        <v>3.499999999999992E-2</v>
      </c>
      <c r="K32" s="46">
        <f t="shared" ref="K32:N32" si="69">K31/J31-1</f>
        <v>3.499999999999992E-2</v>
      </c>
      <c r="L32" s="46">
        <f t="shared" si="69"/>
        <v>3.499999999999992E-2</v>
      </c>
      <c r="M32" s="46">
        <f t="shared" si="69"/>
        <v>3.499999999999992E-2</v>
      </c>
      <c r="N32" s="46">
        <f t="shared" si="69"/>
        <v>3.499999999999992E-2</v>
      </c>
    </row>
    <row r="33" spans="1:14" x14ac:dyDescent="0.2">
      <c r="A33" s="43" t="s">
        <v>137</v>
      </c>
      <c r="B33" s="46" t="e">
        <f>+Historicals!B182</f>
        <v>#DIV/0!</v>
      </c>
      <c r="C33" s="46">
        <f>+Historicals!C182</f>
        <v>-0.12742718446601942</v>
      </c>
      <c r="D33" s="46">
        <f>+Historicals!D182</f>
        <v>-0.10152990264255912</v>
      </c>
      <c r="E33" s="46">
        <f>+Historicals!E182</f>
        <v>-7.8947368421052655E-2</v>
      </c>
      <c r="F33" s="46">
        <f>+Historicals!F182</f>
        <v>3.3613445378151141E-3</v>
      </c>
      <c r="G33" s="46">
        <f>+Historicals!G182</f>
        <v>-0.13567839195979903</v>
      </c>
      <c r="H33" s="46">
        <f>+Historicals!H182</f>
        <v>-1.744186046511631E-2</v>
      </c>
      <c r="I33" s="46">
        <f>+Historicals!I182</f>
        <v>0.25</v>
      </c>
      <c r="J33" s="48">
        <f>J32</f>
        <v>3.499999999999992E-2</v>
      </c>
      <c r="K33" s="48">
        <f t="shared" ref="K33:N33" si="70">K32</f>
        <v>3.499999999999992E-2</v>
      </c>
      <c r="L33" s="48">
        <f t="shared" si="70"/>
        <v>3.499999999999992E-2</v>
      </c>
      <c r="M33" s="48">
        <f t="shared" si="70"/>
        <v>3.499999999999992E-2</v>
      </c>
      <c r="N33" s="48">
        <f t="shared" si="70"/>
        <v>3.499999999999992E-2</v>
      </c>
    </row>
    <row r="34" spans="1:14" x14ac:dyDescent="0.2">
      <c r="A34" s="43" t="s">
        <v>138</v>
      </c>
      <c r="B34" s="46" t="str">
        <f t="shared" ref="B34" si="71">+IFERROR(B32-B33,"nm")</f>
        <v>nm</v>
      </c>
      <c r="C34" s="46">
        <f t="shared" ref="C34" si="72">+IFERROR(C32-C33,"nm")</f>
        <v>0</v>
      </c>
      <c r="D34" s="46">
        <f t="shared" ref="D34" si="73">+IFERROR(D32-D33,"nm")</f>
        <v>0</v>
      </c>
      <c r="E34" s="46">
        <f t="shared" ref="E34" si="74">+IFERROR(E32-E33,"nm")</f>
        <v>0</v>
      </c>
      <c r="F34" s="46">
        <f t="shared" ref="F34" si="75">+IFERROR(F32-F33,"nm")</f>
        <v>0</v>
      </c>
      <c r="G34" s="46">
        <f t="shared" ref="G34" si="76">+IFERROR(G32-G33,"nm")</f>
        <v>0</v>
      </c>
      <c r="H34" s="46">
        <f t="shared" ref="H34" si="77">+IFERROR(H32-H33,"nm")</f>
        <v>0</v>
      </c>
      <c r="I34" s="46">
        <f>+IFERROR(I32-I33,"nm")</f>
        <v>-1.4792899408284654E-3</v>
      </c>
      <c r="J34" s="48">
        <f>0%</f>
        <v>0</v>
      </c>
      <c r="K34" s="48">
        <f>0%</f>
        <v>0</v>
      </c>
      <c r="L34" s="48">
        <f>0%</f>
        <v>0</v>
      </c>
      <c r="M34" s="48">
        <f>0%</f>
        <v>0</v>
      </c>
      <c r="N34" s="48">
        <f>0%</f>
        <v>0</v>
      </c>
    </row>
    <row r="35" spans="1:14" x14ac:dyDescent="0.2">
      <c r="A35" s="9" t="s">
        <v>130</v>
      </c>
      <c r="B35" s="47">
        <f t="shared" ref="B35:H35" si="78">+B42+B38</f>
        <v>3766</v>
      </c>
      <c r="C35" s="47">
        <f t="shared" si="78"/>
        <v>3896</v>
      </c>
      <c r="D35" s="47">
        <f t="shared" si="78"/>
        <v>4015</v>
      </c>
      <c r="E35" s="47">
        <f t="shared" si="78"/>
        <v>3760</v>
      </c>
      <c r="F35" s="47">
        <f t="shared" si="78"/>
        <v>4074</v>
      </c>
      <c r="G35" s="47">
        <f t="shared" si="78"/>
        <v>3047</v>
      </c>
      <c r="H35" s="47">
        <f t="shared" si="78"/>
        <v>5219</v>
      </c>
      <c r="I35" s="47">
        <f>+I42+I38</f>
        <v>5238</v>
      </c>
      <c r="J35" s="47">
        <f>I35*(1+3.5%)</f>
        <v>5421.33</v>
      </c>
      <c r="K35" s="47">
        <f t="shared" ref="K35:N35" si="79">J35*(1+3.5%)</f>
        <v>5611.0765499999998</v>
      </c>
      <c r="L35" s="47">
        <f t="shared" si="79"/>
        <v>5807.4642292499993</v>
      </c>
      <c r="M35" s="47">
        <f t="shared" si="79"/>
        <v>6010.7254772737488</v>
      </c>
      <c r="N35" s="47">
        <f t="shared" si="79"/>
        <v>6221.1008689783293</v>
      </c>
    </row>
    <row r="36" spans="1:14" x14ac:dyDescent="0.2">
      <c r="A36" s="45" t="s">
        <v>129</v>
      </c>
      <c r="B36" s="46" t="str">
        <f t="shared" ref="B36" si="80">+IFERROR(B35/A35-1,"nm")</f>
        <v>nm</v>
      </c>
      <c r="C36" s="46">
        <f t="shared" ref="C36" si="81">+IFERROR(C35/B35-1,"nm")</f>
        <v>3.4519383961763239E-2</v>
      </c>
      <c r="D36" s="46">
        <f t="shared" ref="D36" si="82">+IFERROR(D35/C35-1,"nm")</f>
        <v>3.0544147843942548E-2</v>
      </c>
      <c r="E36" s="46">
        <f t="shared" ref="E36" si="83">+IFERROR(E35/D35-1,"nm")</f>
        <v>-6.3511830635118338E-2</v>
      </c>
      <c r="F36" s="46">
        <f t="shared" ref="F36" si="84">+IFERROR(F35/E35-1,"nm")</f>
        <v>8.3510638297872308E-2</v>
      </c>
      <c r="G36" s="46">
        <f t="shared" ref="G36" si="85">+IFERROR(G35/F35-1,"nm")</f>
        <v>-0.25208640157093765</v>
      </c>
      <c r="H36" s="46">
        <f t="shared" ref="H36" si="86">+IFERROR(H35/G35-1,"nm")</f>
        <v>0.71283229405973092</v>
      </c>
      <c r="I36" s="46">
        <f>+IFERROR(I35/H35-1,"nm")</f>
        <v>3.6405441655489312E-3</v>
      </c>
      <c r="J36" s="46">
        <f>J35/I35-1</f>
        <v>3.499999999999992E-2</v>
      </c>
      <c r="K36" s="46">
        <f>K35/J35-1</f>
        <v>3.499999999999992E-2</v>
      </c>
      <c r="L36" s="46">
        <f t="shared" ref="L36:N36" si="87">L35/K35-1</f>
        <v>3.499999999999992E-2</v>
      </c>
      <c r="M36" s="46">
        <f t="shared" si="87"/>
        <v>3.499999999999992E-2</v>
      </c>
      <c r="N36" s="46">
        <f t="shared" si="87"/>
        <v>3.499999999999992E-2</v>
      </c>
    </row>
    <row r="37" spans="1:14" x14ac:dyDescent="0.2">
      <c r="A37" s="45" t="s">
        <v>131</v>
      </c>
      <c r="B37" s="46">
        <f t="shared" ref="B37:H37" si="88">+IFERROR(B35/B$21,"nm")</f>
        <v>0.27409024745269289</v>
      </c>
      <c r="C37" s="46">
        <f t="shared" si="88"/>
        <v>0.26388512598211866</v>
      </c>
      <c r="D37" s="46">
        <f t="shared" si="88"/>
        <v>0.26386698212407994</v>
      </c>
      <c r="E37" s="46">
        <f t="shared" si="88"/>
        <v>0.25311342982160889</v>
      </c>
      <c r="F37" s="46">
        <f t="shared" si="88"/>
        <v>0.25619418941013711</v>
      </c>
      <c r="G37" s="46">
        <f t="shared" si="88"/>
        <v>0.2103700635183651</v>
      </c>
      <c r="H37" s="46">
        <f t="shared" si="88"/>
        <v>0.30380115256999823</v>
      </c>
      <c r="I37" s="46">
        <f>+IFERROR(I35/I$21,"nm")</f>
        <v>0.28540293140086087</v>
      </c>
      <c r="J37" s="48">
        <f>J35/J21</f>
        <v>0.28540293140086087</v>
      </c>
      <c r="K37" s="48">
        <f t="shared" ref="K37:N37" si="89">K35/K21</f>
        <v>0.28540293140086093</v>
      </c>
      <c r="L37" s="48">
        <f t="shared" si="89"/>
        <v>0.28540293140086093</v>
      </c>
      <c r="M37" s="48">
        <f t="shared" si="89"/>
        <v>0.28540293140086098</v>
      </c>
      <c r="N37" s="48">
        <f t="shared" si="89"/>
        <v>0.28540293140086093</v>
      </c>
    </row>
    <row r="38" spans="1:14" x14ac:dyDescent="0.2">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7">
        <f>I38*(1+2%)</f>
        <v>126.48</v>
      </c>
      <c r="K38" s="47">
        <f t="shared" ref="K38:N38" si="90">J38*(1+2.5%)</f>
        <v>129.642</v>
      </c>
      <c r="L38" s="47">
        <f t="shared" si="90"/>
        <v>132.88305</v>
      </c>
      <c r="M38" s="47">
        <f t="shared" si="90"/>
        <v>136.20512624999998</v>
      </c>
      <c r="N38" s="47">
        <f t="shared" si="90"/>
        <v>139.61025440624996</v>
      </c>
    </row>
    <row r="39" spans="1:14" x14ac:dyDescent="0.2">
      <c r="A39" s="45" t="s">
        <v>129</v>
      </c>
      <c r="B39" s="46" t="str">
        <f t="shared" ref="B39" si="91">+IFERROR(B38/A38-1,"nm")</f>
        <v>nm</v>
      </c>
      <c r="C39" s="46">
        <f t="shared" ref="C39" si="92">+IFERROR(C38/B38-1,"nm")</f>
        <v>9.9173553719008156E-2</v>
      </c>
      <c r="D39" s="46">
        <f t="shared" ref="D39" si="93">+IFERROR(D38/C38-1,"nm")</f>
        <v>5.2631578947368363E-2</v>
      </c>
      <c r="E39" s="46">
        <f t="shared" ref="E39" si="94">+IFERROR(E38/D38-1,"nm")</f>
        <v>0.14285714285714279</v>
      </c>
      <c r="F39" s="46">
        <f t="shared" ref="F39" si="95">+IFERROR(F38/E38-1,"nm")</f>
        <v>-6.8749999999999978E-2</v>
      </c>
      <c r="G39" s="46">
        <f t="shared" ref="G39" si="96">+IFERROR(G38/F38-1,"nm")</f>
        <v>-6.7114093959731447E-3</v>
      </c>
      <c r="H39" s="46">
        <f t="shared" ref="H39" si="97">+IFERROR(H38/G38-1,"nm")</f>
        <v>-0.1216216216216216</v>
      </c>
      <c r="I39" s="46">
        <f>+IFERROR(I38/H38-1,"nm")</f>
        <v>-4.6153846153846101E-2</v>
      </c>
      <c r="J39" s="46">
        <f>J38/I38-1</f>
        <v>2.0000000000000018E-2</v>
      </c>
      <c r="K39" s="46">
        <f t="shared" ref="K39:N39" si="98">K38/J38-1</f>
        <v>2.4999999999999911E-2</v>
      </c>
      <c r="L39" s="46">
        <f t="shared" si="98"/>
        <v>2.4999999999999911E-2</v>
      </c>
      <c r="M39" s="46">
        <f t="shared" si="98"/>
        <v>2.4999999999999911E-2</v>
      </c>
      <c r="N39" s="46">
        <f t="shared" si="98"/>
        <v>2.4999999999999911E-2</v>
      </c>
    </row>
    <row r="40" spans="1:14" x14ac:dyDescent="0.2">
      <c r="A40" s="45" t="s">
        <v>133</v>
      </c>
      <c r="B40" s="46">
        <f t="shared" ref="B40:H40" si="99">+IFERROR(B38/B$21,"nm")</f>
        <v>8.8064046579330417E-3</v>
      </c>
      <c r="C40" s="46">
        <f t="shared" si="99"/>
        <v>9.0083988079111346E-3</v>
      </c>
      <c r="D40" s="46">
        <f t="shared" si="99"/>
        <v>9.2008412197686646E-3</v>
      </c>
      <c r="E40" s="46">
        <f t="shared" si="99"/>
        <v>1.0770784247728038E-2</v>
      </c>
      <c r="F40" s="46">
        <f t="shared" si="99"/>
        <v>9.3698905798012821E-3</v>
      </c>
      <c r="G40" s="46">
        <f t="shared" si="99"/>
        <v>1.0218171775752554E-2</v>
      </c>
      <c r="H40" s="46">
        <f t="shared" si="99"/>
        <v>7.5673787764130628E-3</v>
      </c>
      <c r="I40" s="46">
        <f>+IFERROR(I38/I$21,"nm")</f>
        <v>6.7563886013185855E-3</v>
      </c>
      <c r="J40" s="46">
        <f>J38/J21</f>
        <v>6.658469925937157E-3</v>
      </c>
      <c r="K40" s="46">
        <f t="shared" ref="K40:N40" si="100">K38/K21</f>
        <v>6.5941368831744793E-3</v>
      </c>
      <c r="L40" s="46">
        <f t="shared" si="100"/>
        <v>6.5304254157041962E-3</v>
      </c>
      <c r="M40" s="46">
        <f t="shared" si="100"/>
        <v>6.4673295179679237E-3</v>
      </c>
      <c r="N40" s="46">
        <f t="shared" si="100"/>
        <v>6.404843242432001E-3</v>
      </c>
    </row>
    <row r="41" spans="1:14" x14ac:dyDescent="0.2">
      <c r="A41" s="45" t="s">
        <v>140</v>
      </c>
      <c r="B41" s="46">
        <f t="shared" ref="B41:H41" si="101">+IFERROR(B38/B48,"nm")</f>
        <v>0.19145569620253164</v>
      </c>
      <c r="C41" s="46">
        <f t="shared" si="101"/>
        <v>0.17924528301886791</v>
      </c>
      <c r="D41" s="46">
        <f t="shared" si="101"/>
        <v>0.17094017094017094</v>
      </c>
      <c r="E41" s="46">
        <f t="shared" si="101"/>
        <v>0.18867924528301888</v>
      </c>
      <c r="F41" s="46">
        <f t="shared" si="101"/>
        <v>0.18304668304668303</v>
      </c>
      <c r="G41" s="46">
        <f t="shared" si="101"/>
        <v>0.22945736434108527</v>
      </c>
      <c r="H41" s="46">
        <f t="shared" si="101"/>
        <v>0.21069692058346839</v>
      </c>
      <c r="I41" s="46">
        <f>+IFERROR(I38/I48,"nm")</f>
        <v>0.19405320813771518</v>
      </c>
      <c r="J41" s="48">
        <f>J38/J48</f>
        <v>0.18941078689040142</v>
      </c>
      <c r="K41" s="48">
        <f t="shared" ref="K41:N41" si="102">K38/K48</f>
        <v>0.18578570005996312</v>
      </c>
      <c r="L41" s="48">
        <f t="shared" si="102"/>
        <v>0.18222999288178204</v>
      </c>
      <c r="M41" s="48">
        <f t="shared" si="102"/>
        <v>0.17874233751562352</v>
      </c>
      <c r="N41" s="48">
        <f t="shared" si="102"/>
        <v>0.17532143153446328</v>
      </c>
    </row>
    <row r="42" spans="1:14" x14ac:dyDescent="0.2">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I42*(1+4%)</f>
        <v>5318.56</v>
      </c>
      <c r="K42" s="9">
        <f t="shared" ref="K42:N42" si="103">J42*(1+4%)</f>
        <v>5531.3024000000005</v>
      </c>
      <c r="L42" s="9">
        <f t="shared" si="103"/>
        <v>5752.5544960000007</v>
      </c>
      <c r="M42" s="9">
        <f t="shared" si="103"/>
        <v>5982.6566758400013</v>
      </c>
      <c r="N42" s="9">
        <f t="shared" si="103"/>
        <v>6221.9629428736016</v>
      </c>
    </row>
    <row r="43" spans="1:14" x14ac:dyDescent="0.2">
      <c r="A43" s="45" t="s">
        <v>129</v>
      </c>
      <c r="B43" s="46" t="str">
        <f t="shared" ref="B43" si="104">+IFERROR(B42/A42-1,"nm")</f>
        <v>nm</v>
      </c>
      <c r="C43" s="46">
        <f t="shared" ref="C43" si="105">+IFERROR(C42/B42-1,"nm")</f>
        <v>3.2373113854595292E-2</v>
      </c>
      <c r="D43" s="46">
        <f t="shared" ref="D43" si="106">+IFERROR(D42/C42-1,"nm")</f>
        <v>2.9763486579856391E-2</v>
      </c>
      <c r="E43" s="46">
        <f t="shared" ref="E43" si="107">+IFERROR(E42/D42-1,"nm")</f>
        <v>-7.096774193548383E-2</v>
      </c>
      <c r="F43" s="46">
        <f t="shared" ref="F43" si="108">+IFERROR(F42/E42-1,"nm")</f>
        <v>9.0277777777777679E-2</v>
      </c>
      <c r="G43" s="46">
        <f t="shared" ref="G43" si="109">+IFERROR(G42/F42-1,"nm")</f>
        <v>-0.26140127388535028</v>
      </c>
      <c r="H43" s="46">
        <f t="shared" ref="H43" si="110">+IFERROR(H42/G42-1,"nm")</f>
        <v>0.75543290789927564</v>
      </c>
      <c r="I43" s="46">
        <f>+IFERROR(I42/H42-1,"nm")</f>
        <v>4.9125564943997002E-3</v>
      </c>
      <c r="J43" s="46">
        <f>J42/I42-1</f>
        <v>4.0000000000000036E-2</v>
      </c>
      <c r="K43" s="46">
        <f t="shared" ref="K43:N43" si="111">K42/J42-1</f>
        <v>4.0000000000000036E-2</v>
      </c>
      <c r="L43" s="46">
        <f t="shared" si="111"/>
        <v>4.0000000000000036E-2</v>
      </c>
      <c r="M43" s="46">
        <f t="shared" si="111"/>
        <v>4.0000000000000036E-2</v>
      </c>
      <c r="N43" s="46">
        <f t="shared" si="111"/>
        <v>4.0000000000000036E-2</v>
      </c>
    </row>
    <row r="44" spans="1:14" x14ac:dyDescent="0.2">
      <c r="A44" s="45" t="s">
        <v>131</v>
      </c>
      <c r="B44" s="46">
        <f t="shared" ref="B44:H44" si="112">+IFERROR(B42/B$21,"nm")</f>
        <v>0.26528384279475981</v>
      </c>
      <c r="C44" s="46">
        <f t="shared" si="112"/>
        <v>0.25487672717420751</v>
      </c>
      <c r="D44" s="46">
        <f t="shared" si="112"/>
        <v>0.25466614090431128</v>
      </c>
      <c r="E44" s="46">
        <f t="shared" si="112"/>
        <v>0.24234264557388085</v>
      </c>
      <c r="F44" s="46">
        <f t="shared" si="112"/>
        <v>0.2468242988303358</v>
      </c>
      <c r="G44" s="46">
        <f t="shared" si="112"/>
        <v>0.20015189174261253</v>
      </c>
      <c r="H44" s="46">
        <f t="shared" si="112"/>
        <v>0.29623377379358518</v>
      </c>
      <c r="I44" s="46">
        <f>+IFERROR(I42/I$21,"nm")</f>
        <v>0.27864654279954232</v>
      </c>
      <c r="J44" s="46">
        <f>J42/J21</f>
        <v>0.27999266136379131</v>
      </c>
      <c r="K44" s="46">
        <f t="shared" ref="K44:N44" si="113">K42/K21</f>
        <v>0.28134528291627348</v>
      </c>
      <c r="L44" s="46">
        <f t="shared" si="113"/>
        <v>0.28270443887239077</v>
      </c>
      <c r="M44" s="46">
        <f t="shared" si="113"/>
        <v>0.28407016079931058</v>
      </c>
      <c r="N44" s="46">
        <f t="shared" si="113"/>
        <v>0.28544248041669862</v>
      </c>
    </row>
    <row r="45" spans="1:14" x14ac:dyDescent="0.2">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7">
        <f>I45*(1+4.5%)</f>
        <v>152.57</v>
      </c>
      <c r="K45" s="47">
        <f t="shared" ref="K45:N45" si="114">J45*(1+4.5%)</f>
        <v>159.43564999999998</v>
      </c>
      <c r="L45" s="47">
        <f t="shared" si="114"/>
        <v>166.61025424999997</v>
      </c>
      <c r="M45" s="47">
        <f t="shared" si="114"/>
        <v>174.10771569124995</v>
      </c>
      <c r="N45" s="47">
        <f t="shared" si="114"/>
        <v>181.9425628973562</v>
      </c>
    </row>
    <row r="46" spans="1:14" x14ac:dyDescent="0.2">
      <c r="A46" s="45" t="s">
        <v>129</v>
      </c>
      <c r="B46" s="46" t="str">
        <f t="shared" ref="B46" si="115">+IFERROR(B45/A45-1,"nm")</f>
        <v>nm</v>
      </c>
      <c r="C46" s="46">
        <f t="shared" ref="C46" si="116">+IFERROR(C45/B45-1,"nm")</f>
        <v>0.16346153846153855</v>
      </c>
      <c r="D46" s="46">
        <f t="shared" ref="D46" si="117">+IFERROR(D45/C45-1,"nm")</f>
        <v>-7.8512396694214837E-2</v>
      </c>
      <c r="E46" s="46">
        <f t="shared" ref="E46" si="118">+IFERROR(E45/D45-1,"nm")</f>
        <v>-0.12107623318385652</v>
      </c>
      <c r="F46" s="46">
        <f t="shared" ref="F46" si="119">+IFERROR(F45/E45-1,"nm")</f>
        <v>-0.40306122448979587</v>
      </c>
      <c r="G46" s="46">
        <f t="shared" ref="G46" si="120">+IFERROR(G45/F45-1,"nm")</f>
        <v>-5.9829059829059839E-2</v>
      </c>
      <c r="H46" s="46">
        <f t="shared" ref="H46" si="121">+IFERROR(H45/G45-1,"nm")</f>
        <v>-0.10909090909090913</v>
      </c>
      <c r="I46" s="46">
        <f>+IFERROR(I45/H45-1,"nm")</f>
        <v>0.48979591836734704</v>
      </c>
      <c r="J46" s="46">
        <f>J45/I45-1</f>
        <v>4.4999999999999929E-2</v>
      </c>
      <c r="K46" s="46">
        <f t="shared" ref="K46:N46" si="122">K45/J45-1</f>
        <v>4.4999999999999929E-2</v>
      </c>
      <c r="L46" s="46">
        <f t="shared" si="122"/>
        <v>4.4999999999999929E-2</v>
      </c>
      <c r="M46" s="46">
        <f t="shared" si="122"/>
        <v>4.4999999999999929E-2</v>
      </c>
      <c r="N46" s="46">
        <f t="shared" si="122"/>
        <v>4.4999999999999929E-2</v>
      </c>
    </row>
    <row r="47" spans="1:14" x14ac:dyDescent="0.2">
      <c r="A47" s="45" t="s">
        <v>133</v>
      </c>
      <c r="B47" s="46">
        <f t="shared" ref="B47:H47" si="123">+IFERROR(B45/B$21,"nm")</f>
        <v>1.5138282387190683E-2</v>
      </c>
      <c r="C47" s="46">
        <f t="shared" si="123"/>
        <v>1.6391221891086428E-2</v>
      </c>
      <c r="D47" s="46">
        <f t="shared" si="123"/>
        <v>1.4655625657202945E-2</v>
      </c>
      <c r="E47" s="46">
        <f t="shared" si="123"/>
        <v>1.3194210703466847E-2</v>
      </c>
      <c r="F47" s="46">
        <f t="shared" si="123"/>
        <v>7.3575650861526856E-3</v>
      </c>
      <c r="G47" s="46">
        <f t="shared" si="123"/>
        <v>7.5945871306268989E-3</v>
      </c>
      <c r="H47" s="46">
        <f t="shared" si="123"/>
        <v>5.7046393852960009E-3</v>
      </c>
      <c r="I47" s="46">
        <f>+IFERROR(I45/I$21,"nm")</f>
        <v>7.9551027080041418E-3</v>
      </c>
      <c r="J47" s="48">
        <f>J45/J21</f>
        <v>8.0319636037336495E-3</v>
      </c>
      <c r="K47" s="48">
        <f t="shared" ref="K47:N47" si="124">K45/K21</f>
        <v>8.1095671168132013E-3</v>
      </c>
      <c r="L47" s="48">
        <f t="shared" si="124"/>
        <v>8.1879204222896594E-3</v>
      </c>
      <c r="M47" s="48">
        <f t="shared" si="124"/>
        <v>8.2670307645340037E-3</v>
      </c>
      <c r="N47" s="48">
        <f t="shared" si="124"/>
        <v>8.3469054579111447E-3</v>
      </c>
    </row>
    <row r="48" spans="1:14" x14ac:dyDescent="0.2">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7">
        <f>I48*(1+4.5%)</f>
        <v>667.755</v>
      </c>
      <c r="K48" s="47">
        <f t="shared" ref="K48:N48" si="125">J48*(1+4.5%)</f>
        <v>697.80397499999992</v>
      </c>
      <c r="L48" s="47">
        <f t="shared" si="125"/>
        <v>729.20515387499984</v>
      </c>
      <c r="M48" s="47">
        <f t="shared" si="125"/>
        <v>762.01938579937473</v>
      </c>
      <c r="N48" s="47">
        <f t="shared" si="125"/>
        <v>796.31025816034651</v>
      </c>
    </row>
    <row r="49" spans="1:14" x14ac:dyDescent="0.2">
      <c r="A49" s="45" t="s">
        <v>129</v>
      </c>
      <c r="B49" s="46" t="str">
        <f t="shared" ref="B49" si="126">+IFERROR(B48/A48-1,"nm")</f>
        <v>nm</v>
      </c>
      <c r="C49" s="46">
        <f t="shared" ref="C49" si="127">+IFERROR(C48/B48-1,"nm")</f>
        <v>0.17405063291139244</v>
      </c>
      <c r="D49" s="46">
        <f t="shared" ref="D49" si="128">+IFERROR(D48/C48-1,"nm")</f>
        <v>0.10377358490566047</v>
      </c>
      <c r="E49" s="46">
        <f t="shared" ref="E49" si="129">+IFERROR(E48/D48-1,"nm")</f>
        <v>3.5409035409035505E-2</v>
      </c>
      <c r="F49" s="46">
        <f t="shared" ref="F49" si="130">+IFERROR(F48/E48-1,"nm")</f>
        <v>-4.0094339622641528E-2</v>
      </c>
      <c r="G49" s="46">
        <f t="shared" ref="G49" si="131">+IFERROR(G48/F48-1,"nm")</f>
        <v>-0.20761670761670759</v>
      </c>
      <c r="H49" s="46">
        <f t="shared" ref="H49" si="132">+IFERROR(H48/G48-1,"nm")</f>
        <v>-4.3410852713178349E-2</v>
      </c>
      <c r="I49" s="46">
        <f>+IFERROR(I48/H48-1,"nm")</f>
        <v>3.5656401944894611E-2</v>
      </c>
      <c r="J49" s="46">
        <f>J48/I48-1</f>
        <v>4.4999999999999929E-2</v>
      </c>
      <c r="K49" s="46">
        <f t="shared" ref="K49:N49" si="133">K48/J48-1</f>
        <v>4.4999999999999929E-2</v>
      </c>
      <c r="L49" s="46">
        <f t="shared" si="133"/>
        <v>4.4999999999999929E-2</v>
      </c>
      <c r="M49" s="46">
        <f t="shared" si="133"/>
        <v>4.4999999999999929E-2</v>
      </c>
      <c r="N49" s="46">
        <f t="shared" si="133"/>
        <v>4.4999999999999929E-2</v>
      </c>
    </row>
    <row r="50" spans="1:14" x14ac:dyDescent="0.2">
      <c r="A50" s="45" t="s">
        <v>133</v>
      </c>
      <c r="B50" s="46">
        <f t="shared" ref="B50:H50" si="134">+IFERROR(B48/B$21,"nm")</f>
        <v>4.599708879184862E-2</v>
      </c>
      <c r="C50" s="46">
        <f t="shared" si="134"/>
        <v>5.0257382823083174E-2</v>
      </c>
      <c r="D50" s="46">
        <f t="shared" si="134"/>
        <v>5.3824921135646686E-2</v>
      </c>
      <c r="E50" s="46">
        <f t="shared" si="134"/>
        <v>5.7085156512958597E-2</v>
      </c>
      <c r="F50" s="46">
        <f t="shared" si="134"/>
        <v>5.1188529744686205E-2</v>
      </c>
      <c r="G50" s="46">
        <f t="shared" si="134"/>
        <v>4.4531897265948632E-2</v>
      </c>
      <c r="H50" s="46">
        <f t="shared" si="134"/>
        <v>3.5915943884975841E-2</v>
      </c>
      <c r="I50" s="46">
        <f>+IFERROR(I48/I$21,"nm")</f>
        <v>3.4817196098730456E-2</v>
      </c>
      <c r="J50" s="48">
        <f>J48/J21</f>
        <v>3.5153594128669877E-2</v>
      </c>
      <c r="K50" s="48">
        <f t="shared" ref="K50" si="135">K48/K21</f>
        <v>3.5493242381120796E-2</v>
      </c>
      <c r="L50" s="73">
        <f>3.5%</f>
        <v>3.5000000000000003E-2</v>
      </c>
      <c r="M50" s="48">
        <f>3.5%</f>
        <v>3.5000000000000003E-2</v>
      </c>
      <c r="N50" s="48">
        <f>3.5%</f>
        <v>3.5000000000000003E-2</v>
      </c>
    </row>
    <row r="51" spans="1:14" x14ac:dyDescent="0.2">
      <c r="A51" s="42" t="str">
        <f>+Historicals!A111</f>
        <v>Europe, Middle East &amp; Africa</v>
      </c>
      <c r="B51" s="42"/>
      <c r="C51" s="42"/>
      <c r="D51" s="42"/>
      <c r="E51" s="42"/>
      <c r="F51" s="42"/>
      <c r="G51" s="42"/>
      <c r="H51" s="42"/>
      <c r="I51" s="42"/>
      <c r="J51" s="38"/>
      <c r="K51" s="38"/>
      <c r="L51" s="38"/>
      <c r="M51" s="38"/>
      <c r="N51" s="38"/>
    </row>
    <row r="59" spans="1:14" x14ac:dyDescent="0.2">
      <c r="G59" s="59"/>
    </row>
  </sheetData>
  <mergeCells count="1">
    <mergeCell ref="O2:AE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workbookViewId="0">
      <selection activeCell="B3" sqref="B3:I70"/>
    </sheetView>
  </sheetViews>
  <sheetFormatPr baseColWidth="10" defaultColWidth="8.83203125" defaultRowHeight="15" x14ac:dyDescent="0.2"/>
  <cols>
    <col min="1" max="1" width="48.83203125" customWidth="1"/>
    <col min="2" max="9" width="11.83203125" customWidth="1"/>
    <col min="10" max="14" width="11.83203125" hidden="1" customWidth="1"/>
    <col min="15" max="15" width="39.832031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+J1+1</f>
        <v>2024</v>
      </c>
      <c r="L1" s="38">
        <f>+K1+1</f>
        <v>2025</v>
      </c>
      <c r="M1" s="38">
        <f>+L1+1</f>
        <v>2026</v>
      </c>
      <c r="N1" s="38">
        <f>+M1+1</f>
        <v>2027</v>
      </c>
    </row>
    <row r="2" spans="1:15" x14ac:dyDescent="0.2">
      <c r="A2" s="39" t="s">
        <v>150</v>
      </c>
      <c r="B2" s="39"/>
      <c r="C2" s="39"/>
      <c r="D2" s="39"/>
      <c r="E2" s="39"/>
      <c r="F2" s="39"/>
      <c r="G2" s="39"/>
      <c r="H2" s="39"/>
      <c r="I2" s="39"/>
      <c r="J2" s="38"/>
      <c r="K2" s="38"/>
      <c r="L2" s="38"/>
      <c r="M2" s="38"/>
      <c r="N2" s="38"/>
    </row>
    <row r="3" spans="1:15" x14ac:dyDescent="0.2">
      <c r="A3" s="1" t="s">
        <v>136</v>
      </c>
      <c r="B3" s="9">
        <f>'[3]Segmental forecast'!B3</f>
        <v>30601</v>
      </c>
      <c r="C3" s="9">
        <f>'[3]Segmental forecast'!C3</f>
        <v>32376</v>
      </c>
      <c r="D3" s="9">
        <f>'[3]Segmental forecast'!D3</f>
        <v>34350</v>
      </c>
      <c r="E3" s="9">
        <f>'[3]Segmental forecast'!E3</f>
        <v>36397</v>
      </c>
      <c r="F3" s="9">
        <f>'[3]Segmental forecast'!F3</f>
        <v>39117</v>
      </c>
      <c r="G3" s="9">
        <f>'[3]Segmental forecast'!G3</f>
        <v>37403</v>
      </c>
      <c r="H3" s="9">
        <f>'[3]Segmental forecast'!H3</f>
        <v>44538</v>
      </c>
      <c r="I3" s="9">
        <f>'[3]Segmental forecast'!I3</f>
        <v>46710</v>
      </c>
      <c r="J3" s="9"/>
      <c r="K3" s="9"/>
      <c r="L3" s="9"/>
      <c r="M3" s="9"/>
      <c r="N3" s="9"/>
      <c r="O3" t="s">
        <v>151</v>
      </c>
    </row>
    <row r="4" spans="1:15" x14ac:dyDescent="0.2">
      <c r="A4" s="41" t="s">
        <v>129</v>
      </c>
      <c r="B4" s="49">
        <f>'[3]Segmental forecast'!B4</f>
        <v>0.17191329656862742</v>
      </c>
      <c r="C4" s="49">
        <f>'[3]Segmental forecast'!C4</f>
        <v>5.8004640371229765E-2</v>
      </c>
      <c r="D4" s="49">
        <f>'[3]Segmental forecast'!D4</f>
        <v>6.0971089696071123E-2</v>
      </c>
      <c r="E4" s="49">
        <f>'[3]Segmental forecast'!E4</f>
        <v>5.95924308588065E-2</v>
      </c>
      <c r="F4" s="49">
        <f>'[3]Segmental forecast'!F4</f>
        <v>7.4731433909388079E-2</v>
      </c>
      <c r="G4" s="49">
        <f>'[3]Segmental forecast'!G4</f>
        <v>-4.3817266150267153E-2</v>
      </c>
      <c r="H4" s="49">
        <f>'[3]Segmental forecast'!H4</f>
        <v>0.19076009945726269</v>
      </c>
      <c r="I4" s="49">
        <f>'[3]Segmental forecast'!I4</f>
        <v>4.8767344739323759E-2</v>
      </c>
      <c r="J4" s="49"/>
      <c r="K4" s="49"/>
      <c r="L4" s="49"/>
      <c r="M4" s="49"/>
      <c r="N4" s="49"/>
    </row>
    <row r="5" spans="1:15" x14ac:dyDescent="0.2">
      <c r="A5" s="1" t="s">
        <v>152</v>
      </c>
      <c r="B5" s="9">
        <f>'[3]Segmental forecast'!B5</f>
        <v>5423</v>
      </c>
      <c r="C5" s="9">
        <f>'[3]Segmental forecast'!C5</f>
        <v>5977</v>
      </c>
      <c r="D5" s="9">
        <f>'[3]Segmental forecast'!D5</f>
        <v>5898</v>
      </c>
      <c r="E5" s="9">
        <f>'[3]Segmental forecast'!E5</f>
        <v>6272</v>
      </c>
      <c r="F5" s="9">
        <f>'[3]Segmental forecast'!F5</f>
        <v>7062</v>
      </c>
      <c r="G5" s="9">
        <f>'[3]Segmental forecast'!G5</f>
        <v>5367</v>
      </c>
      <c r="H5" s="9">
        <f>'[3]Segmental forecast'!H5</f>
        <v>9385</v>
      </c>
      <c r="I5" s="9">
        <f>'[3]Segmental forecast'!I5</f>
        <v>9123</v>
      </c>
      <c r="J5" s="9"/>
      <c r="K5" s="9"/>
      <c r="L5" s="9"/>
      <c r="M5" s="9"/>
      <c r="N5" s="9"/>
    </row>
    <row r="6" spans="1:15" x14ac:dyDescent="0.2">
      <c r="A6" s="50" t="s">
        <v>132</v>
      </c>
      <c r="B6" s="51">
        <f>'[3]Segmental forecast'!B8</f>
        <v>606</v>
      </c>
      <c r="C6" s="51">
        <f>'[3]Segmental forecast'!C8</f>
        <v>649</v>
      </c>
      <c r="D6" s="51">
        <f>'[3]Segmental forecast'!D8</f>
        <v>706</v>
      </c>
      <c r="E6" s="51">
        <f>'[3]Segmental forecast'!E8</f>
        <v>747</v>
      </c>
      <c r="F6" s="51">
        <f>'[3]Segmental forecast'!F8</f>
        <v>705</v>
      </c>
      <c r="G6" s="51">
        <f>'[3]Segmental forecast'!G8</f>
        <v>721</v>
      </c>
      <c r="H6" s="51">
        <f>'[3]Segmental forecast'!H8</f>
        <v>744</v>
      </c>
      <c r="I6" s="51">
        <f>'[3]Segmental forecast'!I8</f>
        <v>717</v>
      </c>
      <c r="J6" s="51"/>
      <c r="K6" s="51"/>
      <c r="L6" s="51"/>
      <c r="M6" s="51"/>
      <c r="N6" s="51"/>
    </row>
    <row r="7" spans="1:15" x14ac:dyDescent="0.2">
      <c r="A7" s="4" t="s">
        <v>134</v>
      </c>
      <c r="B7" s="5">
        <f>'[3]Segmental forecast'!B11</f>
        <v>4817</v>
      </c>
      <c r="C7" s="5">
        <f>'[3]Segmental forecast'!C11</f>
        <v>5328</v>
      </c>
      <c r="D7" s="5">
        <f>'[3]Segmental forecast'!D11</f>
        <v>5192</v>
      </c>
      <c r="E7" s="5">
        <f>'[3]Segmental forecast'!E11</f>
        <v>5525</v>
      </c>
      <c r="F7" s="5">
        <f>'[3]Segmental forecast'!F11</f>
        <v>6357</v>
      </c>
      <c r="G7" s="5">
        <f>'[3]Segmental forecast'!G11</f>
        <v>4646</v>
      </c>
      <c r="H7" s="5">
        <f>'[3]Segmental forecast'!H11</f>
        <v>8641</v>
      </c>
      <c r="I7" s="5">
        <f>'[3]Segmental forecast'!I11</f>
        <v>8406</v>
      </c>
      <c r="J7" s="5"/>
      <c r="K7" s="5"/>
      <c r="L7" s="5"/>
      <c r="M7" s="5"/>
      <c r="N7" s="5"/>
    </row>
    <row r="8" spans="1:15" x14ac:dyDescent="0.2">
      <c r="A8" s="41" t="s">
        <v>129</v>
      </c>
      <c r="B8" s="49">
        <f>'[3]Segmental forecast'!B9</f>
        <v>3.4129692832764569E-2</v>
      </c>
      <c r="C8" s="49">
        <f>'[3]Segmental forecast'!C9</f>
        <v>7.0957095709570872E-2</v>
      </c>
      <c r="D8" s="49">
        <f>'[3]Segmental forecast'!D9</f>
        <v>8.7827426810477727E-2</v>
      </c>
      <c r="E8" s="49">
        <f>'[3]Segmental forecast'!E9</f>
        <v>5.8073654390934815E-2</v>
      </c>
      <c r="F8" s="49">
        <f>'[3]Segmental forecast'!F9</f>
        <v>-5.6224899598393607E-2</v>
      </c>
      <c r="G8" s="49">
        <f>'[3]Segmental forecast'!G9</f>
        <v>2.2695035460992941E-2</v>
      </c>
      <c r="H8" s="49">
        <f>'[3]Segmental forecast'!H9</f>
        <v>3.1900138696255187E-2</v>
      </c>
      <c r="I8" s="49">
        <f>'[3]Segmental forecast'!I9</f>
        <v>-3.6290322580645129E-2</v>
      </c>
      <c r="J8" s="49"/>
      <c r="K8" s="49"/>
      <c r="L8" s="49"/>
      <c r="M8" s="49"/>
      <c r="N8" s="49"/>
    </row>
    <row r="9" spans="1:15" x14ac:dyDescent="0.2">
      <c r="A9" s="41" t="s">
        <v>131</v>
      </c>
      <c r="B9" s="49">
        <f>'[3]Segmental forecast'!B10</f>
        <v>1.9803274402797295E-2</v>
      </c>
      <c r="C9" s="49">
        <f>'[3]Segmental forecast'!C10</f>
        <v>2.0045712873733631E-2</v>
      </c>
      <c r="D9" s="49">
        <f>'[3]Segmental forecast'!D10</f>
        <v>2.0553129548762736E-2</v>
      </c>
      <c r="E9" s="49">
        <f>'[3]Segmental forecast'!E10</f>
        <v>2.0523669533203285E-2</v>
      </c>
      <c r="F9" s="49">
        <f>'[3]Segmental forecast'!F10</f>
        <v>1.8022854513382928E-2</v>
      </c>
      <c r="G9" s="49">
        <f>'[3]Segmental forecast'!G10</f>
        <v>1.9276528620698875E-2</v>
      </c>
      <c r="H9" s="49">
        <f>'[3]Segmental forecast'!H10</f>
        <v>1.6704836319547355E-2</v>
      </c>
      <c r="I9" s="49">
        <f>'[3]Segmental forecast'!I10</f>
        <v>1.5350032113037893E-2</v>
      </c>
      <c r="J9" s="49"/>
      <c r="K9" s="49"/>
      <c r="L9" s="49"/>
      <c r="M9" s="49"/>
      <c r="N9" s="49"/>
    </row>
    <row r="10" spans="1:15" x14ac:dyDescent="0.2">
      <c r="A10" s="2" t="s">
        <v>24</v>
      </c>
      <c r="B10" s="3">
        <f>[3]Historicals!B8</f>
        <v>28</v>
      </c>
      <c r="C10" s="3">
        <f>[3]Historicals!C8</f>
        <v>19</v>
      </c>
      <c r="D10" s="3">
        <f>[3]Historicals!D8</f>
        <v>59</v>
      </c>
      <c r="E10" s="3">
        <f>[3]Historicals!E8</f>
        <v>54</v>
      </c>
      <c r="F10" s="3">
        <f>[3]Historicals!F8</f>
        <v>49</v>
      </c>
      <c r="G10" s="3">
        <f>[3]Historicals!G8</f>
        <v>89</v>
      </c>
      <c r="H10" s="3">
        <f>[3]Historicals!H8</f>
        <v>262</v>
      </c>
      <c r="I10" s="3">
        <f>[3]Historicals!I8</f>
        <v>205</v>
      </c>
      <c r="J10" s="3"/>
      <c r="K10" s="3"/>
      <c r="L10" s="3"/>
      <c r="M10" s="3"/>
      <c r="N10" s="3"/>
    </row>
    <row r="11" spans="1:15" x14ac:dyDescent="0.2">
      <c r="A11" s="4" t="s">
        <v>153</v>
      </c>
      <c r="B11" s="5">
        <f>B7+B10</f>
        <v>4845</v>
      </c>
      <c r="C11" s="5">
        <f t="shared" ref="C11:I11" si="1">C7+C10</f>
        <v>5347</v>
      </c>
      <c r="D11" s="5">
        <f t="shared" si="1"/>
        <v>5251</v>
      </c>
      <c r="E11" s="5">
        <f t="shared" si="1"/>
        <v>5579</v>
      </c>
      <c r="F11" s="5">
        <f t="shared" si="1"/>
        <v>6406</v>
      </c>
      <c r="G11" s="5">
        <f t="shared" si="1"/>
        <v>4735</v>
      </c>
      <c r="H11" s="5">
        <f t="shared" si="1"/>
        <v>8903</v>
      </c>
      <c r="I11" s="5">
        <f t="shared" si="1"/>
        <v>8611</v>
      </c>
      <c r="J11" s="5"/>
      <c r="K11" s="5"/>
      <c r="L11" s="5"/>
      <c r="M11" s="5"/>
      <c r="N11" s="5"/>
    </row>
    <row r="12" spans="1:15" x14ac:dyDescent="0.2">
      <c r="A12" t="s">
        <v>26</v>
      </c>
      <c r="B12" s="3">
        <f>[3]Historicals!B11</f>
        <v>932</v>
      </c>
      <c r="C12" s="3">
        <f>[3]Historicals!C11</f>
        <v>863</v>
      </c>
      <c r="D12" s="3">
        <f>[3]Historicals!D11</f>
        <v>646</v>
      </c>
      <c r="E12" s="3">
        <f>[3]Historicals!E11</f>
        <v>2392</v>
      </c>
      <c r="F12" s="3">
        <f>[3]Historicals!F11</f>
        <v>772</v>
      </c>
      <c r="G12" s="3">
        <f>[3]Historicals!G11</f>
        <v>348</v>
      </c>
      <c r="H12" s="3">
        <f>[3]Historicals!H11</f>
        <v>934</v>
      </c>
      <c r="I12" s="3">
        <f>[3]Historicals!I11</f>
        <v>605</v>
      </c>
      <c r="J12" s="3"/>
      <c r="K12" s="3"/>
      <c r="L12" s="3"/>
      <c r="M12" s="3"/>
      <c r="N12" s="3"/>
    </row>
    <row r="13" spans="1:15" x14ac:dyDescent="0.2">
      <c r="A13" s="52" t="s">
        <v>154</v>
      </c>
      <c r="B13" s="53">
        <f>B12/B11</f>
        <v>0.19236326109391125</v>
      </c>
      <c r="C13" s="53">
        <f t="shared" ref="C13:I13" si="2">C12/C11</f>
        <v>0.16139891527959604</v>
      </c>
      <c r="D13" s="53">
        <f t="shared" si="2"/>
        <v>0.12302418586935822</v>
      </c>
      <c r="E13" s="53">
        <f t="shared" si="2"/>
        <v>0.42875067216347018</v>
      </c>
      <c r="F13" s="53">
        <f t="shared" si="2"/>
        <v>0.12051201998126757</v>
      </c>
      <c r="G13" s="53">
        <f t="shared" si="2"/>
        <v>7.3495248152059128E-2</v>
      </c>
      <c r="H13" s="53">
        <f t="shared" si="2"/>
        <v>0.10490845782320567</v>
      </c>
      <c r="I13" s="53">
        <f t="shared" si="2"/>
        <v>7.0258971083497851E-2</v>
      </c>
      <c r="J13" s="54"/>
      <c r="K13" s="54"/>
      <c r="L13" s="54"/>
      <c r="M13" s="54"/>
      <c r="N13" s="54"/>
    </row>
    <row r="14" spans="1:15" ht="16" thickBot="1" x14ac:dyDescent="0.25">
      <c r="A14" s="6" t="s">
        <v>155</v>
      </c>
      <c r="B14" s="7">
        <f>[3]Historicals!B12</f>
        <v>3273</v>
      </c>
      <c r="C14" s="7">
        <f>[3]Historicals!C12</f>
        <v>3760</v>
      </c>
      <c r="D14" s="7">
        <f>[3]Historicals!D12</f>
        <v>4240</v>
      </c>
      <c r="E14" s="7">
        <f>[3]Historicals!E12</f>
        <v>1933</v>
      </c>
      <c r="F14" s="7">
        <f>[3]Historicals!F12</f>
        <v>4029</v>
      </c>
      <c r="G14" s="7">
        <f>[3]Historicals!G12</f>
        <v>2539</v>
      </c>
      <c r="H14" s="7">
        <f>[3]Historicals!H12</f>
        <v>5727</v>
      </c>
      <c r="I14" s="7">
        <f>[3]Historicals!I12</f>
        <v>6046</v>
      </c>
      <c r="J14" s="7"/>
      <c r="K14" s="7"/>
      <c r="L14" s="7"/>
      <c r="M14" s="7"/>
      <c r="N14" s="7"/>
    </row>
    <row r="15" spans="1:15" ht="16" thickTop="1" x14ac:dyDescent="0.2">
      <c r="A15" t="s">
        <v>156</v>
      </c>
      <c r="B15" s="55">
        <f>[3]Historicals!B15</f>
        <v>1.85</v>
      </c>
      <c r="C15" s="55">
        <f>[3]Historicals!C15</f>
        <v>2.16</v>
      </c>
      <c r="D15" s="55">
        <f>[3]Historicals!D15</f>
        <v>2.5099999999999998</v>
      </c>
      <c r="E15" s="55">
        <f>[3]Historicals!E15</f>
        <v>1.17</v>
      </c>
      <c r="F15" s="55">
        <f>[3]Historicals!F15</f>
        <v>2.4900000000000002</v>
      </c>
      <c r="G15" s="55">
        <f>[3]Historicals!G15</f>
        <v>1.6</v>
      </c>
      <c r="H15" s="55">
        <f>[3]Historicals!H15</f>
        <v>3.56</v>
      </c>
      <c r="I15" s="55">
        <f>[3]Historicals!I15</f>
        <v>3.75</v>
      </c>
      <c r="J15" s="3"/>
      <c r="K15" s="3"/>
      <c r="L15" s="3"/>
      <c r="M15" s="3"/>
      <c r="N15" s="3"/>
      <c r="O15" t="s">
        <v>157</v>
      </c>
    </row>
    <row r="16" spans="1:15" x14ac:dyDescent="0.2">
      <c r="A16" t="s">
        <v>158</v>
      </c>
      <c r="B16" s="69">
        <f>[3]Historicals!B14</f>
        <v>1.9</v>
      </c>
      <c r="C16" s="69">
        <f>[3]Historicals!C14</f>
        <v>2.21</v>
      </c>
      <c r="D16" s="69">
        <f>[3]Historicals!D14</f>
        <v>2.56</v>
      </c>
      <c r="E16" s="69">
        <f>[3]Historicals!E14</f>
        <v>1.19</v>
      </c>
      <c r="F16" s="69">
        <f>[3]Historicals!F14</f>
        <v>2.5499999999999998</v>
      </c>
      <c r="G16" s="69">
        <f>[3]Historicals!G14</f>
        <v>1.63</v>
      </c>
      <c r="H16" s="69">
        <f>[3]Historicals!H14</f>
        <v>3.64</v>
      </c>
      <c r="I16" s="69">
        <f>[3]Historicals!I14</f>
        <v>3.83</v>
      </c>
      <c r="J16" s="55"/>
      <c r="K16" s="55"/>
      <c r="L16" s="55"/>
      <c r="M16" s="55"/>
      <c r="N16" s="55"/>
    </row>
    <row r="17" spans="1:15" x14ac:dyDescent="0.2">
      <c r="A17" t="s">
        <v>159</v>
      </c>
      <c r="B17" s="70">
        <f>[3]Historicals!B18</f>
        <v>1768</v>
      </c>
      <c r="C17" s="70">
        <f>[3]Historicals!C18</f>
        <v>1742.5</v>
      </c>
      <c r="D17" s="70">
        <f>[3]Historicals!D18</f>
        <v>1692</v>
      </c>
      <c r="E17" s="70">
        <f>[3]Historicals!E18</f>
        <v>1659.1</v>
      </c>
      <c r="F17" s="70">
        <f>[3]Historicals!F18</f>
        <v>1618.4</v>
      </c>
      <c r="G17" s="70">
        <f>[3]Historicals!G18</f>
        <v>1591.6</v>
      </c>
      <c r="H17" s="70">
        <f>[3]Historicals!H18</f>
        <v>1609.4</v>
      </c>
      <c r="I17" s="70">
        <f>[3]Historicals!I18</f>
        <v>1610.8</v>
      </c>
      <c r="J17" s="55"/>
      <c r="K17" s="55"/>
      <c r="L17" s="55"/>
      <c r="M17" s="55"/>
      <c r="N17" s="55"/>
    </row>
    <row r="18" spans="1:15" x14ac:dyDescent="0.2">
      <c r="A18" s="52" t="s">
        <v>129</v>
      </c>
      <c r="B18" s="53" t="s">
        <v>210</v>
      </c>
      <c r="C18" s="53">
        <f>C16/B16-1</f>
        <v>0.16315789473684217</v>
      </c>
      <c r="D18" s="53">
        <f t="shared" ref="D18:I18" si="3">D16/C16-1</f>
        <v>0.158371040723982</v>
      </c>
      <c r="E18" s="53">
        <f t="shared" si="3"/>
        <v>-0.53515625</v>
      </c>
      <c r="F18" s="53">
        <f t="shared" si="3"/>
        <v>1.1428571428571428</v>
      </c>
      <c r="G18" s="53">
        <f t="shared" si="3"/>
        <v>-0.36078431372549025</v>
      </c>
      <c r="H18" s="53">
        <f t="shared" si="3"/>
        <v>1.2331288343558287</v>
      </c>
      <c r="I18" s="53">
        <f t="shared" si="3"/>
        <v>5.2197802197802234E-2</v>
      </c>
      <c r="J18" s="54"/>
      <c r="K18" s="54"/>
      <c r="L18" s="54"/>
      <c r="M18" s="54"/>
      <c r="N18" s="54"/>
      <c r="O18" t="s">
        <v>160</v>
      </c>
    </row>
    <row r="19" spans="1:15" x14ac:dyDescent="0.2">
      <c r="A19" s="52" t="s">
        <v>161</v>
      </c>
      <c r="B19" s="53">
        <f>[3]Historicals!B90/[3]Historicals!B12</f>
        <v>-5.8050717995722576E-3</v>
      </c>
      <c r="C19" s="53" t="s">
        <v>210</v>
      </c>
      <c r="D19" s="53" t="s">
        <v>210</v>
      </c>
      <c r="E19" s="53">
        <f>[3]Historicals!E90/[3]Historicals!E12</f>
        <v>6.725297465080186E-3</v>
      </c>
      <c r="F19" s="53">
        <f>[3]Historicals!F90/[3]Historicals!F12</f>
        <v>-8.0665177463390414E-2</v>
      </c>
      <c r="G19" s="53">
        <f>[3]Historicals!G90/[3]Historicals!G12</f>
        <v>1.9298936589208351E-2</v>
      </c>
      <c r="H19" s="53">
        <f>[3]Historicals!H90/[3]Historicals!H12</f>
        <v>-0.286013619696176</v>
      </c>
      <c r="I19" s="53">
        <f>[3]Historicals!I90/[3]Historicals!I12</f>
        <v>-0.30383724776711873</v>
      </c>
      <c r="J19" s="53"/>
      <c r="K19" s="53"/>
      <c r="L19" s="53"/>
      <c r="M19" s="53"/>
      <c r="N19" s="53"/>
      <c r="O19" t="s">
        <v>160</v>
      </c>
    </row>
    <row r="20" spans="1:15" x14ac:dyDescent="0.2">
      <c r="A20" s="56" t="s">
        <v>162</v>
      </c>
      <c r="B20" s="39"/>
      <c r="C20" s="39"/>
      <c r="D20" s="39"/>
      <c r="E20" s="39"/>
      <c r="F20" s="39"/>
      <c r="G20" s="39"/>
      <c r="H20" s="39"/>
      <c r="I20" s="39"/>
      <c r="J20" s="38"/>
      <c r="K20" s="38"/>
      <c r="L20" s="38"/>
      <c r="M20" s="38"/>
      <c r="N20" s="38"/>
    </row>
    <row r="21" spans="1:15" x14ac:dyDescent="0.2">
      <c r="A21" t="s">
        <v>163</v>
      </c>
      <c r="B21" s="3">
        <f>[3]Historicals!B25</f>
        <v>3852</v>
      </c>
      <c r="C21" s="3">
        <f>[3]Historicals!C25</f>
        <v>3138</v>
      </c>
      <c r="D21" s="3">
        <f>[3]Historicals!D25</f>
        <v>3808</v>
      </c>
      <c r="E21" s="3">
        <f>[3]Historicals!E25</f>
        <v>4249</v>
      </c>
      <c r="F21" s="3">
        <f>[3]Historicals!F25</f>
        <v>4466</v>
      </c>
      <c r="G21" s="3">
        <f>[3]Historicals!G25</f>
        <v>8348</v>
      </c>
      <c r="H21" s="3">
        <f>[3]Historicals!H25</f>
        <v>9889</v>
      </c>
      <c r="I21" s="3">
        <f>[3]Historicals!I25</f>
        <v>8574</v>
      </c>
      <c r="J21" s="3"/>
      <c r="K21" s="3"/>
      <c r="L21" s="3"/>
      <c r="M21" s="3"/>
      <c r="N21" s="3"/>
    </row>
    <row r="22" spans="1:15" x14ac:dyDescent="0.2">
      <c r="A22" t="s">
        <v>164</v>
      </c>
      <c r="B22" s="3"/>
      <c r="C22" s="3"/>
      <c r="D22" s="3"/>
      <c r="E22" s="3"/>
      <c r="F22" s="3"/>
      <c r="G22" s="3"/>
      <c r="H22" s="3"/>
      <c r="I22" s="3"/>
      <c r="J22" s="3"/>
      <c r="K22" s="3"/>
      <c r="L22" s="3"/>
      <c r="M22" s="3"/>
      <c r="N22" s="3"/>
    </row>
    <row r="23" spans="1:15" x14ac:dyDescent="0.2">
      <c r="A23" t="s">
        <v>165</v>
      </c>
      <c r="B23" s="3">
        <f>[3]Historicals!B30-[3]Historicals!B45</f>
        <v>9255</v>
      </c>
      <c r="C23" s="3">
        <f>[3]Historicals!C30-[3]Historicals!C45</f>
        <v>9667</v>
      </c>
      <c r="D23" s="3">
        <f>[3]Historicals!D30-[3]Historicals!D45</f>
        <v>10587</v>
      </c>
      <c r="E23" s="3">
        <f>[3]Historicals!E30-[3]Historicals!E45</f>
        <v>9094</v>
      </c>
      <c r="F23" s="3">
        <f>[3]Historicals!F30-[3]Historicals!F45</f>
        <v>8659</v>
      </c>
      <c r="G23" s="3">
        <f>[3]Historicals!G30-[3]Historicals!G45</f>
        <v>12272</v>
      </c>
      <c r="H23" s="3">
        <f>[3]Historicals!H30-[3]Historicals!H45</f>
        <v>16617</v>
      </c>
      <c r="I23" s="3">
        <f>[3]Historicals!I30-[3]Historicals!I45</f>
        <v>17483</v>
      </c>
      <c r="J23" s="3"/>
      <c r="K23" s="3"/>
      <c r="L23" s="3"/>
      <c r="M23" s="3"/>
      <c r="N23" s="3"/>
      <c r="O23" t="s">
        <v>166</v>
      </c>
    </row>
    <row r="24" spans="1:15" x14ac:dyDescent="0.2">
      <c r="A24" s="52" t="s">
        <v>167</v>
      </c>
      <c r="B24" s="53">
        <f>B23/B3</f>
        <v>0.30244109669618641</v>
      </c>
      <c r="C24" s="53">
        <f t="shared" ref="C24:I24" si="4">C23/C3</f>
        <v>0.29858537188040524</v>
      </c>
      <c r="D24" s="53">
        <f t="shared" si="4"/>
        <v>0.30820960698689959</v>
      </c>
      <c r="E24" s="53">
        <f t="shared" si="4"/>
        <v>0.24985575734263812</v>
      </c>
      <c r="F24" s="53">
        <f t="shared" si="4"/>
        <v>0.22136155635657132</v>
      </c>
      <c r="G24" s="53">
        <f t="shared" si="4"/>
        <v>0.32810202390182608</v>
      </c>
      <c r="H24" s="53">
        <f t="shared" si="4"/>
        <v>0.37309713054021287</v>
      </c>
      <c r="I24" s="53">
        <f t="shared" si="4"/>
        <v>0.37428816099336332</v>
      </c>
      <c r="J24" s="54"/>
      <c r="K24" s="54"/>
      <c r="L24" s="54"/>
      <c r="M24" s="54"/>
      <c r="N24" s="54"/>
    </row>
    <row r="25" spans="1:15" x14ac:dyDescent="0.2">
      <c r="A25" t="s">
        <v>168</v>
      </c>
      <c r="B25" s="3"/>
      <c r="C25" s="3"/>
      <c r="D25" s="3"/>
      <c r="E25" s="3"/>
      <c r="F25" s="3"/>
      <c r="G25" s="3"/>
      <c r="H25" s="3"/>
      <c r="I25" s="3"/>
      <c r="J25" s="3"/>
      <c r="K25" s="3"/>
      <c r="L25" s="3"/>
      <c r="M25" s="3"/>
      <c r="N25" s="3"/>
    </row>
    <row r="26" spans="1:15" x14ac:dyDescent="0.2">
      <c r="A26" t="s">
        <v>169</v>
      </c>
      <c r="B26" s="3">
        <f>[3]Historicals!B31</f>
        <v>3011</v>
      </c>
      <c r="C26" s="3">
        <f>[3]Historicals!C31</f>
        <v>3520</v>
      </c>
      <c r="D26" s="3">
        <f>[3]Historicals!D31</f>
        <v>3989</v>
      </c>
      <c r="E26" s="3">
        <f>[3]Historicals!E31</f>
        <v>4454</v>
      </c>
      <c r="F26" s="3">
        <f>[3]Historicals!F31</f>
        <v>4744</v>
      </c>
      <c r="G26" s="3">
        <f>[3]Historicals!G31</f>
        <v>4866</v>
      </c>
      <c r="H26" s="3">
        <f>[3]Historicals!H31</f>
        <v>4904</v>
      </c>
      <c r="I26" s="3">
        <f>[3]Historicals!I31</f>
        <v>4791</v>
      </c>
      <c r="J26" s="3"/>
      <c r="K26" s="3"/>
      <c r="L26" s="3"/>
      <c r="M26" s="3"/>
      <c r="N26" s="3"/>
    </row>
    <row r="27" spans="1:15" x14ac:dyDescent="0.2">
      <c r="A27" t="s">
        <v>170</v>
      </c>
      <c r="B27" s="3">
        <f>[3]Historicals!B33</f>
        <v>281</v>
      </c>
      <c r="C27" s="3">
        <f>[3]Historicals!C33</f>
        <v>281</v>
      </c>
      <c r="D27" s="3">
        <f>[3]Historicals!D33</f>
        <v>283</v>
      </c>
      <c r="E27" s="3">
        <f>[3]Historicals!E33</f>
        <v>285</v>
      </c>
      <c r="F27" s="3">
        <f>[3]Historicals!F33</f>
        <v>283</v>
      </c>
      <c r="G27" s="3">
        <f>[3]Historicals!G33</f>
        <v>274</v>
      </c>
      <c r="H27" s="3">
        <f>[3]Historicals!H33</f>
        <v>269</v>
      </c>
      <c r="I27" s="3">
        <f>[3]Historicals!I33</f>
        <v>286</v>
      </c>
      <c r="J27" s="3"/>
      <c r="K27" s="3"/>
      <c r="L27" s="3"/>
      <c r="M27" s="3"/>
      <c r="N27" s="3"/>
    </row>
    <row r="28" spans="1:15" x14ac:dyDescent="0.2">
      <c r="A28" t="s">
        <v>40</v>
      </c>
      <c r="B28" s="3">
        <f>[3]Historicals!B34</f>
        <v>131</v>
      </c>
      <c r="C28" s="3">
        <f>[3]Historicals!C34</f>
        <v>131</v>
      </c>
      <c r="D28" s="3">
        <f>[3]Historicals!D34</f>
        <v>139</v>
      </c>
      <c r="E28" s="3">
        <f>[3]Historicals!E34</f>
        <v>154</v>
      </c>
      <c r="F28" s="3">
        <f>[3]Historicals!F34</f>
        <v>154</v>
      </c>
      <c r="G28" s="3">
        <f>[3]Historicals!G34</f>
        <v>223</v>
      </c>
      <c r="H28" s="3">
        <f>[3]Historicals!H34</f>
        <v>242</v>
      </c>
      <c r="I28" s="3">
        <f>[3]Historicals!I34</f>
        <v>284</v>
      </c>
      <c r="J28" s="3"/>
      <c r="K28" s="3"/>
      <c r="L28" s="3"/>
      <c r="M28" s="3"/>
      <c r="N28" s="3"/>
    </row>
    <row r="29" spans="1:15" x14ac:dyDescent="0.2">
      <c r="A29" s="57" t="s">
        <v>38</v>
      </c>
      <c r="B29" s="3">
        <f>[3]Historicals!B32</f>
        <v>0</v>
      </c>
      <c r="C29" s="3">
        <f>[3]Historicals!C32</f>
        <v>0</v>
      </c>
      <c r="D29" s="3">
        <f>[3]Historicals!D32</f>
        <v>0</v>
      </c>
      <c r="E29" s="3">
        <f>[3]Historicals!E32</f>
        <v>0</v>
      </c>
      <c r="F29" s="3" t="str">
        <f>[3]Historicals!F32</f>
        <v>—</v>
      </c>
      <c r="G29" s="3">
        <f>[3]Historicals!G32</f>
        <v>3097</v>
      </c>
      <c r="H29" s="3">
        <f>[3]Historicals!H32</f>
        <v>3113</v>
      </c>
      <c r="I29" s="3">
        <f>[3]Historicals!I32</f>
        <v>2926</v>
      </c>
      <c r="J29" s="3"/>
      <c r="K29" s="3"/>
      <c r="L29" s="3"/>
      <c r="M29" s="3"/>
      <c r="N29" s="3"/>
    </row>
    <row r="30" spans="1:15" x14ac:dyDescent="0.2">
      <c r="A30" t="s">
        <v>171</v>
      </c>
      <c r="B30" s="3">
        <f>B31-B28-B27-B26-B23-B21</f>
        <v>5067</v>
      </c>
      <c r="C30" s="3">
        <f t="shared" ref="C30:I30" si="5">C31-C28-C27-C26-C23-C21</f>
        <v>4659</v>
      </c>
      <c r="D30" s="3">
        <f t="shared" si="5"/>
        <v>4453</v>
      </c>
      <c r="E30" s="3">
        <f t="shared" si="5"/>
        <v>4300</v>
      </c>
      <c r="F30" s="3">
        <f t="shared" si="5"/>
        <v>5411</v>
      </c>
      <c r="G30" s="3">
        <f t="shared" si="5"/>
        <v>5359</v>
      </c>
      <c r="H30" s="3">
        <f t="shared" si="5"/>
        <v>5819</v>
      </c>
      <c r="I30" s="3">
        <f t="shared" si="5"/>
        <v>8903</v>
      </c>
      <c r="J30" s="3"/>
      <c r="K30" s="3"/>
      <c r="L30" s="3"/>
      <c r="M30" s="3"/>
      <c r="N30" s="3"/>
    </row>
    <row r="31" spans="1:15" ht="16" thickBot="1" x14ac:dyDescent="0.25">
      <c r="A31" s="6" t="s">
        <v>172</v>
      </c>
      <c r="B31" s="7">
        <f>[3]Historicals!B36</f>
        <v>21597</v>
      </c>
      <c r="C31" s="7">
        <f>[3]Historicals!C36</f>
        <v>21396</v>
      </c>
      <c r="D31" s="7">
        <f>[3]Historicals!D36</f>
        <v>23259</v>
      </c>
      <c r="E31" s="7">
        <f>[3]Historicals!E36</f>
        <v>22536</v>
      </c>
      <c r="F31" s="7">
        <f>[3]Historicals!F36</f>
        <v>23717</v>
      </c>
      <c r="G31" s="7">
        <f>[3]Historicals!G36</f>
        <v>31342</v>
      </c>
      <c r="H31" s="7">
        <f>[3]Historicals!H36</f>
        <v>37740</v>
      </c>
      <c r="I31" s="7">
        <f>[3]Historicals!I36</f>
        <v>40321</v>
      </c>
      <c r="J31" s="7"/>
      <c r="K31" s="7"/>
      <c r="L31" s="7"/>
      <c r="M31" s="7"/>
      <c r="N31" s="7"/>
    </row>
    <row r="32" spans="1:15" ht="16" thickTop="1" x14ac:dyDescent="0.2">
      <c r="A32" t="s">
        <v>173</v>
      </c>
      <c r="B32" s="3"/>
      <c r="C32" s="3"/>
      <c r="D32" s="3"/>
      <c r="E32" s="3"/>
      <c r="F32" s="3"/>
      <c r="G32" s="3"/>
      <c r="H32" s="3"/>
      <c r="I32" s="3"/>
      <c r="J32" s="3"/>
      <c r="K32" s="3"/>
      <c r="L32" s="3"/>
      <c r="M32" s="3"/>
      <c r="N32" s="3"/>
    </row>
    <row r="33" spans="1:15" x14ac:dyDescent="0.2">
      <c r="A33" s="2" t="s">
        <v>45</v>
      </c>
      <c r="B33" s="3">
        <f>[3]Historicals!B39</f>
        <v>107</v>
      </c>
      <c r="C33" s="3">
        <f>[3]Historicals!C39</f>
        <v>44</v>
      </c>
      <c r="D33" s="3">
        <f>[3]Historicals!D39</f>
        <v>6</v>
      </c>
      <c r="E33" s="3">
        <f>[3]Historicals!E39</f>
        <v>6</v>
      </c>
      <c r="F33" s="3">
        <f>[3]Historicals!F39</f>
        <v>6</v>
      </c>
      <c r="G33" s="3">
        <f>[3]Historicals!G39</f>
        <v>3</v>
      </c>
      <c r="H33" s="3">
        <f>[3]Historicals!H39</f>
        <v>0</v>
      </c>
      <c r="I33" s="3">
        <f>[3]Historicals!I39</f>
        <v>500</v>
      </c>
      <c r="J33" s="3"/>
      <c r="K33" s="3"/>
      <c r="L33" s="3"/>
      <c r="M33" s="3"/>
      <c r="N33" s="3"/>
    </row>
    <row r="34" spans="1:15" x14ac:dyDescent="0.2">
      <c r="A34" s="2" t="s">
        <v>46</v>
      </c>
      <c r="B34" s="3">
        <f>[3]Historicals!B40</f>
        <v>74</v>
      </c>
      <c r="C34" s="3">
        <f>[3]Historicals!C40</f>
        <v>1</v>
      </c>
      <c r="D34" s="3">
        <f>[3]Historicals!D40</f>
        <v>325</v>
      </c>
      <c r="E34" s="3">
        <f>[3]Historicals!E40</f>
        <v>336</v>
      </c>
      <c r="F34" s="3">
        <f>[3]Historicals!F40</f>
        <v>9</v>
      </c>
      <c r="G34" s="3">
        <f>[3]Historicals!G40</f>
        <v>248</v>
      </c>
      <c r="H34" s="3">
        <f>[3]Historicals!H40</f>
        <v>2</v>
      </c>
      <c r="I34" s="3">
        <f>[3]Historicals!I40</f>
        <v>10</v>
      </c>
      <c r="J34" s="3"/>
      <c r="K34" s="3"/>
      <c r="L34" s="3"/>
      <c r="M34" s="3"/>
      <c r="N34" s="3"/>
    </row>
    <row r="35" spans="1:15" x14ac:dyDescent="0.2">
      <c r="A35" t="s">
        <v>174</v>
      </c>
      <c r="B35" s="3">
        <f>7630</f>
        <v>7630</v>
      </c>
      <c r="C35" s="3">
        <f>7083</f>
        <v>7083</v>
      </c>
      <c r="D35" s="3">
        <f>10852</f>
        <v>10852</v>
      </c>
      <c r="E35" s="3">
        <f>12724</f>
        <v>12724</v>
      </c>
      <c r="F35" s="3">
        <f>14677</f>
        <v>14677</v>
      </c>
      <c r="G35" s="3">
        <f>23287</f>
        <v>23287</v>
      </c>
      <c r="H35" s="3">
        <f>24973</f>
        <v>24973</v>
      </c>
      <c r="I35" s="3">
        <f>25040</f>
        <v>25040</v>
      </c>
      <c r="J35" s="3"/>
      <c r="K35" s="3"/>
      <c r="L35" s="3"/>
      <c r="M35" s="3"/>
      <c r="N35" s="3"/>
    </row>
    <row r="36" spans="1:15" x14ac:dyDescent="0.2">
      <c r="A36" t="s">
        <v>49</v>
      </c>
      <c r="B36" s="3">
        <f>[3]Historicals!B46</f>
        <v>1079</v>
      </c>
      <c r="C36" s="3">
        <f>[3]Historicals!C46</f>
        <v>2010</v>
      </c>
      <c r="D36" s="3"/>
      <c r="E36" s="3"/>
      <c r="F36" s="3">
        <f>[3]Historicals!F46</f>
        <v>3464</v>
      </c>
      <c r="G36" s="3">
        <f>[3]Historicals!G46</f>
        <v>9406</v>
      </c>
      <c r="H36" s="3">
        <f>[3]Historicals!H46</f>
        <v>9413</v>
      </c>
      <c r="I36" s="3">
        <f>[3]Historicals!I46</f>
        <v>8920</v>
      </c>
      <c r="J36" s="3"/>
      <c r="K36" s="3"/>
      <c r="L36" s="3"/>
      <c r="M36" s="3"/>
      <c r="N36" s="3"/>
    </row>
    <row r="37" spans="1:15" x14ac:dyDescent="0.2">
      <c r="A37" s="57" t="s">
        <v>50</v>
      </c>
      <c r="B37" s="3">
        <f>[3]Historicals!B42</f>
        <v>0</v>
      </c>
      <c r="C37" s="3">
        <f>[3]Historicals!C42</f>
        <v>0</v>
      </c>
      <c r="D37" s="3">
        <f>[3]Historicals!D42</f>
        <v>0</v>
      </c>
      <c r="E37" s="3">
        <f>[3]Historicals!E42</f>
        <v>0</v>
      </c>
      <c r="F37" s="3" t="str">
        <f>[3]Historicals!F42</f>
        <v>—</v>
      </c>
      <c r="G37" s="3">
        <f>[3]Historicals!G42</f>
        <v>445</v>
      </c>
      <c r="H37" s="3">
        <f>[3]Historicals!H42</f>
        <v>467</v>
      </c>
      <c r="I37" s="3">
        <f>[3]Historicals!I42</f>
        <v>420</v>
      </c>
      <c r="J37" s="3"/>
      <c r="K37" s="3"/>
      <c r="L37" s="3"/>
      <c r="M37" s="3"/>
      <c r="N37" s="3"/>
    </row>
    <row r="38" spans="1:15" x14ac:dyDescent="0.2">
      <c r="A38" t="s">
        <v>175</v>
      </c>
      <c r="B38" s="3"/>
      <c r="C38" s="3"/>
      <c r="D38" s="3"/>
      <c r="E38" s="3"/>
      <c r="F38" s="3"/>
      <c r="G38" s="3"/>
      <c r="H38" s="3"/>
      <c r="I38" s="3"/>
      <c r="J38" s="3"/>
      <c r="K38" s="3"/>
      <c r="L38" s="3"/>
      <c r="M38" s="3"/>
      <c r="N38" s="3"/>
    </row>
    <row r="39" spans="1:15" x14ac:dyDescent="0.2">
      <c r="A39" t="s">
        <v>176</v>
      </c>
      <c r="B39" s="3">
        <f>[3]Historicals!B58</f>
        <v>12707</v>
      </c>
      <c r="C39" s="3">
        <f>[3]Historicals!C58</f>
        <v>12258</v>
      </c>
      <c r="D39" s="3">
        <f>[3]Historicals!D58</f>
        <v>12407</v>
      </c>
      <c r="E39" s="3">
        <f>[3]Historicals!E58</f>
        <v>9812</v>
      </c>
      <c r="F39" s="3">
        <f>[3]Historicals!F58</f>
        <v>9040</v>
      </c>
      <c r="G39" s="3">
        <f>[3]Historicals!G58</f>
        <v>8055</v>
      </c>
      <c r="H39" s="3">
        <f>[3]Historicals!H58</f>
        <v>12767</v>
      </c>
      <c r="I39" s="3">
        <f>[3]Historicals!I58</f>
        <v>15281</v>
      </c>
      <c r="J39" s="3"/>
      <c r="K39" s="3"/>
      <c r="L39" s="3"/>
      <c r="M39" s="3"/>
      <c r="N39" s="3"/>
    </row>
    <row r="40" spans="1:15" x14ac:dyDescent="0.2">
      <c r="A40" s="2" t="s">
        <v>177</v>
      </c>
      <c r="C40" s="3"/>
      <c r="D40" s="3"/>
      <c r="E40" s="3"/>
      <c r="F40" s="3"/>
      <c r="G40" s="3"/>
      <c r="H40" s="3"/>
      <c r="I40" s="3"/>
      <c r="J40" s="3"/>
      <c r="K40" s="3"/>
      <c r="L40" s="3"/>
      <c r="M40" s="3"/>
      <c r="N40" s="3"/>
    </row>
    <row r="41" spans="1:15" x14ac:dyDescent="0.2">
      <c r="A41" s="2" t="s">
        <v>178</v>
      </c>
      <c r="B41" s="3">
        <f>[3]Historicals!B57</f>
        <v>4685</v>
      </c>
      <c r="C41" s="3">
        <f>[3]Historicals!C57</f>
        <v>4151</v>
      </c>
      <c r="D41" s="3">
        <f>[3]Historicals!D57</f>
        <v>6907</v>
      </c>
      <c r="E41" s="3">
        <f>[3]Historicals!E57</f>
        <v>3517</v>
      </c>
      <c r="F41" s="3">
        <f>[3]Historicals!F57</f>
        <v>1643</v>
      </c>
      <c r="G41" s="3">
        <f>[3]Historicals!G57</f>
        <v>-191</v>
      </c>
      <c r="H41" s="3">
        <f>[3]Historicals!H57</f>
        <v>3179</v>
      </c>
      <c r="I41" s="3">
        <f>[3]Historicals!I57</f>
        <v>3476</v>
      </c>
      <c r="J41" s="3"/>
      <c r="K41" s="3"/>
      <c r="L41" s="3"/>
      <c r="M41" s="3"/>
      <c r="N41" s="3"/>
    </row>
    <row r="42" spans="1:15" x14ac:dyDescent="0.2">
      <c r="A42" s="2" t="s">
        <v>179</v>
      </c>
      <c r="B42" s="3">
        <f t="shared" ref="B42:I42" si="6">B39-B41</f>
        <v>8022</v>
      </c>
      <c r="C42" s="3">
        <f t="shared" si="6"/>
        <v>8107</v>
      </c>
      <c r="D42" s="3">
        <f t="shared" si="6"/>
        <v>5500</v>
      </c>
      <c r="E42" s="3">
        <f t="shared" si="6"/>
        <v>6295</v>
      </c>
      <c r="F42" s="3">
        <f t="shared" si="6"/>
        <v>7397</v>
      </c>
      <c r="G42" s="3">
        <f t="shared" si="6"/>
        <v>8246</v>
      </c>
      <c r="H42" s="3">
        <f t="shared" si="6"/>
        <v>9588</v>
      </c>
      <c r="I42" s="3">
        <f t="shared" si="6"/>
        <v>11805</v>
      </c>
      <c r="J42" s="3"/>
      <c r="K42" s="3"/>
      <c r="L42" s="3"/>
      <c r="M42" s="3"/>
      <c r="N42" s="3"/>
    </row>
    <row r="43" spans="1:15" ht="16" thickBot="1" x14ac:dyDescent="0.25">
      <c r="A43" s="6" t="s">
        <v>180</v>
      </c>
      <c r="B43" s="7">
        <f>[3]Historicals!B59</f>
        <v>21597</v>
      </c>
      <c r="C43" s="7">
        <f>[3]Historicals!C59</f>
        <v>21396</v>
      </c>
      <c r="D43" s="7">
        <f>[3]Historicals!D59</f>
        <v>23259</v>
      </c>
      <c r="E43" s="7">
        <f>[3]Historicals!E59</f>
        <v>22536</v>
      </c>
      <c r="F43" s="7">
        <f>[3]Historicals!F59</f>
        <v>23717</v>
      </c>
      <c r="G43" s="7">
        <f>[3]Historicals!G59</f>
        <v>31342</v>
      </c>
      <c r="H43" s="7">
        <f>[3]Historicals!H59</f>
        <v>37740</v>
      </c>
      <c r="I43" s="7">
        <f>[3]Historicals!I59</f>
        <v>40321</v>
      </c>
      <c r="J43" s="7"/>
      <c r="K43" s="7"/>
      <c r="L43" s="7"/>
      <c r="M43" s="7"/>
      <c r="N43" s="7"/>
    </row>
    <row r="44" spans="1:15" s="1" customFormat="1" ht="16" thickTop="1" x14ac:dyDescent="0.2">
      <c r="A44" s="58" t="s">
        <v>181</v>
      </c>
      <c r="B44" s="71"/>
      <c r="C44" s="71"/>
      <c r="D44" s="71"/>
      <c r="E44" s="71"/>
      <c r="F44" s="71"/>
      <c r="G44" s="71"/>
      <c r="H44" s="71"/>
      <c r="I44" s="71"/>
      <c r="J44" s="58"/>
      <c r="K44" s="58"/>
      <c r="L44" s="58"/>
      <c r="M44" s="58"/>
      <c r="N44" s="58"/>
    </row>
    <row r="45" spans="1:15" x14ac:dyDescent="0.2">
      <c r="A45" s="56" t="s">
        <v>182</v>
      </c>
      <c r="B45" s="39"/>
      <c r="C45" s="39"/>
      <c r="D45" s="39"/>
      <c r="E45" s="39"/>
      <c r="F45" s="39"/>
      <c r="G45" s="39"/>
      <c r="H45" s="39"/>
      <c r="I45" s="39"/>
      <c r="J45" s="38"/>
      <c r="K45" s="38"/>
      <c r="L45" s="38"/>
      <c r="M45" s="38"/>
      <c r="N45" s="38"/>
    </row>
    <row r="46" spans="1:15" x14ac:dyDescent="0.2">
      <c r="A46" s="1" t="s">
        <v>134</v>
      </c>
      <c r="B46" s="9">
        <f>B7</f>
        <v>4817</v>
      </c>
      <c r="C46" s="9">
        <f t="shared" ref="C46:I46" si="7">C7</f>
        <v>5328</v>
      </c>
      <c r="D46" s="9">
        <f t="shared" si="7"/>
        <v>5192</v>
      </c>
      <c r="E46" s="9">
        <f t="shared" si="7"/>
        <v>5525</v>
      </c>
      <c r="F46" s="9">
        <f t="shared" si="7"/>
        <v>6357</v>
      </c>
      <c r="G46" s="9">
        <f t="shared" si="7"/>
        <v>4646</v>
      </c>
      <c r="H46" s="9">
        <f t="shared" si="7"/>
        <v>8641</v>
      </c>
      <c r="I46" s="9">
        <f t="shared" si="7"/>
        <v>8406</v>
      </c>
      <c r="J46" s="9"/>
      <c r="K46" s="9"/>
      <c r="L46" s="9"/>
      <c r="M46" s="9"/>
      <c r="N46" s="9"/>
      <c r="O46" t="s">
        <v>183</v>
      </c>
    </row>
    <row r="47" spans="1:15" x14ac:dyDescent="0.2">
      <c r="A47" t="s">
        <v>132</v>
      </c>
      <c r="B47" s="59">
        <f>B6</f>
        <v>606</v>
      </c>
      <c r="C47" s="59">
        <f t="shared" ref="C47:I47" si="8">C6</f>
        <v>649</v>
      </c>
      <c r="D47" s="59">
        <f t="shared" si="8"/>
        <v>706</v>
      </c>
      <c r="E47" s="59">
        <f t="shared" si="8"/>
        <v>747</v>
      </c>
      <c r="F47" s="59">
        <f t="shared" si="8"/>
        <v>705</v>
      </c>
      <c r="G47" s="59">
        <f t="shared" si="8"/>
        <v>721</v>
      </c>
      <c r="H47" s="59">
        <f t="shared" si="8"/>
        <v>744</v>
      </c>
      <c r="I47" s="59">
        <f t="shared" si="8"/>
        <v>717</v>
      </c>
      <c r="J47" s="59"/>
      <c r="K47" s="59"/>
      <c r="L47" s="59"/>
      <c r="M47" s="59"/>
      <c r="N47" s="59"/>
      <c r="O47" t="s">
        <v>183</v>
      </c>
    </row>
    <row r="48" spans="1:15" x14ac:dyDescent="0.2">
      <c r="A48" t="s">
        <v>184</v>
      </c>
      <c r="B48" s="3">
        <f>B12</f>
        <v>932</v>
      </c>
      <c r="C48" s="3">
        <f t="shared" ref="C48:I48" si="9">C12</f>
        <v>863</v>
      </c>
      <c r="D48" s="3">
        <f t="shared" si="9"/>
        <v>646</v>
      </c>
      <c r="E48" s="3">
        <f t="shared" si="9"/>
        <v>2392</v>
      </c>
      <c r="F48" s="3">
        <f t="shared" si="9"/>
        <v>772</v>
      </c>
      <c r="G48" s="3">
        <f t="shared" si="9"/>
        <v>348</v>
      </c>
      <c r="H48" s="3">
        <f t="shared" si="9"/>
        <v>934</v>
      </c>
      <c r="I48" s="3">
        <f t="shared" si="9"/>
        <v>605</v>
      </c>
      <c r="J48" s="3"/>
      <c r="K48" s="3"/>
      <c r="L48" s="3"/>
      <c r="M48" s="3"/>
      <c r="N48" s="3"/>
      <c r="O48" t="s">
        <v>185</v>
      </c>
    </row>
    <row r="49" spans="1:15" x14ac:dyDescent="0.2">
      <c r="A49" s="1" t="s">
        <v>186</v>
      </c>
      <c r="B49" s="9">
        <f>[3]Historicals!B12+'[3]Three Statements'!B10+'[3]Three Statements'!B12</f>
        <v>4233</v>
      </c>
      <c r="C49" s="9">
        <f>'[3]Three Statements'!C7</f>
        <v>5328</v>
      </c>
      <c r="D49" s="9">
        <f>'[3]Three Statements'!D7</f>
        <v>5192</v>
      </c>
      <c r="E49" s="9">
        <f>'[3]Three Statements'!E7</f>
        <v>5525</v>
      </c>
      <c r="F49" s="9">
        <f>'[3]Three Statements'!F7</f>
        <v>6357</v>
      </c>
      <c r="G49" s="9">
        <f>'[3]Three Statements'!G7</f>
        <v>4646</v>
      </c>
      <c r="H49" s="9">
        <f>'[3]Three Statements'!H7</f>
        <v>8641</v>
      </c>
      <c r="I49" s="9">
        <f>'[3]Three Statements'!I7</f>
        <v>8406</v>
      </c>
      <c r="J49" s="9"/>
      <c r="K49" s="9"/>
      <c r="L49" s="9"/>
      <c r="M49" s="9"/>
      <c r="N49" s="9"/>
    </row>
    <row r="50" spans="1:15" x14ac:dyDescent="0.2">
      <c r="A50" t="s">
        <v>187</v>
      </c>
      <c r="B50" s="3">
        <f>B10</f>
        <v>28</v>
      </c>
      <c r="C50" s="3">
        <f t="shared" ref="C50:I50" si="10">C10</f>
        <v>19</v>
      </c>
      <c r="D50" s="3">
        <f t="shared" si="10"/>
        <v>59</v>
      </c>
      <c r="E50" s="3">
        <f t="shared" si="10"/>
        <v>54</v>
      </c>
      <c r="F50" s="3">
        <f t="shared" si="10"/>
        <v>49</v>
      </c>
      <c r="G50" s="3">
        <f t="shared" si="10"/>
        <v>89</v>
      </c>
      <c r="H50" s="3">
        <f t="shared" si="10"/>
        <v>262</v>
      </c>
      <c r="I50" s="3">
        <f t="shared" si="10"/>
        <v>205</v>
      </c>
      <c r="J50" s="3"/>
      <c r="K50" s="3"/>
      <c r="L50" s="3"/>
      <c r="M50" s="3"/>
      <c r="N50" s="3"/>
      <c r="O50" t="s">
        <v>185</v>
      </c>
    </row>
    <row r="51" spans="1:15" x14ac:dyDescent="0.2">
      <c r="A51" t="s">
        <v>188</v>
      </c>
      <c r="B51" s="3">
        <v>964</v>
      </c>
      <c r="C51" s="72">
        <f>C23-B23</f>
        <v>412</v>
      </c>
      <c r="D51" s="72">
        <f t="shared" ref="D51:I51" si="11">D23-C23</f>
        <v>920</v>
      </c>
      <c r="E51" s="72">
        <f t="shared" si="11"/>
        <v>-1493</v>
      </c>
      <c r="F51" s="72">
        <f t="shared" si="11"/>
        <v>-435</v>
      </c>
      <c r="G51" s="72">
        <f t="shared" si="11"/>
        <v>3613</v>
      </c>
      <c r="H51" s="72">
        <f t="shared" si="11"/>
        <v>4345</v>
      </c>
      <c r="I51" s="72">
        <f t="shared" si="11"/>
        <v>866</v>
      </c>
      <c r="J51" s="3"/>
      <c r="K51" s="3"/>
      <c r="L51" s="3"/>
      <c r="M51" s="3"/>
      <c r="N51" s="3"/>
      <c r="O51" t="s">
        <v>189</v>
      </c>
    </row>
    <row r="52" spans="1:15" x14ac:dyDescent="0.2">
      <c r="A52" t="s">
        <v>135</v>
      </c>
      <c r="B52" s="9">
        <f>+[1]Historicals!B167</f>
        <v>121</v>
      </c>
      <c r="C52" s="9">
        <f>+[1]Historicals!C167</f>
        <v>133</v>
      </c>
      <c r="D52" s="9">
        <f>+[1]Historicals!D167</f>
        <v>140</v>
      </c>
      <c r="E52" s="9">
        <f>+[1]Historicals!E167</f>
        <v>160</v>
      </c>
      <c r="F52" s="9">
        <f>+[1]Historicals!F167</f>
        <v>149</v>
      </c>
      <c r="G52" s="9">
        <f>+[1]Historicals!G167</f>
        <v>148</v>
      </c>
      <c r="H52" s="9">
        <f>+[1]Historicals!H167</f>
        <v>130</v>
      </c>
      <c r="I52" s="9">
        <f>+[1]Historicals!I167</f>
        <v>124</v>
      </c>
      <c r="J52" s="3"/>
      <c r="K52" s="3"/>
      <c r="L52" s="3"/>
      <c r="M52" s="3"/>
      <c r="N52" s="3"/>
      <c r="O52" t="s">
        <v>190</v>
      </c>
    </row>
    <row r="53" spans="1:15" x14ac:dyDescent="0.2">
      <c r="A53" s="1" t="s">
        <v>191</v>
      </c>
      <c r="B53" s="9">
        <f>B49+B47-B52-B23</f>
        <v>-4537</v>
      </c>
      <c r="C53" s="9">
        <f t="shared" ref="C53:I53" si="12">C49+C47-C52-C23</f>
        <v>-3823</v>
      </c>
      <c r="D53" s="9">
        <f t="shared" si="12"/>
        <v>-4829</v>
      </c>
      <c r="E53" s="9">
        <f t="shared" si="12"/>
        <v>-2982</v>
      </c>
      <c r="F53" s="9">
        <f t="shared" si="12"/>
        <v>-1746</v>
      </c>
      <c r="G53" s="9">
        <f t="shared" si="12"/>
        <v>-7053</v>
      </c>
      <c r="H53" s="9">
        <f t="shared" si="12"/>
        <v>-7362</v>
      </c>
      <c r="I53" s="9">
        <f t="shared" si="12"/>
        <v>-8484</v>
      </c>
      <c r="J53" s="9"/>
      <c r="K53" s="9"/>
      <c r="L53" s="9"/>
      <c r="M53" s="9"/>
      <c r="N53" s="9"/>
    </row>
    <row r="54" spans="1:15" x14ac:dyDescent="0.2">
      <c r="A54" t="s">
        <v>192</v>
      </c>
      <c r="B54" s="3"/>
      <c r="C54" s="3"/>
      <c r="D54" s="3"/>
      <c r="E54" s="3"/>
      <c r="F54" s="3"/>
      <c r="G54" s="3"/>
      <c r="H54" s="3"/>
      <c r="I54" s="3"/>
      <c r="J54" s="3"/>
      <c r="K54" s="3"/>
      <c r="L54" s="3"/>
      <c r="M54" s="3"/>
      <c r="N54" s="3"/>
    </row>
    <row r="55" spans="1:15" x14ac:dyDescent="0.2">
      <c r="A55" s="27" t="s">
        <v>193</v>
      </c>
      <c r="B55" s="26">
        <f>B14+B51</f>
        <v>4237</v>
      </c>
      <c r="C55" s="26">
        <f t="shared" ref="C55:I55" si="13">C14+C51</f>
        <v>4172</v>
      </c>
      <c r="D55" s="26">
        <f t="shared" si="13"/>
        <v>5160</v>
      </c>
      <c r="E55" s="26">
        <f t="shared" si="13"/>
        <v>440</v>
      </c>
      <c r="F55" s="26">
        <f t="shared" si="13"/>
        <v>3594</v>
      </c>
      <c r="G55" s="26">
        <f t="shared" si="13"/>
        <v>6152</v>
      </c>
      <c r="H55" s="26">
        <f t="shared" si="13"/>
        <v>10072</v>
      </c>
      <c r="I55" s="26">
        <f t="shared" si="13"/>
        <v>6912</v>
      </c>
      <c r="J55" s="26"/>
      <c r="K55" s="26"/>
      <c r="L55" s="26"/>
      <c r="M55" s="26"/>
      <c r="N55" s="26"/>
    </row>
    <row r="56" spans="1:15" x14ac:dyDescent="0.2">
      <c r="A56" t="s">
        <v>194</v>
      </c>
      <c r="B56" s="3"/>
      <c r="C56" s="3"/>
      <c r="D56" s="3"/>
      <c r="E56" s="3"/>
      <c r="F56" s="3"/>
      <c r="G56" s="3"/>
      <c r="H56" s="3"/>
      <c r="I56" s="3"/>
      <c r="J56" s="3"/>
      <c r="K56" s="3"/>
      <c r="L56" s="3"/>
      <c r="M56" s="3"/>
      <c r="N56" s="3"/>
    </row>
    <row r="57" spans="1:15" x14ac:dyDescent="0.2">
      <c r="A57" t="s">
        <v>195</v>
      </c>
      <c r="B57" s="3"/>
      <c r="C57" s="3"/>
      <c r="D57" s="3"/>
      <c r="E57" s="3"/>
      <c r="F57" s="3"/>
      <c r="G57" s="3"/>
      <c r="H57" s="3"/>
      <c r="I57" s="3"/>
      <c r="J57" s="3"/>
      <c r="K57" s="3"/>
      <c r="L57" s="3"/>
      <c r="M57" s="3"/>
      <c r="N57" s="3"/>
    </row>
    <row r="58" spans="1:15" x14ac:dyDescent="0.2">
      <c r="A58" s="27" t="s">
        <v>196</v>
      </c>
      <c r="B58" s="26">
        <f>B52+[3]Historicals!B78-[3]Historicals!B80</f>
        <v>-7031</v>
      </c>
      <c r="C58" s="26">
        <f>C52+[3]Historicals!C78-[3]Historicals!C80</f>
        <v>-7620</v>
      </c>
      <c r="D58" s="26">
        <f>D52+[3]Historicals!D78-[3]Historicals!D80</f>
        <v>-8211</v>
      </c>
      <c r="E58" s="26">
        <f>E52+[3]Historicals!E78-[3]Historicals!E80</f>
        <v>-7119</v>
      </c>
      <c r="F58" s="26">
        <f>F52+[3]Historicals!F78-[3]Historicals!F80</f>
        <v>-4860</v>
      </c>
      <c r="G58" s="26">
        <f>G52+[3]Historicals!G78-[3]Historicals!G80</f>
        <v>-4657</v>
      </c>
      <c r="H58" s="26">
        <f>H52+[3]Historicals!H78-[3]Historicals!H80</f>
        <v>-12280</v>
      </c>
      <c r="I58" s="26">
        <f>I52+[3]Historicals!I78-[3]Historicals!I80</f>
        <v>-16756</v>
      </c>
      <c r="J58" s="26"/>
      <c r="K58" s="26"/>
      <c r="L58" s="26"/>
      <c r="M58" s="26"/>
      <c r="N58" s="26"/>
    </row>
    <row r="59" spans="1:15" x14ac:dyDescent="0.2">
      <c r="A59" t="s">
        <v>197</v>
      </c>
      <c r="B59" s="3">
        <f>[3]Historicals!B89</f>
        <v>-63</v>
      </c>
      <c r="C59" s="3">
        <f>[3]Historicals!C89</f>
        <v>-67</v>
      </c>
      <c r="D59" s="3">
        <f>[3]Historicals!D89</f>
        <v>327</v>
      </c>
      <c r="E59" s="3">
        <f>[3]Historicals!E89</f>
        <v>13</v>
      </c>
      <c r="F59" s="3">
        <f>[3]Historicals!F89</f>
        <v>0</v>
      </c>
      <c r="G59" s="3">
        <f>[3]Historicals!G89</f>
        <v>6134</v>
      </c>
      <c r="H59" s="3">
        <f>[3]Historicals!H89</f>
        <v>-608</v>
      </c>
      <c r="I59" s="3">
        <f>[3]Historicals!I89</f>
        <v>-4014</v>
      </c>
      <c r="J59" s="3"/>
      <c r="K59" s="3"/>
      <c r="L59" s="60"/>
      <c r="M59" s="3"/>
      <c r="N59" s="3"/>
    </row>
    <row r="60" spans="1:15" x14ac:dyDescent="0.2">
      <c r="A60" s="52" t="s">
        <v>129</v>
      </c>
      <c r="B60" s="53"/>
      <c r="C60" s="53"/>
      <c r="D60" s="53"/>
      <c r="E60" s="53"/>
      <c r="F60" s="53"/>
      <c r="G60" s="53"/>
      <c r="H60" s="53"/>
      <c r="I60" s="53"/>
      <c r="J60" s="53"/>
      <c r="K60" s="53"/>
      <c r="L60" s="53"/>
      <c r="M60" s="54"/>
      <c r="N60" s="54"/>
    </row>
    <row r="61" spans="1:15" x14ac:dyDescent="0.2">
      <c r="A61" t="s">
        <v>198</v>
      </c>
      <c r="B61" s="3">
        <f>[3]Historicals!B90</f>
        <v>-19</v>
      </c>
      <c r="C61" s="3">
        <f>[3]Historicals!C90</f>
        <v>0</v>
      </c>
      <c r="D61" s="3">
        <f>[3]Historicals!D90</f>
        <v>0</v>
      </c>
      <c r="E61" s="3">
        <f>[3]Historicals!E90</f>
        <v>13</v>
      </c>
      <c r="F61" s="3">
        <f>[3]Historicals!F90</f>
        <v>-325</v>
      </c>
      <c r="G61" s="3">
        <f>[3]Historicals!G90</f>
        <v>49</v>
      </c>
      <c r="H61" s="3">
        <f>[3]Historicals!H90</f>
        <v>-1638</v>
      </c>
      <c r="I61" s="3">
        <f>[3]Historicals!I90</f>
        <v>-1837</v>
      </c>
      <c r="J61" s="3"/>
      <c r="K61" s="3"/>
      <c r="L61" s="3"/>
      <c r="M61" s="3"/>
      <c r="N61" s="3"/>
    </row>
    <row r="62" spans="1:15" x14ac:dyDescent="0.2">
      <c r="A62" t="s">
        <v>199</v>
      </c>
      <c r="B62" s="3"/>
      <c r="C62" s="3"/>
      <c r="D62" s="3"/>
      <c r="E62" s="3"/>
      <c r="F62" s="3"/>
      <c r="G62" s="3"/>
      <c r="H62" s="3"/>
      <c r="I62" s="3"/>
      <c r="J62" s="3"/>
      <c r="K62" s="3"/>
      <c r="L62" s="3"/>
      <c r="M62" s="3"/>
      <c r="N62" s="3"/>
    </row>
    <row r="63" spans="1:15" x14ac:dyDescent="0.2">
      <c r="A63" t="s">
        <v>200</v>
      </c>
      <c r="B63" s="3"/>
      <c r="C63" s="3"/>
      <c r="D63" s="3"/>
      <c r="E63" s="3"/>
      <c r="F63" s="3"/>
      <c r="G63" s="3"/>
      <c r="H63" s="3"/>
      <c r="I63" s="3"/>
      <c r="J63" s="3"/>
      <c r="K63" s="3"/>
      <c r="L63" s="3"/>
      <c r="M63" s="3"/>
      <c r="N63" s="3"/>
    </row>
    <row r="64" spans="1:15" x14ac:dyDescent="0.2">
      <c r="A64" s="27" t="s">
        <v>201</v>
      </c>
      <c r="B64">
        <f>([3]Historicals!B85-[3]Historicals!B87+[3]Historicals!B88)+[3]Historicals!B90</f>
        <v>-201</v>
      </c>
      <c r="C64">
        <f>([3]Historicals!C85-[3]Historicals!C87+[3]Historicals!C88)+[3]Historicals!C90</f>
        <v>-2121</v>
      </c>
      <c r="D64">
        <f>([3]Historicals!D85-[3]Historicals!D87+[3]Historicals!D88)+[3]Historicals!D90</f>
        <v>-2534</v>
      </c>
      <c r="E64">
        <f>([3]Historicals!E85-[3]Historicals!E87+[3]Historicals!E88)+[3]Historicals!E90</f>
        <v>286</v>
      </c>
      <c r="F64">
        <f>([3]Historicals!F85-[3]Historicals!F87+[3]Historicals!F88)+[3]Historicals!F90</f>
        <v>-589</v>
      </c>
      <c r="G64">
        <f>([3]Historicals!G85-[3]Historicals!G87+[3]Historicals!G88)+[3]Historicals!G90</f>
        <v>-979</v>
      </c>
      <c r="H64">
        <f>([3]Historicals!H85-[3]Historicals!H87+[3]Historicals!H88)+[3]Historicals!H90</f>
        <v>-269</v>
      </c>
      <c r="I64">
        <f>([3]Historicals!I85-[3]Historicals!I87+[3]Historicals!I88)+[3]Historicals!I90</f>
        <v>-686</v>
      </c>
      <c r="J64" s="26"/>
      <c r="K64" s="26"/>
      <c r="L64" s="26"/>
      <c r="M64" s="26"/>
      <c r="N64" s="26"/>
    </row>
    <row r="65" spans="1:15" x14ac:dyDescent="0.2">
      <c r="A65" t="s">
        <v>202</v>
      </c>
      <c r="B65" s="26"/>
      <c r="C65" s="3"/>
      <c r="D65" s="3"/>
      <c r="E65" s="3"/>
      <c r="F65" s="3"/>
      <c r="G65" s="3"/>
      <c r="H65" s="3"/>
      <c r="I65" s="3"/>
      <c r="J65" s="3"/>
      <c r="K65" s="3"/>
      <c r="L65" s="3"/>
      <c r="M65" s="3"/>
      <c r="N65" s="3"/>
    </row>
    <row r="66" spans="1:15" x14ac:dyDescent="0.2">
      <c r="A66" s="27" t="s">
        <v>203</v>
      </c>
      <c r="B66" s="26">
        <f>B55+B58+B64</f>
        <v>-2995</v>
      </c>
      <c r="C66" s="26">
        <f t="shared" ref="C66:I66" si="14">C55+C58+C64</f>
        <v>-5569</v>
      </c>
      <c r="D66" s="26">
        <f t="shared" si="14"/>
        <v>-5585</v>
      </c>
      <c r="E66" s="26">
        <f t="shared" si="14"/>
        <v>-6393</v>
      </c>
      <c r="F66" s="26">
        <f t="shared" si="14"/>
        <v>-1855</v>
      </c>
      <c r="G66" s="26">
        <f t="shared" si="14"/>
        <v>516</v>
      </c>
      <c r="H66" s="26">
        <f t="shared" si="14"/>
        <v>-2477</v>
      </c>
      <c r="I66" s="26">
        <f t="shared" si="14"/>
        <v>-10530</v>
      </c>
      <c r="J66" s="26"/>
      <c r="K66" s="26"/>
      <c r="L66" s="26"/>
      <c r="M66" s="26"/>
      <c r="N66" s="26"/>
    </row>
    <row r="67" spans="1:15" x14ac:dyDescent="0.2">
      <c r="A67" t="s">
        <v>204</v>
      </c>
      <c r="B67" s="3">
        <f>[3]Historicals!B95</f>
        <v>-3008</v>
      </c>
      <c r="C67" s="3">
        <f>[3]Historicals!C95</f>
        <v>-2945</v>
      </c>
      <c r="D67" s="3">
        <f>[3]Historicals!D95</f>
        <v>-2591</v>
      </c>
      <c r="E67" s="3">
        <f>[3]Historicals!E95</f>
        <v>-4828</v>
      </c>
      <c r="F67" s="3">
        <f>[3]Historicals!F95</f>
        <v>-5293</v>
      </c>
      <c r="G67" s="3">
        <f>[3]Historicals!G95</f>
        <v>2491</v>
      </c>
      <c r="H67" s="3">
        <f>[3]Historicals!H95</f>
        <v>8348</v>
      </c>
      <c r="I67" s="3">
        <f>[3]Historicals!I95</f>
        <v>9889</v>
      </c>
      <c r="J67" s="3"/>
      <c r="K67" s="3"/>
      <c r="L67" s="3"/>
      <c r="M67" s="3"/>
      <c r="N67" s="3"/>
    </row>
    <row r="68" spans="1:15" ht="16" thickBot="1" x14ac:dyDescent="0.25">
      <c r="A68" s="6" t="s">
        <v>205</v>
      </c>
      <c r="B68" s="7">
        <f>[3]Historicals!B96</f>
        <v>-83</v>
      </c>
      <c r="C68" s="7">
        <f>[3]Historicals!C96</f>
        <v>-105</v>
      </c>
      <c r="D68" s="7">
        <f>[3]Historicals!D96</f>
        <v>-20</v>
      </c>
      <c r="E68" s="7">
        <f>[3]Historicals!E96</f>
        <v>45</v>
      </c>
      <c r="F68" s="7">
        <f>[3]Historicals!F96</f>
        <v>-129</v>
      </c>
      <c r="G68" s="7">
        <f>[3]Historicals!G96</f>
        <v>-66</v>
      </c>
      <c r="H68" s="7">
        <f>[3]Historicals!H96</f>
        <v>9889</v>
      </c>
      <c r="I68" s="7">
        <f>[3]Historicals!I96</f>
        <v>8574</v>
      </c>
      <c r="J68" s="7"/>
      <c r="K68" s="7"/>
      <c r="L68" s="7"/>
      <c r="M68" s="7"/>
      <c r="N68" s="7"/>
    </row>
    <row r="69" spans="1:15" ht="16" thickTop="1" x14ac:dyDescent="0.2">
      <c r="A69" s="58" t="s">
        <v>181</v>
      </c>
      <c r="B69" s="47">
        <f>B68+B67</f>
        <v>-3091</v>
      </c>
      <c r="C69" s="47">
        <f t="shared" ref="C69:I69" si="15">C68+C67</f>
        <v>-3050</v>
      </c>
      <c r="D69" s="47">
        <f t="shared" si="15"/>
        <v>-2611</v>
      </c>
      <c r="E69" s="47">
        <f t="shared" si="15"/>
        <v>-4783</v>
      </c>
      <c r="F69" s="47">
        <f t="shared" si="15"/>
        <v>-5422</v>
      </c>
      <c r="G69" s="47">
        <f t="shared" si="15"/>
        <v>2425</v>
      </c>
      <c r="H69" s="47">
        <f t="shared" si="15"/>
        <v>18237</v>
      </c>
      <c r="I69" s="47">
        <f t="shared" si="15"/>
        <v>18463</v>
      </c>
      <c r="J69" s="40"/>
      <c r="K69" s="40"/>
      <c r="L69" s="40"/>
      <c r="M69" s="40"/>
      <c r="N69" s="40"/>
    </row>
    <row r="70" spans="1:15" x14ac:dyDescent="0.2">
      <c r="A70" s="1" t="s">
        <v>206</v>
      </c>
      <c r="B70" s="47">
        <f>B36+B35-(B21+B25)</f>
        <v>4857</v>
      </c>
      <c r="C70" s="47">
        <f t="shared" ref="C70:I70" si="16">C36+C35-(C21+C25)</f>
        <v>5955</v>
      </c>
      <c r="D70" s="47">
        <f t="shared" si="16"/>
        <v>7044</v>
      </c>
      <c r="E70" s="47">
        <f t="shared" si="16"/>
        <v>8475</v>
      </c>
      <c r="F70" s="47">
        <f t="shared" si="16"/>
        <v>13675</v>
      </c>
      <c r="G70" s="47">
        <f t="shared" si="16"/>
        <v>24345</v>
      </c>
      <c r="H70" s="47">
        <f t="shared" si="16"/>
        <v>24497</v>
      </c>
      <c r="I70" s="47">
        <f t="shared" si="16"/>
        <v>25386</v>
      </c>
      <c r="J70" s="47"/>
      <c r="K70" s="47"/>
      <c r="L70" s="47"/>
      <c r="M70" s="47"/>
      <c r="N70" s="47"/>
      <c r="O70"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Petros Leras</cp:lastModifiedBy>
  <dcterms:created xsi:type="dcterms:W3CDTF">2020-05-20T17:26:08Z</dcterms:created>
  <dcterms:modified xsi:type="dcterms:W3CDTF">2024-12-09T23:05:37Z</dcterms:modified>
</cp:coreProperties>
</file>