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petrosleras/Desktop/QCP/task15/"/>
    </mc:Choice>
  </mc:AlternateContent>
  <xr:revisionPtr revIDLastSave="0" documentId="13_ncr:1_{541EC0C1-AEBA-1048-9EBA-8AA17E919005}" xr6:coauthVersionLast="47" xr6:coauthVersionMax="47" xr10:uidLastSave="{00000000-0000-0000-0000-000000000000}"/>
  <bookViews>
    <workbookView xWindow="15200" yWindow="500" windowWidth="40160" windowHeight="27200" activeTab="5" xr2:uid="{00000000-000D-0000-FFFF-FFFF00000000}"/>
  </bookViews>
  <sheets>
    <sheet name="Sheet1" sheetId="2" r:id="rId1"/>
    <sheet name="Historicals" sheetId="1" r:id="rId2"/>
    <sheet name="Segmental forecast" sheetId="3" r:id="rId3"/>
    <sheet name="Three Statements" sheetId="4" r:id="rId4"/>
    <sheet name="Instuction task15" sheetId="8" r:id="rId5"/>
    <sheet name="Schedules task15"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6" i="9" l="1"/>
  <c r="P26" i="9"/>
  <c r="Q26" i="9"/>
  <c r="R26" i="9"/>
  <c r="S26" i="9"/>
  <c r="T26" i="9"/>
  <c r="M26" i="9"/>
  <c r="N26" i="9"/>
  <c r="O26" i="9"/>
  <c r="L26" i="9"/>
  <c r="K26" i="9"/>
  <c r="J26" i="9"/>
  <c r="U27" i="9"/>
  <c r="T27" i="9"/>
  <c r="S27" i="9"/>
  <c r="R27" i="9"/>
  <c r="Q27" i="9"/>
  <c r="P27" i="9"/>
  <c r="O27" i="9"/>
  <c r="N27" i="9"/>
  <c r="M27" i="9"/>
  <c r="L27" i="9"/>
  <c r="K27" i="9"/>
  <c r="M29" i="9"/>
  <c r="L29" i="9"/>
  <c r="K29" i="9"/>
  <c r="N29" i="9"/>
  <c r="O29" i="9"/>
  <c r="P29" i="9"/>
  <c r="Q29" i="9"/>
  <c r="R29" i="9"/>
  <c r="S29" i="9"/>
  <c r="T29" i="9"/>
  <c r="U29" i="9"/>
  <c r="O31" i="9"/>
  <c r="P31" i="9"/>
  <c r="Q31" i="9"/>
  <c r="R31" i="9"/>
  <c r="S31" i="9"/>
  <c r="T31" i="9"/>
  <c r="U31" i="9"/>
  <c r="N31" i="9"/>
  <c r="M31" i="9"/>
  <c r="L31" i="9"/>
  <c r="K31" i="9"/>
  <c r="X29" i="1"/>
  <c r="Y29" i="1"/>
  <c r="Z29" i="1" s="1"/>
  <c r="W29" i="1"/>
  <c r="L30" i="9"/>
  <c r="M30" i="9"/>
  <c r="N30" i="9"/>
  <c r="O30" i="9"/>
  <c r="P30" i="9"/>
  <c r="Q30" i="9"/>
  <c r="R30" i="9"/>
  <c r="S30" i="9"/>
  <c r="T30" i="9"/>
  <c r="U30" i="9"/>
  <c r="K30" i="9"/>
  <c r="K28" i="9"/>
  <c r="L28" i="9"/>
  <c r="M28" i="9"/>
  <c r="N28" i="9"/>
  <c r="O28" i="9"/>
  <c r="P28" i="9"/>
  <c r="Q28" i="9"/>
  <c r="R28" i="9"/>
  <c r="S28" i="9"/>
  <c r="T28" i="9"/>
  <c r="U28" i="9"/>
  <c r="I23" i="9"/>
  <c r="C23" i="9"/>
  <c r="D23" i="9"/>
  <c r="E23" i="9"/>
  <c r="F23" i="9"/>
  <c r="G23" i="9"/>
  <c r="H23" i="9"/>
  <c r="B23" i="9"/>
  <c r="C22" i="9"/>
  <c r="D22" i="9"/>
  <c r="H20" i="9"/>
  <c r="H22" i="9" s="1"/>
  <c r="G20" i="9"/>
  <c r="G22" i="9" s="1"/>
  <c r="I20" i="9"/>
  <c r="I22" i="9" s="1"/>
  <c r="F20" i="9"/>
  <c r="F22" i="9" s="1"/>
  <c r="E20" i="9"/>
  <c r="E19" i="9" s="1"/>
  <c r="D20" i="9"/>
  <c r="C20" i="9"/>
  <c r="B20" i="9"/>
  <c r="B22" i="9" s="1"/>
  <c r="I21" i="9"/>
  <c r="H21" i="9"/>
  <c r="G21" i="9"/>
  <c r="F21" i="9"/>
  <c r="E21" i="9"/>
  <c r="D21" i="9"/>
  <c r="C21" i="9"/>
  <c r="B21" i="9"/>
  <c r="I18" i="9"/>
  <c r="H18" i="9"/>
  <c r="G18" i="9"/>
  <c r="F18" i="9"/>
  <c r="E18" i="9"/>
  <c r="D18" i="9"/>
  <c r="C18" i="9"/>
  <c r="B18" i="9"/>
  <c r="U18" i="9"/>
  <c r="P10" i="9"/>
  <c r="Q10" i="9" s="1"/>
  <c r="R10" i="9" s="1"/>
  <c r="S10" i="9" s="1"/>
  <c r="T10" i="9" s="1"/>
  <c r="U10" i="9" s="1"/>
  <c r="O7" i="9"/>
  <c r="P7" i="9" s="1"/>
  <c r="Q7" i="9" s="1"/>
  <c r="R7" i="9" s="1"/>
  <c r="S7" i="9" s="1"/>
  <c r="T7" i="9" s="1"/>
  <c r="U7" i="9" s="1"/>
  <c r="O9" i="9"/>
  <c r="P9" i="9" s="1"/>
  <c r="Q9" i="9" s="1"/>
  <c r="R9" i="9" s="1"/>
  <c r="S9" i="9" s="1"/>
  <c r="T9" i="9" s="1"/>
  <c r="U9" i="9" s="1"/>
  <c r="M9" i="9"/>
  <c r="N9" i="9"/>
  <c r="M10" i="9"/>
  <c r="N10" i="9"/>
  <c r="O10" i="9"/>
  <c r="M11" i="9"/>
  <c r="N11" i="9"/>
  <c r="O11" i="9"/>
  <c r="P11" i="9" s="1"/>
  <c r="Q11" i="9" s="1"/>
  <c r="R11" i="9" s="1"/>
  <c r="S11" i="9" s="1"/>
  <c r="T11" i="9" s="1"/>
  <c r="U11" i="9" s="1"/>
  <c r="M7" i="9"/>
  <c r="N3" i="9"/>
  <c r="N4" i="9" s="1"/>
  <c r="O3" i="9"/>
  <c r="O4" i="9" s="1"/>
  <c r="Q21" i="9"/>
  <c r="R21" i="9"/>
  <c r="S21" i="9"/>
  <c r="T21" i="9"/>
  <c r="U21" i="9" s="1"/>
  <c r="P21" i="9"/>
  <c r="O21" i="9"/>
  <c r="N21" i="9"/>
  <c r="M21" i="9"/>
  <c r="O20" i="9"/>
  <c r="P20" i="9"/>
  <c r="Q20" i="9"/>
  <c r="Q19" i="9" s="1"/>
  <c r="R20" i="9"/>
  <c r="S20" i="9"/>
  <c r="S19" i="9" s="1"/>
  <c r="T20" i="9"/>
  <c r="T19" i="9" s="1"/>
  <c r="U19" i="9" s="1"/>
  <c r="N20" i="9"/>
  <c r="M20" i="9"/>
  <c r="K18" i="9"/>
  <c r="M16" i="9"/>
  <c r="N16" i="9"/>
  <c r="O16" i="9"/>
  <c r="P16" i="9"/>
  <c r="Q16" i="9"/>
  <c r="R16" i="9"/>
  <c r="S16" i="9"/>
  <c r="T16" i="9"/>
  <c r="U16" i="9" s="1"/>
  <c r="J15" i="9"/>
  <c r="J16" i="9"/>
  <c r="K16" i="9"/>
  <c r="L16" i="9"/>
  <c r="K23" i="9"/>
  <c r="K20" i="9"/>
  <c r="K22" i="9" s="1"/>
  <c r="K21" i="9"/>
  <c r="C16" i="9"/>
  <c r="D16" i="9"/>
  <c r="E16" i="9"/>
  <c r="F16" i="9"/>
  <c r="G16" i="9"/>
  <c r="H16" i="9"/>
  <c r="I16" i="9"/>
  <c r="B16" i="9"/>
  <c r="C29" i="9"/>
  <c r="D29" i="9"/>
  <c r="E29" i="9"/>
  <c r="F29" i="9"/>
  <c r="G29" i="9"/>
  <c r="H29" i="9"/>
  <c r="I29" i="9"/>
  <c r="B29" i="9"/>
  <c r="T54" i="9"/>
  <c r="L53" i="9"/>
  <c r="L54" i="9" s="1"/>
  <c r="M53" i="9"/>
  <c r="M54" i="9" s="1"/>
  <c r="N53" i="9"/>
  <c r="N54" i="9" s="1"/>
  <c r="O53" i="9"/>
  <c r="O54" i="9" s="1"/>
  <c r="P53" i="9"/>
  <c r="P54" i="9" s="1"/>
  <c r="Q53" i="9"/>
  <c r="Q54" i="9" s="1"/>
  <c r="R53" i="9"/>
  <c r="R54" i="9" s="1"/>
  <c r="S53" i="9"/>
  <c r="S54" i="9" s="1"/>
  <c r="T53" i="9"/>
  <c r="U53" i="9"/>
  <c r="U54" i="9" s="1"/>
  <c r="I53" i="9"/>
  <c r="I54" i="9" s="1"/>
  <c r="L12" i="9"/>
  <c r="M12" i="9" s="1"/>
  <c r="C90" i="4"/>
  <c r="D90" i="4"/>
  <c r="E90" i="4"/>
  <c r="F90" i="4"/>
  <c r="B90" i="4"/>
  <c r="F89" i="4"/>
  <c r="C89" i="4"/>
  <c r="D87" i="4"/>
  <c r="E87" i="4"/>
  <c r="F87" i="4"/>
  <c r="C87" i="4"/>
  <c r="B87" i="4"/>
  <c r="D86" i="4"/>
  <c r="L23" i="9"/>
  <c r="M23" i="9" s="1"/>
  <c r="N23" i="9" s="1"/>
  <c r="O23" i="9" s="1"/>
  <c r="P23" i="9" s="1"/>
  <c r="Q23" i="9" s="1"/>
  <c r="R23" i="9" s="1"/>
  <c r="S23" i="9" s="1"/>
  <c r="T23" i="9" s="1"/>
  <c r="U23" i="9" s="1"/>
  <c r="L22" i="9"/>
  <c r="L21" i="9"/>
  <c r="L18" i="9"/>
  <c r="K12" i="9"/>
  <c r="K15" i="9" s="1"/>
  <c r="C12" i="9"/>
  <c r="C15" i="9" s="1"/>
  <c r="D12" i="9"/>
  <c r="D15" i="9" s="1"/>
  <c r="D26" i="9" s="1"/>
  <c r="E12" i="9"/>
  <c r="E15" i="9" s="1"/>
  <c r="F12" i="9"/>
  <c r="F15" i="9" s="1"/>
  <c r="F26" i="9" s="1"/>
  <c r="G12" i="9"/>
  <c r="G15" i="9" s="1"/>
  <c r="H12" i="9"/>
  <c r="H15" i="9" s="1"/>
  <c r="I12" i="9"/>
  <c r="I15" i="9" s="1"/>
  <c r="B12" i="9"/>
  <c r="B15" i="9" s="1"/>
  <c r="O52" i="1"/>
  <c r="P52" i="1"/>
  <c r="Q52" i="1"/>
  <c r="R52" i="1"/>
  <c r="S52" i="1"/>
  <c r="T52" i="1"/>
  <c r="U52" i="1"/>
  <c r="N52" i="1"/>
  <c r="L11" i="9"/>
  <c r="K11" i="9"/>
  <c r="C11" i="9"/>
  <c r="D11" i="9"/>
  <c r="E11" i="9"/>
  <c r="F11" i="9"/>
  <c r="G11" i="9"/>
  <c r="H11" i="9"/>
  <c r="I11" i="9"/>
  <c r="B11" i="9"/>
  <c r="L10" i="9"/>
  <c r="K10" i="9"/>
  <c r="C10" i="9"/>
  <c r="D10" i="9"/>
  <c r="E10" i="9"/>
  <c r="F10" i="9"/>
  <c r="G10" i="9"/>
  <c r="H10" i="9"/>
  <c r="I10" i="9"/>
  <c r="B10" i="9"/>
  <c r="E46" i="1"/>
  <c r="P29" i="1"/>
  <c r="Q29" i="1"/>
  <c r="R29" i="1"/>
  <c r="S29" i="1"/>
  <c r="T29" i="1"/>
  <c r="U29" i="1"/>
  <c r="V29" i="1"/>
  <c r="O29" i="1"/>
  <c r="L9" i="9"/>
  <c r="K9" i="9"/>
  <c r="B79" i="4"/>
  <c r="C79" i="4"/>
  <c r="D79" i="4"/>
  <c r="E79" i="4"/>
  <c r="F79" i="4"/>
  <c r="G79" i="4"/>
  <c r="H79" i="4"/>
  <c r="I79" i="4"/>
  <c r="J79" i="4"/>
  <c r="K79" i="4"/>
  <c r="L79" i="4"/>
  <c r="M79" i="4"/>
  <c r="N79" i="4"/>
  <c r="A79" i="4"/>
  <c r="C9" i="9"/>
  <c r="D9" i="9"/>
  <c r="E9" i="9"/>
  <c r="F9" i="9"/>
  <c r="G9" i="9"/>
  <c r="H9" i="9"/>
  <c r="I9" i="9"/>
  <c r="B9" i="9"/>
  <c r="O46" i="1"/>
  <c r="P46" i="1"/>
  <c r="Q46" i="1"/>
  <c r="R46" i="1"/>
  <c r="S46" i="1"/>
  <c r="T46" i="1"/>
  <c r="U46" i="1"/>
  <c r="N46" i="1"/>
  <c r="M3" i="9"/>
  <c r="M4" i="9" s="1"/>
  <c r="L3" i="9"/>
  <c r="L5" i="9" s="1"/>
  <c r="K3" i="9"/>
  <c r="K4" i="9" s="1"/>
  <c r="K7" i="9" s="1"/>
  <c r="I3" i="9"/>
  <c r="I4" i="9" s="1"/>
  <c r="H3" i="9"/>
  <c r="H5" i="9" s="1"/>
  <c r="G3" i="9"/>
  <c r="G30" i="9" s="1"/>
  <c r="F3" i="9"/>
  <c r="F6" i="9" s="1"/>
  <c r="E3" i="9"/>
  <c r="E4" i="9" s="1"/>
  <c r="E7" i="9" s="1"/>
  <c r="D3" i="9"/>
  <c r="D6" i="9" s="1"/>
  <c r="C3" i="9"/>
  <c r="C4" i="9" s="1"/>
  <c r="C7" i="9" s="1"/>
  <c r="B3" i="9"/>
  <c r="B30" i="9" s="1"/>
  <c r="C1" i="9"/>
  <c r="D1" i="9" s="1"/>
  <c r="E1" i="9" s="1"/>
  <c r="N44" i="4"/>
  <c r="M44" i="4"/>
  <c r="J44" i="4"/>
  <c r="N31" i="4"/>
  <c r="M31" i="4"/>
  <c r="L31" i="4"/>
  <c r="N41" i="4"/>
  <c r="M41" i="4"/>
  <c r="L41" i="4"/>
  <c r="K41" i="4"/>
  <c r="K39" i="4"/>
  <c r="J39" i="4"/>
  <c r="K31" i="4"/>
  <c r="J31" i="4"/>
  <c r="J30" i="4"/>
  <c r="K30" i="4" s="1"/>
  <c r="L30" i="4" s="1"/>
  <c r="M30" i="4" s="1"/>
  <c r="N30" i="4" s="1"/>
  <c r="J43" i="4"/>
  <c r="J70" i="4" s="1"/>
  <c r="J69" i="4"/>
  <c r="K69" i="4"/>
  <c r="L69" i="4"/>
  <c r="M69" i="4"/>
  <c r="N69" i="4"/>
  <c r="L68" i="4"/>
  <c r="M68" i="4"/>
  <c r="N68" i="4"/>
  <c r="K68" i="4"/>
  <c r="J68" i="4"/>
  <c r="I68" i="4"/>
  <c r="M21" i="4"/>
  <c r="N21" i="4"/>
  <c r="K21" i="4"/>
  <c r="L21" i="4"/>
  <c r="J21" i="4"/>
  <c r="K42" i="4"/>
  <c r="L42" i="4"/>
  <c r="M42" i="4" s="1"/>
  <c r="N42" i="4" s="1"/>
  <c r="J42" i="4"/>
  <c r="Z42" i="4"/>
  <c r="S42" i="4"/>
  <c r="T42" i="4"/>
  <c r="U42" i="4"/>
  <c r="V42" i="4"/>
  <c r="W42" i="4"/>
  <c r="R42" i="4"/>
  <c r="N61" i="4"/>
  <c r="M61" i="4"/>
  <c r="L61" i="4"/>
  <c r="K61" i="4"/>
  <c r="K14" i="4"/>
  <c r="L14" i="4"/>
  <c r="M14" i="4"/>
  <c r="N14" i="4"/>
  <c r="J14" i="4"/>
  <c r="K8" i="4"/>
  <c r="L8" i="4"/>
  <c r="M8" i="4"/>
  <c r="N8" i="4"/>
  <c r="J8" i="4"/>
  <c r="N3" i="4"/>
  <c r="L3" i="4"/>
  <c r="M3" i="4" s="1"/>
  <c r="K3" i="4"/>
  <c r="K4" i="4"/>
  <c r="J4" i="4"/>
  <c r="N11" i="4"/>
  <c r="L11" i="4"/>
  <c r="M11" i="4" s="1"/>
  <c r="K11" i="4"/>
  <c r="J11" i="4"/>
  <c r="Z11" i="4"/>
  <c r="R11" i="4"/>
  <c r="S11" i="4"/>
  <c r="T11" i="4"/>
  <c r="U11" i="4"/>
  <c r="V11" i="4"/>
  <c r="W11" i="4"/>
  <c r="Q11" i="4"/>
  <c r="K7" i="4"/>
  <c r="L7" i="4"/>
  <c r="M7" i="4"/>
  <c r="N7" i="4"/>
  <c r="J7" i="4"/>
  <c r="K5" i="4"/>
  <c r="L5" i="4" s="1"/>
  <c r="M5" i="4" s="1"/>
  <c r="N5" i="4" s="1"/>
  <c r="J5" i="4"/>
  <c r="Z5" i="4"/>
  <c r="R5" i="4"/>
  <c r="S5" i="4"/>
  <c r="T5" i="4"/>
  <c r="U5" i="4"/>
  <c r="V5" i="4"/>
  <c r="W5" i="4"/>
  <c r="Q5" i="4"/>
  <c r="J3" i="4"/>
  <c r="Z3" i="4"/>
  <c r="R3" i="4"/>
  <c r="S3" i="4"/>
  <c r="T3" i="4"/>
  <c r="U3" i="4"/>
  <c r="V3" i="4"/>
  <c r="W3" i="4"/>
  <c r="Q3" i="4"/>
  <c r="M19" i="9" l="1"/>
  <c r="D19" i="9"/>
  <c r="D17" i="9" s="1"/>
  <c r="N19" i="9"/>
  <c r="B19" i="9"/>
  <c r="B17" i="9" s="1"/>
  <c r="C19" i="9"/>
  <c r="C17" i="9" s="1"/>
  <c r="R19" i="9"/>
  <c r="L19" i="9"/>
  <c r="L17" i="9" s="1"/>
  <c r="E30" i="9"/>
  <c r="M8" i="9"/>
  <c r="D30" i="9"/>
  <c r="E22" i="9"/>
  <c r="C8" i="9"/>
  <c r="C31" i="9"/>
  <c r="I19" i="9"/>
  <c r="I17" i="9" s="1"/>
  <c r="H19" i="9"/>
  <c r="H17" i="9" s="1"/>
  <c r="O19" i="9"/>
  <c r="O22" i="9"/>
  <c r="U20" i="9"/>
  <c r="G19" i="9"/>
  <c r="G17" i="9" s="1"/>
  <c r="C30" i="9"/>
  <c r="M22" i="9"/>
  <c r="M17" i="9" s="1"/>
  <c r="N22" i="9"/>
  <c r="N17" i="9" s="1"/>
  <c r="F19" i="9"/>
  <c r="F17" i="9" s="1"/>
  <c r="E17" i="9"/>
  <c r="K8" i="9"/>
  <c r="P19" i="9"/>
  <c r="I8" i="9"/>
  <c r="E26" i="9"/>
  <c r="C26" i="9"/>
  <c r="H26" i="9"/>
  <c r="N7" i="9"/>
  <c r="M6" i="9"/>
  <c r="P4" i="9"/>
  <c r="I26" i="9"/>
  <c r="G5" i="9"/>
  <c r="B4" i="9"/>
  <c r="B7" i="9" s="1"/>
  <c r="O5" i="9"/>
  <c r="P5" i="9" s="1"/>
  <c r="Q5" i="9" s="1"/>
  <c r="R5" i="9" s="1"/>
  <c r="S5" i="9" s="1"/>
  <c r="T5" i="9" s="1"/>
  <c r="U5" i="9" s="1"/>
  <c r="K6" i="9"/>
  <c r="E28" i="9"/>
  <c r="N5" i="9"/>
  <c r="P3" i="9"/>
  <c r="Q3" i="9" s="1"/>
  <c r="R3" i="9" s="1"/>
  <c r="S3" i="9" s="1"/>
  <c r="T3" i="9" s="1"/>
  <c r="U3" i="9" s="1"/>
  <c r="O6" i="9"/>
  <c r="P6" i="9" s="1"/>
  <c r="Q6" i="9" s="1"/>
  <c r="R6" i="9" s="1"/>
  <c r="S6" i="9" s="1"/>
  <c r="T6" i="9" s="1"/>
  <c r="U6" i="9" s="1"/>
  <c r="N6" i="9"/>
  <c r="B5" i="9"/>
  <c r="C28" i="9"/>
  <c r="M5" i="9"/>
  <c r="E8" i="9"/>
  <c r="G26" i="9"/>
  <c r="I7" i="9"/>
  <c r="I31" i="9"/>
  <c r="I28" i="9"/>
  <c r="B26" i="9"/>
  <c r="R17" i="9"/>
  <c r="M15" i="9"/>
  <c r="N12" i="9"/>
  <c r="N8" i="9" s="1"/>
  <c r="B6" i="9"/>
  <c r="T22" i="9"/>
  <c r="U22" i="9" s="1"/>
  <c r="I30" i="9"/>
  <c r="S22" i="9"/>
  <c r="S17" i="9" s="1"/>
  <c r="L15" i="9"/>
  <c r="F1" i="9"/>
  <c r="G1" i="9" s="1"/>
  <c r="H1" i="9" s="1"/>
  <c r="I1" i="9" s="1"/>
  <c r="K1" i="9" s="1"/>
  <c r="L1" i="9" s="1"/>
  <c r="M1" i="9" s="1"/>
  <c r="N1" i="9" s="1"/>
  <c r="O1" i="9" s="1"/>
  <c r="P1" i="9" s="1"/>
  <c r="Q1" i="9" s="1"/>
  <c r="R1" i="9" s="1"/>
  <c r="S1" i="9" s="1"/>
  <c r="T1" i="9" s="1"/>
  <c r="K5" i="9"/>
  <c r="I6" i="9"/>
  <c r="H4" i="9"/>
  <c r="H8" i="9" s="1"/>
  <c r="H6" i="9"/>
  <c r="H30" i="9"/>
  <c r="K19" i="9"/>
  <c r="K17" i="9" s="1"/>
  <c r="R22" i="9"/>
  <c r="I5" i="9"/>
  <c r="G4" i="9"/>
  <c r="G8" i="9" s="1"/>
  <c r="G6" i="9"/>
  <c r="E31" i="9"/>
  <c r="Q22" i="9"/>
  <c r="Q17" i="9" s="1"/>
  <c r="F30" i="9"/>
  <c r="P22" i="9"/>
  <c r="P17" i="9" s="1"/>
  <c r="F5" i="9"/>
  <c r="E6" i="9"/>
  <c r="D4" i="9"/>
  <c r="D8" i="9" s="1"/>
  <c r="D5" i="9"/>
  <c r="F4" i="9"/>
  <c r="F8" i="9" s="1"/>
  <c r="E5" i="9"/>
  <c r="C5" i="9"/>
  <c r="C6" i="9"/>
  <c r="L6" i="9"/>
  <c r="L4" i="9"/>
  <c r="L39" i="4"/>
  <c r="M39" i="4" s="1"/>
  <c r="N39" i="4" s="1"/>
  <c r="M4" i="4"/>
  <c r="N4" i="4"/>
  <c r="L4" i="4"/>
  <c r="O17" i="9" l="1"/>
  <c r="T17" i="9"/>
  <c r="U17" i="9" s="1"/>
  <c r="B28" i="9"/>
  <c r="B8" i="9"/>
  <c r="Q4" i="9"/>
  <c r="L7" i="9"/>
  <c r="L8" i="9"/>
  <c r="B31" i="9"/>
  <c r="G7" i="9"/>
  <c r="G28" i="9"/>
  <c r="G31" i="9"/>
  <c r="D7" i="9"/>
  <c r="D31" i="9"/>
  <c r="D28" i="9"/>
  <c r="H7" i="9"/>
  <c r="H28" i="9"/>
  <c r="H31" i="9"/>
  <c r="F7" i="9"/>
  <c r="F28" i="9"/>
  <c r="F31" i="9"/>
  <c r="O12" i="9"/>
  <c r="O8" i="9" s="1"/>
  <c r="N15" i="9"/>
  <c r="Z39" i="4"/>
  <c r="S39" i="4"/>
  <c r="T39" i="4"/>
  <c r="U39" i="4"/>
  <c r="V39" i="4"/>
  <c r="W39" i="4"/>
  <c r="R39" i="4"/>
  <c r="R4" i="9" l="1"/>
  <c r="P12" i="9"/>
  <c r="P8" i="9" s="1"/>
  <c r="O15" i="9"/>
  <c r="K43" i="4"/>
  <c r="K44" i="4" s="1"/>
  <c r="K37" i="4"/>
  <c r="L37" i="4"/>
  <c r="M37" i="4"/>
  <c r="N37" i="4"/>
  <c r="J37" i="4"/>
  <c r="K34" i="4"/>
  <c r="L34" i="4"/>
  <c r="M34" i="4"/>
  <c r="N34" i="4"/>
  <c r="J34" i="4"/>
  <c r="J33" i="4"/>
  <c r="K33" i="4" s="1"/>
  <c r="L33" i="4" s="1"/>
  <c r="M33" i="4" s="1"/>
  <c r="N33" i="4" s="1"/>
  <c r="S30" i="4"/>
  <c r="T30" i="4"/>
  <c r="U30" i="4"/>
  <c r="V30" i="4"/>
  <c r="W30" i="4"/>
  <c r="R30" i="4"/>
  <c r="Z30" i="4" s="1"/>
  <c r="J28" i="4"/>
  <c r="K28" i="4" s="1"/>
  <c r="L28" i="4" s="1"/>
  <c r="M28" i="4" s="1"/>
  <c r="N28" i="4" s="1"/>
  <c r="S28" i="4"/>
  <c r="T28" i="4"/>
  <c r="U28" i="4"/>
  <c r="V28" i="4"/>
  <c r="W28" i="4"/>
  <c r="R28" i="4"/>
  <c r="Z28" i="4" s="1"/>
  <c r="J23" i="4"/>
  <c r="J36" i="4"/>
  <c r="K36" i="4" s="1"/>
  <c r="L36" i="4" s="1"/>
  <c r="M36" i="4" s="1"/>
  <c r="N36" i="4" s="1"/>
  <c r="J35" i="4"/>
  <c r="K35" i="4" s="1"/>
  <c r="L35" i="4" s="1"/>
  <c r="M35" i="4" s="1"/>
  <c r="N35" i="4" s="1"/>
  <c r="J29" i="4"/>
  <c r="K29" i="4" s="1"/>
  <c r="L29" i="4" s="1"/>
  <c r="M29" i="4" s="1"/>
  <c r="N29" i="4" s="1"/>
  <c r="J27" i="4"/>
  <c r="K27" i="4" s="1"/>
  <c r="L27" i="4" s="1"/>
  <c r="M27" i="4" s="1"/>
  <c r="N27" i="4" s="1"/>
  <c r="J26" i="4"/>
  <c r="K26" i="4" s="1"/>
  <c r="L26" i="4" s="1"/>
  <c r="M26" i="4" s="1"/>
  <c r="N26" i="4" s="1"/>
  <c r="S4" i="9" l="1"/>
  <c r="Q12" i="9"/>
  <c r="Q8" i="9" s="1"/>
  <c r="P15" i="9"/>
  <c r="K70" i="4"/>
  <c r="L43" i="4"/>
  <c r="K23" i="4"/>
  <c r="T4" i="9" l="1"/>
  <c r="R12" i="9"/>
  <c r="R8" i="9" s="1"/>
  <c r="Q15" i="9"/>
  <c r="L70" i="4"/>
  <c r="N43" i="4"/>
  <c r="M43" i="4"/>
  <c r="L23" i="4"/>
  <c r="U4" i="9" l="1"/>
  <c r="S12" i="9"/>
  <c r="S8" i="9" s="1"/>
  <c r="R15" i="9"/>
  <c r="M70" i="4"/>
  <c r="N70" i="4"/>
  <c r="M23" i="4"/>
  <c r="T12" i="9" l="1"/>
  <c r="T8" i="9" s="1"/>
  <c r="U8" i="9" s="1"/>
  <c r="S15" i="9"/>
  <c r="N23" i="4"/>
  <c r="T15" i="9" l="1"/>
  <c r="A48" i="9"/>
  <c r="U12" i="9" s="1"/>
  <c r="R23" i="4"/>
  <c r="S23" i="4"/>
  <c r="T23" i="4"/>
  <c r="U23" i="4"/>
  <c r="V23" i="4"/>
  <c r="W23" i="4"/>
  <c r="U15" i="9" l="1"/>
  <c r="L24" i="9"/>
  <c r="Q24" i="9"/>
  <c r="D27" i="9"/>
  <c r="O24" i="9"/>
  <c r="K24" i="9"/>
  <c r="I27" i="9"/>
  <c r="H27" i="9"/>
  <c r="G27" i="9"/>
  <c r="N24" i="9"/>
  <c r="E27" i="9"/>
  <c r="T24" i="9"/>
  <c r="U24" i="9" s="1"/>
  <c r="I24" i="9"/>
  <c r="P24" i="9"/>
  <c r="C27" i="9"/>
  <c r="F27" i="9"/>
  <c r="S24" i="9"/>
  <c r="B27" i="9"/>
  <c r="M24" i="9"/>
  <c r="R24" i="9"/>
  <c r="Z22" i="4"/>
  <c r="J1" i="4"/>
  <c r="K1" i="4" s="1"/>
  <c r="L1" i="4" s="1"/>
  <c r="M1" i="4" s="1"/>
  <c r="N1" i="4" s="1"/>
  <c r="H1" i="4"/>
  <c r="G1" i="4" s="1"/>
  <c r="F1" i="4" s="1"/>
  <c r="E1" i="4" s="1"/>
  <c r="D1" i="4" s="1"/>
  <c r="C1" i="4" s="1"/>
  <c r="B1" i="4" s="1"/>
  <c r="A51" i="3" l="1"/>
  <c r="A20" i="3" l="1"/>
  <c r="J1" i="3"/>
  <c r="K1" i="3" s="1"/>
  <c r="L1" i="3" s="1"/>
  <c r="M1" i="3" s="1"/>
  <c r="N1" i="3" s="1"/>
  <c r="H1" i="3"/>
  <c r="G1" i="3" s="1"/>
  <c r="F1" i="3" s="1"/>
  <c r="E1" i="3" s="1"/>
  <c r="D1" i="3" s="1"/>
  <c r="C1" i="3" s="1"/>
  <c r="B1" i="3" s="1"/>
  <c r="H1" i="1" l="1"/>
  <c r="G1" i="1" s="1"/>
  <c r="F1" i="1" s="1"/>
  <c r="E1" i="1" s="1"/>
  <c r="D1" i="1" s="1"/>
  <c r="C1" i="1" s="1"/>
  <c r="B1" i="1" s="1"/>
  <c r="L4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<sst xmlns="http://schemas.openxmlformats.org/spreadsheetml/2006/main" count="455" uniqueCount="292">
  <si>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</si>
  <si>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</si>
  <si>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</si>
  <si>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</si>
  <si>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</si>
  <si>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</si>
  <si>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</si>
  <si>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</si>
  <si>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</si>
  <si>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</si>
  <si>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</si>
  <si>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</si>
  <si>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</si>
  <si>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</si>
  <si>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</si>
  <si>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</si>
  <si>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</si>
  <si>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</si>
  <si>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</si>
  <si>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</si>
  <si>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</si>
  <si>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</si>
  <si>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</si>
  <si>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</si>
  <si>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</si>
  <si>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</si>
  <si>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</si>
  <si>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</si>
  <si>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</si>
  <si>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</si>
  <si>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</si>
  <si>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</si>
  <si>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</si>
  <si>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</si>
  <si>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</si>
  <si>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</si>
  <si>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</si>
  <si>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</si>
  <si>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</si>
  <si>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</si>
  <si>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</si>
  <si>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</si>
  <si>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</si>
  <si>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</si>
  <si>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</si>
  <si>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</si>
  <si>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</si>
  <si>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</si>
  <si>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</si>
  <si>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</si>
  <si>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</si>
  <si>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</si>
  <si>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</si>
  <si>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</si>
  <si>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</si>
  <si>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</si>
  <si>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</si>
  <si>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</si>
  <si>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</si>
  <si>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</si>
  <si>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</si>
  <si>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</si>
  <si>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</si>
  <si>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</si>
  <si>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</si>
  <si>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</si>
  <si>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</si>
  <si>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</si>
  <si>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</si>
  <si>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</si>
  <si>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</si>
  <si>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</si>
  <si>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</si>
  <si>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</si>
  <si>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</si>
  <si>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</si>
  <si>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</si>
  <si>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</si>
  <si>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</si>
  <si>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</si>
  <si>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</si>
  <si>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</si>
  <si>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</si>
  <si>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</si>
  <si>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</si>
  <si>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</si>
  <si>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</si>
  <si>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</si>
  <si>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</si>
  <si>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</si>
  <si>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</si>
  <si>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</si>
  <si>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</si>
  <si>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</si>
  <si>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</si>
  <si>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</si>
  <si>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</si>
  <si>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</si>
  <si>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</si>
  <si>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</si>
  <si>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</si>
  <si>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</si>
  <si>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</si>
  <si>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</si>
  <si>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</si>
  <si>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</si>
  <si>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</si>
  <si>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</si>
  <si>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</si>
  <si>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</si>
  <si>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</si>
  <si>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</si>
  <si>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</si>
  <si>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</si>
  <si>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</si>
  <si>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</si>
  <si>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</si>
  <si>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</si>
  <si>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</si>
  <si>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</si>
  <si>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</si>
  <si>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</si>
  <si>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</si>
  <si>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</si>
  <si>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</si>
  <si>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</si>
  <si>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</si>
  <si>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</si>
  <si>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</si>
  <si>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</si>
  <si>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</si>
  <si>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</si>
  <si>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</si>
  <si>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</si>
  <si>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</si>
  <si>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</si>
  <si>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</si>
  <si>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</si>
  <si>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</si>
  <si>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</si>
  <si>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</si>
  <si>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</si>
  <si>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</si>
  <si>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</si>
  <si>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</si>
  <si>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</si>
  <si>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</si>
  <si>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</si>
  <si>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</si>
  <si>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</si>
  <si>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</si>
  <si>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</si>
  <si>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</si>
  <si>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</si>
  <si>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</si>
  <si>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</si>
  <si>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</si>
  <si>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</si>
  <si>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</si>
  <si>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</si>
  <si>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</si>
  <si>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</si>
  <si>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</si>
  <si>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</si>
  <si>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</si>
  <si>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</si>
  <si>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</si>
  <si>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</si>
  <si>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</si>
  <si>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</si>
  <si>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</si>
  <si>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</si>
  <si>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</si>
  <si>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</si>
  <si>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</si>
  <si>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</si>
  <si>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</si>
  <si>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</si>
  <si>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</si>
  <si>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</si>
  <si>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</si>
  <si>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</si>
  <si>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</si>
  <si>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</si>
  <si>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</si>
  <si>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</si>
  <si>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</si>
  <si>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</si>
  <si>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</si>
  <si>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</si>
  <si>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</si>
  <si>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</si>
  <si>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</si>
  <si>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</si>
  <si>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</si>
  <si>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</si>
  <si>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</si>
  <si>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</si>
  <si>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</si>
  <si>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</si>
  <si>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</si>
  <si>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</si>
  <si>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</si>
  <si>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</si>
  <si>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</si>
  <si>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</si>
  <si>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</si>
  <si>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</si>
  <si>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nm</t>
  </si>
  <si>
    <t>—</t>
  </si>
  <si>
    <t>32B64:G10373</t>
  </si>
  <si>
    <t>n.a</t>
  </si>
  <si>
    <t>A 13% growth rate, consistent with 10y historical average + company's commitment to remain competitive by investing more</t>
  </si>
  <si>
    <t>Inconsistent historical growth pattern, however a 0.5% growth rate to reflect company's commitment to remain invested in its assets in order to promote technological advancement and innovation</t>
  </si>
  <si>
    <t>Not very consistent historical pattern. 2% to reflect historically continous increase in debt</t>
  </si>
  <si>
    <t>Incosistent growth pattern. 0.5% to reflect company's commitment in expanding its investments</t>
  </si>
  <si>
    <t>avg</t>
  </si>
  <si>
    <t>Based on a 12.16% average  historical calculation</t>
  </si>
  <si>
    <t>Based on 11.7% hist.orical average</t>
  </si>
  <si>
    <t>Very inconsitent patter/0% growth assigned</t>
  </si>
  <si>
    <t>Based on 2.93% historical average</t>
  </si>
  <si>
    <t>Incosistent growth pattern / same value as previous year maintained</t>
  </si>
  <si>
    <t>Based on Segmental Forecast from previous task</t>
  </si>
  <si>
    <t>based on Cash interest as part of Net Debt</t>
  </si>
  <si>
    <t>Based on. Historical average</t>
  </si>
  <si>
    <t>Based on instruction to keep NO. of Shares the same</t>
  </si>
  <si>
    <t>Based on calculation of payout ratio = -30 (dividends/net income)</t>
  </si>
  <si>
    <t>Based on 7% hist. growth average</t>
  </si>
  <si>
    <t>based in 10% hist. average</t>
  </si>
  <si>
    <t>Ebitda - D&amp;A</t>
  </si>
  <si>
    <t>based on 12% hist. average</t>
  </si>
  <si>
    <t>12bn share buy back - distributed to shareholders in form of dividends</t>
  </si>
  <si>
    <t>based on 5% hist. average</t>
  </si>
  <si>
    <t>CFF+CFO+CFI</t>
  </si>
  <si>
    <t>Closing Cash - Cash</t>
  </si>
  <si>
    <t>CFF+CFO+CFI from cash flow statement</t>
  </si>
  <si>
    <t>Based on 2.75% hist. average + 12bn for 2024 share buyback</t>
  </si>
  <si>
    <t>Calculation as Net income - Div. paid. Net income is the same across projections + 12bn deduction for share buyback</t>
  </si>
  <si>
    <t>Notes</t>
  </si>
  <si>
    <t>Feel free to reach out, if you have any questions or issues related to the task.</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</si>
  <si>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</si>
  <si>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</si>
  <si>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</si>
  <si>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</si>
  <si>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</si>
  <si>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</si>
  <si>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</si>
  <si>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</si>
  <si>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</si>
  <si>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</si>
  <si>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</si>
  <si>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</si>
  <si>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</si>
  <si>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</si>
  <si>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</si>
  <si>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</si>
  <si>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</si>
  <si>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</si>
  <si>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Calculate using below figures</t>
  </si>
  <si>
    <t>Source from a financial website</t>
  </si>
  <si>
    <t>Cost of Equity</t>
  </si>
  <si>
    <t>CAPM</t>
  </si>
  <si>
    <t>https://www.treasury.gov/resource-center/data-chart-center/interest-rates/Pages/TextView.aspx?data=longtermrate</t>
  </si>
  <si>
    <t>S&amp;P 500 index 1 year return (Source from a financial website)</t>
  </si>
  <si>
    <t>Calculate from Income statement sheet</t>
  </si>
  <si>
    <t>Debt Ratio</t>
  </si>
  <si>
    <t>Present Values</t>
  </si>
  <si>
    <t>Calculate for periods from 2022 onwards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</si>
  <si>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</si>
  <si>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</si>
  <si>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</si>
  <si>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</si>
  <si>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</si>
  <si>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</si>
  <si>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total liab</t>
  </si>
  <si>
    <t>total debtt</t>
  </si>
  <si>
    <t>fcff</t>
  </si>
  <si>
    <t>working capital</t>
  </si>
  <si>
    <t>Rf (averahe US treasury)</t>
  </si>
  <si>
    <t>Beta * unlevered (nike's exposure to risk)</t>
  </si>
  <si>
    <t>Cost of Debt (Rf+1%)</t>
  </si>
  <si>
    <t>WACC 2024</t>
  </si>
  <si>
    <t>EBIT forecast</t>
  </si>
  <si>
    <t>Terminal value = FCF last period / (wacc-terminal growth rate EBIT)</t>
  </si>
  <si>
    <t>power calculation</t>
  </si>
  <si>
    <t>Rm ( Sp500 return)</t>
  </si>
  <si>
    <t>Beta from 2025 onwards 0.95-close to previous 5 year average 1.2</t>
  </si>
  <si>
    <t>US 10 year Treasure 2025 onward at 3%</t>
  </si>
  <si>
    <t>usp 500  2025 onwards return</t>
  </si>
  <si>
    <t>cost of debt 2025 onwards= previous +10%</t>
  </si>
  <si>
    <t>Projection assumption for metrics after 2027 is 10% growth</t>
  </si>
  <si>
    <t>Projection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</si>
</sst>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0.0%"/>
    <numFmt numFmtId="167" formatCode="_(* #,##0_);_(* \(#,##0\);_(* \-??_);_(@_)"/>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9"/>
      <name val="Calibri"/>
      <family val="2"/>
      <scheme val="minor"/>
    </font>
    <font>
      <sz val="11"/>
      <name val="Calibri"/>
      <family val="2"/>
      <scheme val="minor"/>
    </font>
    <font>
      <b/>
      <sz val="11"/>
      <color rgb="FF000000"/>
      <name val="Calibri"/>
      <family val="2"/>
      <charset val="1"/>
    </font>
    <font>
      <b/>
      <sz val="11"/>
      <color rgb="FFFF0000"/>
      <name val="Calibri"/>
      <family val="2"/>
      <charset val="1"/>
    </font>
    <font>
      <i/>
      <sz val="11"/>
      <color rgb="FF000000"/>
      <name val="Calibri"/>
      <family val="2"/>
      <charset val="1"/>
    </font>
    <font>
      <sz val="11"/>
      <color rgb="FFFF0000"/>
      <name val="Calibri"/>
      <family val="2"/>
      <charset val="1"/>
    </font>
    <font>
      <b/>
      <i/>
      <sz val="10"/>
      <color rgb="FF000000"/>
      <name val="Calibri"/>
      <family val="2"/>
      <charset val="1"/>
    </font>
    <font>
      <i/>
      <sz val="10"/>
      <color rgb="FF000000"/>
      <name val="Calibri"/>
      <family val="2"/>
      <charset val="1"/>
    </font>
    <font>
      <sz val="11"/>
      <color rgb="FFFFFFFF"/>
      <name val="Calibri"/>
      <family val="2"/>
      <charset val="1"/>
    </font>
    <font>
      <sz val="11"/>
      <color rgb="FF000000"/>
      <name val="Calibri"/>
      <family val="2"/>
      <scheme val="minor"/>
    </font>
    <font>
      <u/>
      <sz val="11"/>
      <color theme="10"/>
      <name val="Calibri"/>
      <family val="2"/>
      <scheme val="minor"/>
    </font>
    <font>
      <u/>
      <sz val="11"/>
      <color theme="0"/>
      <name val="Calibri"/>
      <family val="2"/>
      <scheme val="minor"/>
    </font>
    <font>
      <i/>
      <sz val="11"/>
      <color theme="1"/>
      <name val="Calibri"/>
      <family val="2"/>
      <scheme val="minor"/>
    </font>
    <font>
      <sz val="11"/>
      <color rgb="FFFF0000"/>
      <name val="Calibri"/>
      <family val="2"/>
      <scheme val="minor"/>
    </font>
  </fonts>
  <fills count="1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ADB9CA"/>
        <bgColor rgb="FFB4C7DC"/>
      </patternFill>
    </fill>
    <fill>
      <patternFill patternType="solid">
        <fgColor rgb="FF4472C4"/>
        <bgColor rgb="FF2A6099"/>
      </patternFill>
    </fill>
    <fill>
      <patternFill patternType="solid">
        <fgColor theme="0" tint="-0.499984740745262"/>
        <bgColor indexed="64"/>
      </patternFill>
    </fill>
    <fill>
      <patternFill patternType="solid">
        <fgColor theme="2" tint="-9.9978637043366805E-2"/>
        <bgColor indexed="64"/>
      </patternFill>
    </fill>
    <fill>
      <patternFill patternType="solid">
        <fgColor theme="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4" fillId="10" borderId="0" applyBorder="0" applyProtection="0"/>
    <xf numFmtId="0" fontId="26" fillId="0" borderId="0" applyNumberFormat="0" applyFill="0" applyBorder="0" applyAlignment="0" applyProtection="0"/>
  </cellStyleXfs>
  <cellXfs count="12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166" fontId="16" fillId="0" borderId="0" xfId="2" applyNumberFormat="1" applyFont="1" applyFill="1" applyAlignment="1">
      <alignment horizontal="right"/>
    </xf>
    <xf numFmtId="166" fontId="16" fillId="0" borderId="0" xfId="2" applyNumberFormat="1" applyFont="1" applyFill="1"/>
    <xf numFmtId="165" fontId="17" fillId="0" borderId="0" xfId="1" applyNumberFormat="1" applyFont="1" applyFill="1"/>
    <xf numFmtId="0" fontId="7" fillId="2" borderId="0" xfId="0" applyFont="1" applyFill="1" applyAlignment="1">
      <alignment horizontal="center"/>
    </xf>
    <xf numFmtId="2" fontId="0" fillId="0" borderId="0" xfId="0" applyNumberFormat="1"/>
    <xf numFmtId="167" fontId="1" fillId="0" borderId="0" xfId="1" applyNumberFormat="1" applyBorder="1" applyProtection="1"/>
    <xf numFmtId="167" fontId="1" fillId="0" borderId="3" xfId="1" applyNumberFormat="1" applyBorder="1" applyProtection="1"/>
    <xf numFmtId="167" fontId="18" fillId="0" borderId="0" xfId="1" applyNumberFormat="1" applyFont="1" applyBorder="1" applyProtection="1"/>
    <xf numFmtId="167" fontId="1" fillId="0" borderId="1" xfId="1" applyNumberFormat="1" applyBorder="1" applyProtection="1"/>
    <xf numFmtId="167" fontId="18" fillId="0" borderId="1" xfId="1" applyNumberFormat="1" applyFont="1" applyBorder="1" applyProtection="1"/>
    <xf numFmtId="167" fontId="18" fillId="0" borderId="2" xfId="1" applyNumberFormat="1" applyFont="1" applyBorder="1" applyProtection="1"/>
    <xf numFmtId="167" fontId="19" fillId="0" borderId="0" xfId="0" applyNumberFormat="1" applyFont="1"/>
    <xf numFmtId="0" fontId="18" fillId="9" borderId="0" xfId="0" applyFont="1" applyFill="1" applyAlignment="1">
      <alignment horizontal="center"/>
    </xf>
    <xf numFmtId="167" fontId="18" fillId="0" borderId="4" xfId="1" applyNumberFormat="1" applyFont="1" applyBorder="1" applyProtection="1"/>
    <xf numFmtId="0" fontId="20" fillId="0" borderId="0" xfId="0" applyFont="1" applyAlignment="1">
      <alignment horizontal="center"/>
    </xf>
    <xf numFmtId="0" fontId="19" fillId="0" borderId="0" xfId="0" applyFont="1"/>
    <xf numFmtId="167" fontId="21" fillId="0" borderId="0" xfId="1" applyNumberFormat="1" applyFont="1" applyBorder="1" applyProtection="1"/>
    <xf numFmtId="0" fontId="21" fillId="0" borderId="0" xfId="0" applyFont="1"/>
    <xf numFmtId="166" fontId="22" fillId="0" borderId="0" xfId="2" applyNumberFormat="1" applyFont="1" applyBorder="1" applyProtection="1"/>
    <xf numFmtId="166" fontId="23" fillId="0" borderId="0" xfId="2" applyNumberFormat="1" applyFont="1" applyBorder="1" applyProtection="1"/>
    <xf numFmtId="166" fontId="22" fillId="0" borderId="1" xfId="2" applyNumberFormat="1" applyFont="1" applyBorder="1" applyProtection="1"/>
    <xf numFmtId="166" fontId="22" fillId="0" borderId="4" xfId="2" applyNumberFormat="1" applyFont="1" applyBorder="1" applyProtection="1"/>
    <xf numFmtId="166" fontId="23" fillId="0" borderId="0" xfId="2" applyNumberFormat="1" applyFont="1" applyBorder="1" applyAlignment="1" applyProtection="1">
      <alignment horizontal="center"/>
    </xf>
    <xf numFmtId="167" fontId="0" fillId="0" borderId="0" xfId="1" applyNumberFormat="1" applyFont="1"/>
    <xf numFmtId="167" fontId="2" fillId="0" borderId="0" xfId="1" applyNumberFormat="1" applyFont="1"/>
    <xf numFmtId="167" fontId="2" fillId="0" borderId="0" xfId="0" applyNumberFormat="1" applyFont="1"/>
    <xf numFmtId="9" fontId="0" fillId="0" borderId="0" xfId="2" applyFont="1"/>
    <xf numFmtId="10" fontId="0" fillId="0" borderId="0" xfId="2" applyNumberFormat="1" applyFont="1"/>
    <xf numFmtId="166" fontId="0" fillId="0" borderId="0" xfId="0" applyNumberFormat="1"/>
    <xf numFmtId="43" fontId="0" fillId="0" borderId="0" xfId="2" applyNumberFormat="1" applyFont="1"/>
    <xf numFmtId="10" fontId="0" fillId="0" borderId="0" xfId="0" applyNumberFormat="1"/>
    <xf numFmtId="0" fontId="25" fillId="0" borderId="0" xfId="0" applyFont="1"/>
    <xf numFmtId="9" fontId="0" fillId="0" borderId="0" xfId="0" applyNumberFormat="1"/>
    <xf numFmtId="0" fontId="5" fillId="0" borderId="0" xfId="1" applyNumberFormat="1" applyFont="1" applyBorder="1"/>
    <xf numFmtId="0" fontId="5" fillId="0" borderId="0" xfId="1" applyNumberFormat="1" applyFont="1" applyBorder="1" applyAlignment="1">
      <alignment horizontal="center"/>
    </xf>
    <xf numFmtId="165" fontId="2" fillId="0" borderId="0" xfId="0" applyNumberFormat="1" applyFont="1" applyAlignment="1">
      <alignment horizontal="center"/>
    </xf>
    <xf numFmtId="0" fontId="6" fillId="2" borderId="0" xfId="0" applyFont="1" applyFill="1" applyAlignment="1">
      <alignment vertical="center" wrapText="1"/>
    </xf>
    <xf numFmtId="0" fontId="6" fillId="2" borderId="0" xfId="0" applyFont="1" applyFill="1" applyAlignment="1">
      <alignment wrapText="1"/>
    </xf>
    <xf numFmtId="0" fontId="6" fillId="11" borderId="0" xfId="0" applyFont="1" applyFill="1" applyAlignment="1">
      <alignment horizontal="right"/>
    </xf>
    <xf numFmtId="0" fontId="6" fillId="11" borderId="0" xfId="0" applyFont="1" applyFill="1" applyAlignment="1">
      <alignment horizontal="right" wrapText="1"/>
    </xf>
    <xf numFmtId="0" fontId="0" fillId="12" borderId="0" xfId="0" applyFill="1"/>
    <xf numFmtId="2" fontId="0" fillId="0" borderId="0" xfId="1" applyNumberFormat="1" applyFont="1"/>
    <xf numFmtId="166" fontId="0" fillId="0" borderId="0" xfId="2" applyNumberFormat="1" applyFont="1"/>
    <xf numFmtId="166" fontId="0" fillId="0" borderId="0" xfId="2" applyNumberFormat="1" applyFont="1" applyFill="1"/>
    <xf numFmtId="0" fontId="0" fillId="0" borderId="5"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0" xfId="0" applyNumberFormat="1"/>
    <xf numFmtId="167" fontId="0" fillId="0" borderId="0" xfId="0" applyNumberFormat="1"/>
    <xf numFmtId="9" fontId="0" fillId="0" borderId="0" xfId="2" applyFont="1" applyFill="1"/>
    <xf numFmtId="165" fontId="0" fillId="0" borderId="8" xfId="0" applyNumberFormat="1" applyBorder="1"/>
    <xf numFmtId="43" fontId="0" fillId="0" borderId="6" xfId="0" applyNumberFormat="1" applyBorder="1"/>
    <xf numFmtId="0" fontId="3" fillId="13" borderId="0" xfId="0" applyFont="1" applyFill="1"/>
    <xf numFmtId="0" fontId="3" fillId="13" borderId="0" xfId="0" applyFont="1" applyFill="1" applyAlignment="1">
      <alignment horizontal="left" indent="1"/>
    </xf>
    <xf numFmtId="0" fontId="27" fillId="13" borderId="0" xfId="7" applyFont="1" applyFill="1" applyAlignment="1">
      <alignment horizontal="left" indent="1"/>
    </xf>
    <xf numFmtId="165" fontId="17" fillId="0" borderId="0" xfId="1" applyNumberFormat="1" applyFont="1"/>
    <xf numFmtId="0" fontId="0" fillId="0" borderId="0" xfId="1" applyNumberFormat="1" applyFont="1"/>
    <xf numFmtId="0" fontId="0" fillId="0" borderId="0" xfId="2" applyNumberFormat="1" applyFont="1"/>
    <xf numFmtId="10" fontId="28" fillId="0" borderId="0" xfId="2" applyNumberFormat="1" applyFont="1" applyBorder="1" applyAlignment="1">
      <alignment horizontal="left"/>
    </xf>
    <xf numFmtId="10" fontId="1" fillId="0" borderId="0" xfId="1" applyNumberFormat="1" applyFont="1" applyBorder="1" applyAlignment="1">
      <alignment horizontal="right"/>
    </xf>
    <xf numFmtId="10" fontId="3" fillId="0" borderId="0" xfId="1" applyNumberFormat="1" applyFont="1" applyBorder="1" applyAlignment="1">
      <alignment horizontal="right"/>
    </xf>
    <xf numFmtId="10" fontId="1" fillId="0" borderId="0" xfId="2" applyNumberFormat="1" applyFont="1"/>
    <xf numFmtId="0" fontId="1" fillId="0" borderId="0" xfId="0" applyFont="1"/>
    <xf numFmtId="10" fontId="0" fillId="0" borderId="0" xfId="2" applyNumberFormat="1" applyFont="1" applyFill="1"/>
    <xf numFmtId="0" fontId="29" fillId="0" borderId="0" xfId="0" applyFont="1"/>
    <xf numFmtId="1" fontId="0" fillId="0" borderId="0" xfId="0" applyNumberFormat="1"/>
  </cellXfs>
  <cellStyles count="8">
    <cellStyle name="60% - Accent1" xfId="5" builtinId="32"/>
    <cellStyle name="Accent1" xfId="4" builtinId="29"/>
    <cellStyle name="Comma" xfId="1" builtinId="3"/>
    <cellStyle name="Comma 2" xfId="3" xr:uid="{00000000-0005-0000-0000-000003000000}"/>
    <cellStyle name="Excel Built-in Accent1" xfId="6" xr:uid="{6B3F8DF4-8BCA-8048-8CEE-C3C99FB6752B}"/>
    <cellStyle name="Hyperlink" xfId="7"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treasury.gov/resource-center/data-chart-center/interest-rates/Pages/TextView.aspx?data=longtermr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zoomScale="200" zoomScaleNormal="200" workbookViewId="0">
      <selection activeCell="A4" sqref="A4:A13"/>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s="1" t="s">
        <v>198</v>
      </c>
    </row>
    <row r="3" spans="1:1" x14ac:dyDescent="0.2">
      <c r="A3" t="s">
        <v>199</v>
      </c>
    </row>
    <row r="4" spans="1:1" x14ac:dyDescent="0.2">
      <c r="A4" t="s">
        <v>200</v>
      </c>
    </row>
    <row r="5" spans="1:1" x14ac:dyDescent="0.2">
      <c r="A5" t="s">
        <v>201</v>
      </c>
    </row>
    <row r="6" spans="1:1" x14ac:dyDescent="0.2">
      <c r="A6" t="s">
        <v>202</v>
      </c>
    </row>
    <row r="7" spans="1:1" x14ac:dyDescent="0.2">
      <c r="A7" t="s">
        <v>206</v>
      </c>
    </row>
    <row r="8" spans="1:1" x14ac:dyDescent="0.2">
      <c r="A8" s="2" t="s">
        <v>203</v>
      </c>
    </row>
    <row r="9" spans="1:1" x14ac:dyDescent="0.2">
      <c r="A9" t="s">
        <v>204</v>
      </c>
    </row>
    <row r="10" spans="1:1" x14ac:dyDescent="0.2">
      <c r="A10"/>
    </row>
    <row r="11" spans="1:1" x14ac:dyDescent="0.2">
      <c r="A11" t="s">
        <v>205</v>
      </c>
    </row>
    <row r="12" spans="1:1" x14ac:dyDescent="0.2">
      <c r="A12" t="s">
        <v>207</v>
      </c>
    </row>
    <row r="13" spans="1:1" x14ac:dyDescent="0.2">
      <c r="A13"/>
    </row>
    <row r="14" spans="1:1" x14ac:dyDescent="0.2">
      <c r="A14"/>
    </row>
    <row r="15" spans="1:1" x14ac:dyDescent="0.2">
      <c r="A15"/>
    </row>
    <row r="16" spans="1:1"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4"/>
  <sheetViews>
    <sheetView workbookViewId="0">
      <pane ySplit="1" topLeftCell="A2" activePane="bottomLeft" state="frozen"/>
      <selection pane="bottomLeft" activeCell="Y32" sqref="Y32"/>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64">
        <v>30601</v>
      </c>
      <c r="C2" s="64">
        <v>32376</v>
      </c>
      <c r="D2" s="64">
        <v>34350</v>
      </c>
      <c r="E2" s="64">
        <v>36397</v>
      </c>
      <c r="F2" s="64">
        <v>39117</v>
      </c>
      <c r="G2" s="64">
        <v>37403</v>
      </c>
      <c r="H2" s="3">
        <v>44538</v>
      </c>
      <c r="I2" s="3">
        <v>46710</v>
      </c>
    </row>
    <row r="3" spans="1:9" x14ac:dyDescent="0.2">
      <c r="A3" s="22" t="s">
        <v>28</v>
      </c>
      <c r="B3" s="65">
        <v>16534</v>
      </c>
      <c r="C3" s="65">
        <v>17405</v>
      </c>
      <c r="D3" s="65">
        <v>19038</v>
      </c>
      <c r="E3" s="65">
        <v>20441</v>
      </c>
      <c r="F3" s="65">
        <v>21643</v>
      </c>
      <c r="G3" s="65">
        <v>21162</v>
      </c>
      <c r="H3" s="23">
        <v>24576</v>
      </c>
      <c r="I3" s="23">
        <v>25231</v>
      </c>
    </row>
    <row r="4" spans="1:9" s="1" customFormat="1" x14ac:dyDescent="0.2">
      <c r="A4" s="1" t="s">
        <v>4</v>
      </c>
      <c r="B4" s="66">
        <v>14067</v>
      </c>
      <c r="C4" s="66">
        <v>14971</v>
      </c>
      <c r="D4" s="66">
        <v>15312</v>
      </c>
      <c r="E4" s="66">
        <v>15956</v>
      </c>
      <c r="F4" s="66">
        <v>17474</v>
      </c>
      <c r="G4" s="66">
        <v>16241</v>
      </c>
      <c r="H4" s="9">
        <v>19962</v>
      </c>
      <c r="I4" s="9">
        <v>21479</v>
      </c>
    </row>
    <row r="5" spans="1:9" x14ac:dyDescent="0.2">
      <c r="A5" s="11" t="s">
        <v>21</v>
      </c>
      <c r="B5" s="64">
        <v>3213</v>
      </c>
      <c r="C5" s="64">
        <v>3278</v>
      </c>
      <c r="D5" s="64">
        <v>3341</v>
      </c>
      <c r="E5" s="64">
        <v>3577</v>
      </c>
      <c r="F5" s="64">
        <v>3753</v>
      </c>
      <c r="G5" s="64">
        <v>3592</v>
      </c>
      <c r="H5" s="3">
        <v>3114</v>
      </c>
      <c r="I5" s="3">
        <v>3850</v>
      </c>
    </row>
    <row r="6" spans="1:9" x14ac:dyDescent="0.2">
      <c r="A6" s="11" t="s">
        <v>22</v>
      </c>
      <c r="B6" s="64">
        <v>6679</v>
      </c>
      <c r="C6" s="64">
        <v>7191</v>
      </c>
      <c r="D6" s="64">
        <v>7222</v>
      </c>
      <c r="E6" s="64">
        <v>7934</v>
      </c>
      <c r="F6" s="64">
        <v>8949</v>
      </c>
      <c r="G6" s="64">
        <v>9534</v>
      </c>
      <c r="H6" s="3">
        <v>9911</v>
      </c>
      <c r="I6" s="3">
        <v>10954</v>
      </c>
    </row>
    <row r="7" spans="1:9" x14ac:dyDescent="0.2">
      <c r="A7" s="21" t="s">
        <v>23</v>
      </c>
      <c r="B7" s="67">
        <v>9892</v>
      </c>
      <c r="C7" s="67">
        <v>10469</v>
      </c>
      <c r="D7" s="67">
        <v>10563</v>
      </c>
      <c r="E7" s="67">
        <v>11511</v>
      </c>
      <c r="F7" s="67">
        <v>12702</v>
      </c>
      <c r="G7" s="67">
        <v>13126</v>
      </c>
      <c r="H7" s="20">
        <v>13025</v>
      </c>
      <c r="I7" s="20">
        <v>14804</v>
      </c>
    </row>
    <row r="8" spans="1:9" x14ac:dyDescent="0.2">
      <c r="A8" s="2" t="s">
        <v>24</v>
      </c>
      <c r="B8" s="64">
        <v>28</v>
      </c>
      <c r="C8" s="64">
        <v>19</v>
      </c>
      <c r="D8" s="64">
        <v>59</v>
      </c>
      <c r="E8" s="64">
        <v>54</v>
      </c>
      <c r="F8" s="64">
        <v>49</v>
      </c>
      <c r="G8" s="64">
        <v>89</v>
      </c>
      <c r="H8" s="3">
        <v>262</v>
      </c>
      <c r="I8" s="3">
        <v>205</v>
      </c>
    </row>
    <row r="9" spans="1:9" x14ac:dyDescent="0.2">
      <c r="A9" s="2" t="s">
        <v>5</v>
      </c>
      <c r="B9" s="64">
        <v>-58</v>
      </c>
      <c r="C9" s="64">
        <v>-140</v>
      </c>
      <c r="D9" s="64">
        <v>-196</v>
      </c>
      <c r="E9">
        <v>66</v>
      </c>
      <c r="F9" s="64">
        <v>-78</v>
      </c>
      <c r="G9" s="64">
        <v>139</v>
      </c>
      <c r="H9" s="3">
        <v>14</v>
      </c>
      <c r="I9" s="3">
        <v>-181</v>
      </c>
    </row>
    <row r="10" spans="1:9" x14ac:dyDescent="0.2">
      <c r="A10" s="4" t="s">
        <v>25</v>
      </c>
      <c r="B10" s="68">
        <v>4205</v>
      </c>
      <c r="C10" s="68">
        <v>4623</v>
      </c>
      <c r="D10" s="68">
        <v>4886</v>
      </c>
      <c r="E10" s="68">
        <v>4325</v>
      </c>
      <c r="F10" s="68">
        <v>4801</v>
      </c>
      <c r="G10" s="68">
        <v>2887</v>
      </c>
      <c r="H10" s="5">
        <v>6661</v>
      </c>
      <c r="I10" s="5">
        <v>6651</v>
      </c>
    </row>
    <row r="11" spans="1:9" x14ac:dyDescent="0.2">
      <c r="A11" s="2" t="s">
        <v>26</v>
      </c>
      <c r="B11" s="64">
        <v>932</v>
      </c>
      <c r="C11" s="64">
        <v>863</v>
      </c>
      <c r="D11" s="64">
        <v>646</v>
      </c>
      <c r="E11" s="64">
        <v>2392</v>
      </c>
      <c r="F11" s="64">
        <v>772</v>
      </c>
      <c r="G11" s="64">
        <v>348</v>
      </c>
      <c r="H11" s="3">
        <v>934</v>
      </c>
      <c r="I11" s="3">
        <v>605</v>
      </c>
    </row>
    <row r="12" spans="1:9" ht="16" thickBot="1" x14ac:dyDescent="0.25">
      <c r="A12" s="6" t="s">
        <v>29</v>
      </c>
      <c r="B12" s="69">
        <v>3273</v>
      </c>
      <c r="C12" s="69">
        <v>3760</v>
      </c>
      <c r="D12" s="69">
        <v>4240</v>
      </c>
      <c r="E12" s="69">
        <v>1933</v>
      </c>
      <c r="F12" s="69">
        <v>4029</v>
      </c>
      <c r="G12" s="69">
        <v>2539</v>
      </c>
      <c r="H12" s="7">
        <v>5727</v>
      </c>
      <c r="I12" s="7">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26" x14ac:dyDescent="0.2">
      <c r="A17" s="2" t="s">
        <v>6</v>
      </c>
      <c r="B17" s="8">
        <v>1542</v>
      </c>
      <c r="C17" s="8">
        <v>1697.9</v>
      </c>
      <c r="D17" s="8">
        <v>1657.8</v>
      </c>
      <c r="E17" s="8">
        <v>1623.8</v>
      </c>
      <c r="F17" s="8">
        <v>1579.7</v>
      </c>
      <c r="G17" s="8">
        <v>1558.8</v>
      </c>
      <c r="H17" s="8">
        <v>1573</v>
      </c>
      <c r="I17" s="8">
        <v>1578.8</v>
      </c>
    </row>
    <row r="18" spans="1:26" x14ac:dyDescent="0.2">
      <c r="A18" s="2" t="s">
        <v>7</v>
      </c>
      <c r="B18" s="8">
        <v>1768</v>
      </c>
      <c r="C18" s="8">
        <v>1742.5</v>
      </c>
      <c r="D18" s="8">
        <v>1692</v>
      </c>
      <c r="E18" s="8">
        <v>1659.1</v>
      </c>
      <c r="F18" s="8">
        <v>1618.4</v>
      </c>
      <c r="G18" s="8">
        <v>1591.6</v>
      </c>
      <c r="H18" s="8">
        <v>1609.4</v>
      </c>
      <c r="I18" s="8">
        <v>1610.8</v>
      </c>
    </row>
    <row r="20" spans="1:26" s="12" customFormat="1" x14ac:dyDescent="0.2">
      <c r="A20" s="12" t="s">
        <v>2</v>
      </c>
      <c r="B20" s="70">
        <v>0</v>
      </c>
      <c r="C20" s="70">
        <v>0</v>
      </c>
      <c r="D20" s="70">
        <v>0</v>
      </c>
      <c r="E20" s="70">
        <v>0</v>
      </c>
      <c r="F20" s="70">
        <v>0</v>
      </c>
      <c r="G20" s="70">
        <v>0</v>
      </c>
      <c r="H20" s="13">
        <v>0</v>
      </c>
      <c r="I20" s="13">
        <v>0</v>
      </c>
    </row>
    <row r="22" spans="1:26" x14ac:dyDescent="0.2">
      <c r="A22" s="14" t="s">
        <v>0</v>
      </c>
      <c r="B22" s="71"/>
      <c r="C22" s="71"/>
      <c r="D22" s="71"/>
      <c r="E22" s="71"/>
      <c r="F22" s="71"/>
      <c r="G22" s="71"/>
      <c r="H22" s="14"/>
      <c r="I22" s="14"/>
    </row>
    <row r="23" spans="1:26" x14ac:dyDescent="0.2">
      <c r="A23" s="1" t="s">
        <v>30</v>
      </c>
    </row>
    <row r="24" spans="1:26" x14ac:dyDescent="0.2">
      <c r="A24" s="10" t="s">
        <v>31</v>
      </c>
      <c r="B24" s="64"/>
      <c r="C24" s="64"/>
      <c r="D24" s="64"/>
      <c r="E24" s="64"/>
      <c r="F24" s="64"/>
      <c r="G24" s="64"/>
      <c r="H24" s="3"/>
      <c r="I24" s="3"/>
    </row>
    <row r="25" spans="1:26" x14ac:dyDescent="0.2">
      <c r="A25" s="11" t="s">
        <v>32</v>
      </c>
      <c r="B25" s="64">
        <v>3852</v>
      </c>
      <c r="C25" s="64">
        <v>3138</v>
      </c>
      <c r="D25" s="64">
        <v>3808</v>
      </c>
      <c r="E25" s="64">
        <v>4249</v>
      </c>
      <c r="F25" s="64">
        <v>4466</v>
      </c>
      <c r="G25" s="64">
        <v>8348</v>
      </c>
      <c r="H25" s="3">
        <v>9889</v>
      </c>
      <c r="I25" s="3">
        <v>8574</v>
      </c>
    </row>
    <row r="26" spans="1:26" x14ac:dyDescent="0.2">
      <c r="A26" s="11" t="s">
        <v>33</v>
      </c>
      <c r="B26" s="64">
        <v>2072</v>
      </c>
      <c r="C26" s="64">
        <v>2319</v>
      </c>
      <c r="D26" s="64">
        <v>2371</v>
      </c>
      <c r="E26" s="64">
        <v>996</v>
      </c>
      <c r="F26" s="64">
        <v>197</v>
      </c>
      <c r="G26" s="64">
        <v>439</v>
      </c>
      <c r="H26" s="3">
        <v>3587</v>
      </c>
      <c r="I26" s="3">
        <v>4423</v>
      </c>
    </row>
    <row r="27" spans="1:26" x14ac:dyDescent="0.2">
      <c r="A27" s="11" t="s">
        <v>34</v>
      </c>
      <c r="B27" s="64">
        <v>3358</v>
      </c>
      <c r="C27" s="64">
        <v>3241</v>
      </c>
      <c r="D27" s="64">
        <v>3677</v>
      </c>
      <c r="E27" s="64">
        <v>3498</v>
      </c>
      <c r="F27" s="64">
        <v>4272</v>
      </c>
      <c r="G27" s="19">
        <v>2749</v>
      </c>
      <c r="H27" s="3">
        <v>4463</v>
      </c>
      <c r="I27" s="3">
        <v>4667</v>
      </c>
      <c r="O27" t="s">
        <v>275</v>
      </c>
    </row>
    <row r="28" spans="1:26" x14ac:dyDescent="0.2">
      <c r="A28" s="11" t="s">
        <v>35</v>
      </c>
      <c r="B28" s="64">
        <v>4337</v>
      </c>
      <c r="C28" s="64">
        <v>4838</v>
      </c>
      <c r="D28" s="64">
        <v>5055</v>
      </c>
      <c r="E28" s="64">
        <v>5261</v>
      </c>
      <c r="F28" s="64">
        <v>5622</v>
      </c>
      <c r="G28" s="64">
        <v>7367</v>
      </c>
      <c r="H28" s="3">
        <v>6854</v>
      </c>
      <c r="I28" s="3">
        <v>8420</v>
      </c>
      <c r="O28">
        <v>2021</v>
      </c>
      <c r="P28">
        <v>2022</v>
      </c>
      <c r="Q28">
        <v>2023</v>
      </c>
      <c r="R28">
        <v>2024</v>
      </c>
      <c r="S28">
        <v>2025</v>
      </c>
      <c r="T28">
        <v>2026</v>
      </c>
      <c r="U28">
        <v>2027</v>
      </c>
      <c r="V28">
        <v>2028</v>
      </c>
      <c r="W28">
        <v>2029</v>
      </c>
      <c r="X28">
        <v>2030</v>
      </c>
      <c r="Y28">
        <v>2031</v>
      </c>
      <c r="Z28">
        <v>2032</v>
      </c>
    </row>
    <row r="29" spans="1:26" x14ac:dyDescent="0.2">
      <c r="A29" s="11" t="s">
        <v>36</v>
      </c>
      <c r="B29" s="64">
        <v>1968</v>
      </c>
      <c r="C29" s="64">
        <v>1489</v>
      </c>
      <c r="D29" s="64">
        <v>1150</v>
      </c>
      <c r="E29" s="64">
        <v>1130</v>
      </c>
      <c r="F29" s="64">
        <v>1968</v>
      </c>
      <c r="G29" s="64">
        <v>1653</v>
      </c>
      <c r="H29" s="3">
        <v>1498</v>
      </c>
      <c r="I29" s="3">
        <v>2129</v>
      </c>
      <c r="O29" s="109">
        <f>B46+B45</f>
        <v>7411</v>
      </c>
      <c r="P29" s="109">
        <f t="shared" ref="P29:V29" si="1">C46+C45</f>
        <v>7368</v>
      </c>
      <c r="Q29" s="109">
        <f t="shared" si="1"/>
        <v>5474</v>
      </c>
      <c r="R29" s="109">
        <f t="shared" si="1"/>
        <v>6040</v>
      </c>
      <c r="S29" s="109">
        <f t="shared" si="1"/>
        <v>11330</v>
      </c>
      <c r="T29" s="109">
        <f t="shared" si="1"/>
        <v>17690</v>
      </c>
      <c r="U29" s="109">
        <f t="shared" si="1"/>
        <v>19087</v>
      </c>
      <c r="V29" s="109">
        <f t="shared" si="1"/>
        <v>19650</v>
      </c>
      <c r="W29" s="109">
        <f>V29*(1+10%)</f>
        <v>21615</v>
      </c>
      <c r="X29" s="109">
        <f t="shared" ref="X29:Z29" si="2">W29*(1+10%)</f>
        <v>23776.500000000004</v>
      </c>
      <c r="Y29" s="109">
        <f t="shared" si="2"/>
        <v>26154.150000000005</v>
      </c>
      <c r="Z29" s="109">
        <f t="shared" si="2"/>
        <v>28769.56500000001</v>
      </c>
    </row>
    <row r="30" spans="1:26" x14ac:dyDescent="0.2">
      <c r="A30" s="4" t="s">
        <v>10</v>
      </c>
      <c r="B30" s="68">
        <v>15587</v>
      </c>
      <c r="C30" s="68">
        <v>15025</v>
      </c>
      <c r="D30" s="68">
        <v>16061</v>
      </c>
      <c r="E30" s="68">
        <v>15134</v>
      </c>
      <c r="F30" s="68">
        <v>16525</v>
      </c>
      <c r="G30" s="68">
        <v>20556</v>
      </c>
      <c r="H30" s="5">
        <v>26291</v>
      </c>
      <c r="I30" s="5">
        <v>28213</v>
      </c>
    </row>
    <row r="31" spans="1:26" x14ac:dyDescent="0.2">
      <c r="A31" s="2" t="s">
        <v>37</v>
      </c>
      <c r="B31" s="64">
        <v>3011</v>
      </c>
      <c r="C31" s="64">
        <v>3520</v>
      </c>
      <c r="D31" s="64">
        <v>3989</v>
      </c>
      <c r="E31" s="64">
        <v>4454</v>
      </c>
      <c r="F31" s="64">
        <v>4744</v>
      </c>
      <c r="G31" s="64">
        <v>4866</v>
      </c>
      <c r="H31" s="3">
        <v>4904</v>
      </c>
      <c r="I31" s="3">
        <v>4791</v>
      </c>
    </row>
    <row r="32" spans="1:26" x14ac:dyDescent="0.2">
      <c r="A32" s="2" t="s">
        <v>38</v>
      </c>
      <c r="B32" s="64"/>
      <c r="C32" s="64"/>
      <c r="D32" s="64"/>
      <c r="E32" s="64"/>
      <c r="F32" s="64" t="s">
        <v>209</v>
      </c>
      <c r="G32" s="64">
        <v>3097</v>
      </c>
      <c r="H32" s="3">
        <v>3113</v>
      </c>
      <c r="I32" s="3">
        <v>2926</v>
      </c>
    </row>
    <row r="33" spans="1:21" x14ac:dyDescent="0.2">
      <c r="A33" s="2" t="s">
        <v>39</v>
      </c>
      <c r="B33" s="64">
        <v>281</v>
      </c>
      <c r="C33" s="64">
        <v>281</v>
      </c>
      <c r="D33" s="64">
        <v>283</v>
      </c>
      <c r="E33" s="64">
        <v>285</v>
      </c>
      <c r="F33" s="64">
        <v>283</v>
      </c>
      <c r="G33" s="64">
        <v>274</v>
      </c>
      <c r="H33" s="3">
        <v>269</v>
      </c>
      <c r="I33" s="3">
        <v>286</v>
      </c>
    </row>
    <row r="34" spans="1:21" x14ac:dyDescent="0.2">
      <c r="A34" s="2" t="s">
        <v>40</v>
      </c>
      <c r="B34" s="64">
        <v>131</v>
      </c>
      <c r="C34" s="64">
        <v>131</v>
      </c>
      <c r="D34" s="64">
        <v>139</v>
      </c>
      <c r="E34" s="64">
        <v>154</v>
      </c>
      <c r="F34" s="64">
        <v>154</v>
      </c>
      <c r="G34" s="64">
        <v>223</v>
      </c>
      <c r="H34" s="3">
        <v>242</v>
      </c>
      <c r="I34" s="3">
        <v>284</v>
      </c>
    </row>
    <row r="35" spans="1:21" x14ac:dyDescent="0.2">
      <c r="A35" s="2" t="s">
        <v>41</v>
      </c>
      <c r="B35" s="64">
        <v>2587</v>
      </c>
      <c r="C35">
        <v>2439</v>
      </c>
      <c r="D35">
        <v>2787</v>
      </c>
      <c r="E35">
        <v>2509</v>
      </c>
      <c r="F35">
        <v>2011</v>
      </c>
      <c r="G35">
        <v>2326</v>
      </c>
      <c r="H35" s="3">
        <v>2921</v>
      </c>
      <c r="I35" s="3">
        <v>3821</v>
      </c>
    </row>
    <row r="36" spans="1:21" ht="16" thickBot="1" x14ac:dyDescent="0.25">
      <c r="A36" s="6" t="s">
        <v>42</v>
      </c>
      <c r="B36" s="69">
        <v>21597</v>
      </c>
      <c r="C36" s="69">
        <v>21396</v>
      </c>
      <c r="D36" s="69">
        <v>23259</v>
      </c>
      <c r="E36" s="69">
        <v>22536</v>
      </c>
      <c r="F36" s="69">
        <v>23717</v>
      </c>
      <c r="G36" s="69">
        <v>31342</v>
      </c>
      <c r="H36" s="7">
        <v>37740</v>
      </c>
      <c r="I36" s="7">
        <v>40321</v>
      </c>
    </row>
    <row r="37" spans="1:21" ht="16" thickTop="1" x14ac:dyDescent="0.2">
      <c r="A37" s="1" t="s">
        <v>43</v>
      </c>
      <c r="B37" s="64"/>
      <c r="C37" s="64"/>
      <c r="D37" s="64"/>
      <c r="E37" s="64"/>
      <c r="F37" s="64"/>
      <c r="G37" s="64"/>
      <c r="H37" s="3"/>
      <c r="I37" s="3"/>
    </row>
    <row r="38" spans="1:21" x14ac:dyDescent="0.2">
      <c r="A38" s="2" t="s">
        <v>44</v>
      </c>
      <c r="B38" s="64"/>
      <c r="C38" s="64"/>
      <c r="D38" s="64"/>
      <c r="E38" s="64"/>
      <c r="F38" s="64"/>
      <c r="G38" s="64"/>
      <c r="H38" s="3"/>
      <c r="I38" s="3"/>
    </row>
    <row r="39" spans="1:21" x14ac:dyDescent="0.2">
      <c r="A39" s="11" t="s">
        <v>45</v>
      </c>
      <c r="B39" s="64">
        <v>107</v>
      </c>
      <c r="C39" s="64">
        <v>44</v>
      </c>
      <c r="D39" s="64">
        <v>6</v>
      </c>
      <c r="E39" s="64">
        <v>6</v>
      </c>
      <c r="F39" s="64">
        <v>6</v>
      </c>
      <c r="G39" s="64">
        <v>3</v>
      </c>
      <c r="H39" s="3">
        <v>0</v>
      </c>
      <c r="I39" s="3">
        <v>500</v>
      </c>
    </row>
    <row r="40" spans="1:21" x14ac:dyDescent="0.2">
      <c r="A40" s="11" t="s">
        <v>46</v>
      </c>
      <c r="B40" s="64">
        <v>74</v>
      </c>
      <c r="C40" s="64">
        <v>1</v>
      </c>
      <c r="D40" s="64">
        <v>325</v>
      </c>
      <c r="E40" s="64">
        <v>336</v>
      </c>
      <c r="F40" s="64">
        <v>9</v>
      </c>
      <c r="G40" s="64">
        <v>248</v>
      </c>
      <c r="H40" s="3">
        <v>2</v>
      </c>
      <c r="I40" s="3">
        <v>10</v>
      </c>
    </row>
    <row r="41" spans="1:21" x14ac:dyDescent="0.2">
      <c r="A41" s="11" t="s">
        <v>11</v>
      </c>
      <c r="B41" s="64">
        <v>2131</v>
      </c>
      <c r="C41" s="64">
        <v>2191</v>
      </c>
      <c r="D41" s="64">
        <v>2048</v>
      </c>
      <c r="E41" s="64">
        <v>2279</v>
      </c>
      <c r="F41" s="64">
        <v>2612</v>
      </c>
      <c r="G41" s="64">
        <v>2248</v>
      </c>
      <c r="H41" s="3">
        <v>2836</v>
      </c>
      <c r="I41" s="3">
        <v>3358</v>
      </c>
    </row>
    <row r="42" spans="1:21" x14ac:dyDescent="0.2">
      <c r="A42" s="11" t="s">
        <v>47</v>
      </c>
      <c r="B42" s="64"/>
      <c r="D42" s="64"/>
      <c r="E42" s="64"/>
      <c r="F42" s="64" t="s">
        <v>209</v>
      </c>
      <c r="G42" s="64">
        <v>445</v>
      </c>
      <c r="H42" s="3">
        <v>467</v>
      </c>
      <c r="I42" s="3">
        <v>420</v>
      </c>
    </row>
    <row r="43" spans="1:21" x14ac:dyDescent="0.2">
      <c r="A43" s="11" t="s">
        <v>12</v>
      </c>
      <c r="B43" s="64">
        <v>3949</v>
      </c>
      <c r="C43" s="64">
        <v>3037</v>
      </c>
      <c r="D43" s="64">
        <v>3011</v>
      </c>
      <c r="E43" s="64">
        <v>3269</v>
      </c>
      <c r="F43" s="64">
        <v>5010</v>
      </c>
      <c r="G43" s="64">
        <v>5184</v>
      </c>
      <c r="H43" s="3">
        <v>6063</v>
      </c>
      <c r="I43" s="3">
        <v>6220</v>
      </c>
    </row>
    <row r="44" spans="1:21" x14ac:dyDescent="0.2">
      <c r="A44" s="11" t="s">
        <v>48</v>
      </c>
      <c r="B44" s="64">
        <v>71</v>
      </c>
      <c r="C44" s="64">
        <v>85</v>
      </c>
      <c r="D44" s="64">
        <v>84</v>
      </c>
      <c r="E44" s="64">
        <v>150</v>
      </c>
      <c r="F44" s="64">
        <v>229</v>
      </c>
      <c r="G44" s="64">
        <v>156</v>
      </c>
      <c r="H44" s="3">
        <v>306</v>
      </c>
      <c r="I44" s="3">
        <v>222</v>
      </c>
    </row>
    <row r="45" spans="1:21" x14ac:dyDescent="0.2">
      <c r="A45" s="4" t="s">
        <v>13</v>
      </c>
      <c r="B45" s="68">
        <v>6332</v>
      </c>
      <c r="C45" s="68">
        <v>5358</v>
      </c>
      <c r="D45" s="68">
        <v>5474</v>
      </c>
      <c r="E45" s="68">
        <v>6040</v>
      </c>
      <c r="F45" s="68">
        <v>7866</v>
      </c>
      <c r="G45" s="68">
        <v>8284</v>
      </c>
      <c r="H45" s="5">
        <v>9674</v>
      </c>
      <c r="I45" s="5">
        <v>10730</v>
      </c>
      <c r="N45" t="s">
        <v>274</v>
      </c>
    </row>
    <row r="46" spans="1:21" x14ac:dyDescent="0.2">
      <c r="A46" s="2" t="s">
        <v>49</v>
      </c>
      <c r="B46" s="64">
        <v>1079</v>
      </c>
      <c r="C46" s="64">
        <v>2010</v>
      </c>
      <c r="D46" s="64">
        <v>0</v>
      </c>
      <c r="E46" s="64">
        <f>0</f>
        <v>0</v>
      </c>
      <c r="F46" s="64">
        <v>3464</v>
      </c>
      <c r="G46" s="64">
        <v>9406</v>
      </c>
      <c r="H46" s="3">
        <v>9413</v>
      </c>
      <c r="I46" s="3">
        <v>8920</v>
      </c>
      <c r="N46" s="109">
        <f>B59-B58</f>
        <v>8890</v>
      </c>
      <c r="O46" s="109">
        <f t="shared" ref="O46:U46" si="3">C59-C58</f>
        <v>9138</v>
      </c>
      <c r="P46" s="109">
        <f t="shared" si="3"/>
        <v>10852</v>
      </c>
      <c r="Q46" s="109">
        <f t="shared" si="3"/>
        <v>12724</v>
      </c>
      <c r="R46" s="109">
        <f t="shared" si="3"/>
        <v>14677</v>
      </c>
      <c r="S46" s="109">
        <f t="shared" si="3"/>
        <v>23287</v>
      </c>
      <c r="T46" s="109">
        <f t="shared" si="3"/>
        <v>24973</v>
      </c>
      <c r="U46" s="109">
        <f t="shared" si="3"/>
        <v>25040</v>
      </c>
    </row>
    <row r="47" spans="1:21" x14ac:dyDescent="0.2">
      <c r="A47" s="2" t="s">
        <v>50</v>
      </c>
      <c r="B47" s="64" t="s">
        <v>209</v>
      </c>
      <c r="C47" s="64" t="s">
        <v>209</v>
      </c>
      <c r="D47" s="64">
        <v>3471</v>
      </c>
      <c r="E47">
        <v>3468</v>
      </c>
      <c r="F47" s="64" t="s">
        <v>209</v>
      </c>
      <c r="G47" s="64">
        <v>2913</v>
      </c>
      <c r="H47" s="3">
        <v>2931</v>
      </c>
      <c r="I47" s="3">
        <v>2777</v>
      </c>
    </row>
    <row r="48" spans="1:21" x14ac:dyDescent="0.2">
      <c r="A48" s="2" t="s">
        <v>51</v>
      </c>
      <c r="B48" s="64">
        <v>1479</v>
      </c>
      <c r="C48" s="64">
        <v>1770</v>
      </c>
      <c r="D48" s="64">
        <v>1907</v>
      </c>
      <c r="E48" s="64">
        <v>3216</v>
      </c>
      <c r="F48" s="64">
        <v>3347</v>
      </c>
      <c r="G48" s="64">
        <v>2684</v>
      </c>
      <c r="H48" s="3">
        <v>2955</v>
      </c>
      <c r="I48" s="3">
        <v>2613</v>
      </c>
    </row>
    <row r="49" spans="1:21" x14ac:dyDescent="0.2">
      <c r="A49" s="2" t="s">
        <v>52</v>
      </c>
      <c r="B49" s="64"/>
      <c r="C49" s="64"/>
      <c r="D49" s="64"/>
      <c r="E49" s="64"/>
      <c r="F49" s="64"/>
      <c r="G49" s="64"/>
      <c r="H49" s="3"/>
      <c r="I49" s="3"/>
    </row>
    <row r="50" spans="1:21" x14ac:dyDescent="0.2">
      <c r="A50" s="11" t="s">
        <v>53</v>
      </c>
      <c r="B50" s="64"/>
      <c r="C50" s="64"/>
      <c r="D50" s="64"/>
      <c r="E50" s="64"/>
      <c r="F50" s="64"/>
      <c r="G50" s="64"/>
      <c r="H50" s="3">
        <v>0</v>
      </c>
      <c r="I50" s="3">
        <v>0</v>
      </c>
    </row>
    <row r="51" spans="1:21" x14ac:dyDescent="0.2">
      <c r="A51" s="2" t="s">
        <v>54</v>
      </c>
      <c r="B51" s="64"/>
      <c r="C51" s="64"/>
      <c r="D51" s="64"/>
      <c r="E51" s="64"/>
      <c r="F51" s="64"/>
      <c r="G51" s="64"/>
      <c r="H51" s="3"/>
      <c r="I51" s="3"/>
      <c r="N51" t="s">
        <v>277</v>
      </c>
    </row>
    <row r="52" spans="1:21" x14ac:dyDescent="0.2">
      <c r="A52" s="11" t="s">
        <v>55</v>
      </c>
      <c r="B52" s="64"/>
      <c r="C52" s="64"/>
      <c r="D52" s="64"/>
      <c r="E52" s="64"/>
      <c r="F52" s="64"/>
      <c r="G52" s="64"/>
      <c r="H52" s="3"/>
      <c r="I52" s="3"/>
      <c r="N52" s="109">
        <f>B30-B45</f>
        <v>9255</v>
      </c>
      <c r="O52" s="109">
        <f t="shared" ref="O52:U52" si="4">C30-C45</f>
        <v>9667</v>
      </c>
      <c r="P52" s="109">
        <f t="shared" si="4"/>
        <v>10587</v>
      </c>
      <c r="Q52" s="109">
        <f t="shared" si="4"/>
        <v>9094</v>
      </c>
      <c r="R52" s="109">
        <f t="shared" si="4"/>
        <v>8659</v>
      </c>
      <c r="S52" s="109">
        <f t="shared" si="4"/>
        <v>12272</v>
      </c>
      <c r="T52" s="109">
        <f t="shared" si="4"/>
        <v>16617</v>
      </c>
      <c r="U52" s="109">
        <f t="shared" si="4"/>
        <v>17483</v>
      </c>
    </row>
    <row r="53" spans="1:21" x14ac:dyDescent="0.2">
      <c r="A53" s="17" t="s">
        <v>56</v>
      </c>
      <c r="B53" s="64"/>
      <c r="C53" s="64"/>
      <c r="D53" s="64"/>
      <c r="E53" s="64"/>
      <c r="F53" s="64"/>
      <c r="G53" s="64"/>
      <c r="H53" s="3"/>
      <c r="I53" s="3"/>
    </row>
    <row r="54" spans="1:21" x14ac:dyDescent="0.2">
      <c r="A54" s="17" t="s">
        <v>57</v>
      </c>
      <c r="B54" s="64">
        <v>3</v>
      </c>
      <c r="C54" s="64">
        <v>3</v>
      </c>
      <c r="D54" s="64">
        <v>3</v>
      </c>
      <c r="E54" s="64">
        <v>3</v>
      </c>
      <c r="F54" s="64">
        <v>3</v>
      </c>
      <c r="G54" s="64">
        <v>3</v>
      </c>
      <c r="H54" s="3">
        <v>3</v>
      </c>
      <c r="I54" s="3">
        <v>3</v>
      </c>
    </row>
    <row r="55" spans="1:21" x14ac:dyDescent="0.2">
      <c r="A55" s="17" t="s">
        <v>58</v>
      </c>
      <c r="B55" s="64">
        <v>6773</v>
      </c>
      <c r="C55" s="64">
        <v>7786</v>
      </c>
      <c r="D55" s="64">
        <v>5710</v>
      </c>
      <c r="E55" s="64">
        <v>6384</v>
      </c>
      <c r="F55" s="64">
        <v>7163</v>
      </c>
      <c r="G55" s="64">
        <v>8299</v>
      </c>
      <c r="H55" s="3">
        <v>9965</v>
      </c>
      <c r="I55" s="3">
        <v>11484</v>
      </c>
    </row>
    <row r="56" spans="1:21" x14ac:dyDescent="0.2">
      <c r="A56" s="17" t="s">
        <v>59</v>
      </c>
      <c r="B56" s="64">
        <v>1246</v>
      </c>
      <c r="C56" s="64">
        <v>318</v>
      </c>
      <c r="D56" s="64">
        <v>-213</v>
      </c>
      <c r="E56" s="64">
        <v>-92</v>
      </c>
      <c r="F56" s="64">
        <v>231</v>
      </c>
      <c r="G56" s="64">
        <v>-56</v>
      </c>
      <c r="H56" s="3">
        <v>-380</v>
      </c>
      <c r="I56" s="3">
        <v>318</v>
      </c>
    </row>
    <row r="57" spans="1:21" x14ac:dyDescent="0.2">
      <c r="A57" s="17" t="s">
        <v>60</v>
      </c>
      <c r="B57" s="64">
        <v>4685</v>
      </c>
      <c r="C57" s="64">
        <v>4151</v>
      </c>
      <c r="D57" s="64">
        <v>6907</v>
      </c>
      <c r="E57" s="64">
        <v>3517</v>
      </c>
      <c r="F57" s="64">
        <v>1643</v>
      </c>
      <c r="G57" s="64">
        <v>-191</v>
      </c>
      <c r="H57" s="3">
        <v>3179</v>
      </c>
      <c r="I57" s="3">
        <v>3476</v>
      </c>
    </row>
    <row r="58" spans="1:21" x14ac:dyDescent="0.2">
      <c r="A58" s="4" t="s">
        <v>61</v>
      </c>
      <c r="B58" s="68">
        <v>12707</v>
      </c>
      <c r="C58" s="68">
        <v>12258</v>
      </c>
      <c r="D58" s="68">
        <v>12407</v>
      </c>
      <c r="E58" s="68">
        <v>9812</v>
      </c>
      <c r="F58" s="68">
        <v>9040</v>
      </c>
      <c r="G58" s="68">
        <v>8055</v>
      </c>
      <c r="H58" s="5">
        <v>12767</v>
      </c>
      <c r="I58" s="5">
        <v>15281</v>
      </c>
    </row>
    <row r="59" spans="1:21" ht="16" thickBot="1" x14ac:dyDescent="0.25">
      <c r="A59" s="6" t="s">
        <v>62</v>
      </c>
      <c r="B59" s="69">
        <v>21597</v>
      </c>
      <c r="C59" s="69">
        <v>21396</v>
      </c>
      <c r="D59" s="69">
        <v>23259</v>
      </c>
      <c r="E59" s="69">
        <v>22536</v>
      </c>
      <c r="F59" s="69">
        <v>23717</v>
      </c>
      <c r="G59" s="69">
        <v>31342</v>
      </c>
      <c r="H59" s="7">
        <v>37740</v>
      </c>
      <c r="I59" s="7">
        <v>40321</v>
      </c>
    </row>
    <row r="60" spans="1:21" s="12" customFormat="1" ht="16" thickTop="1" x14ac:dyDescent="0.2">
      <c r="A60" s="12" t="s">
        <v>3</v>
      </c>
      <c r="B60" s="70">
        <v>0</v>
      </c>
      <c r="C60" s="70">
        <v>0</v>
      </c>
      <c r="D60" s="70">
        <v>0</v>
      </c>
      <c r="E60" s="70">
        <v>0</v>
      </c>
      <c r="F60" s="70">
        <v>0</v>
      </c>
      <c r="G60" s="70">
        <v>0</v>
      </c>
      <c r="H60" s="13">
        <v>0</v>
      </c>
      <c r="I60" s="13">
        <v>0</v>
      </c>
    </row>
    <row r="61" spans="1:21" x14ac:dyDescent="0.2">
      <c r="A61" s="14" t="s">
        <v>1</v>
      </c>
      <c r="B61" s="71"/>
      <c r="C61" s="71"/>
      <c r="D61" s="71"/>
      <c r="E61" s="71"/>
      <c r="F61" s="71"/>
      <c r="G61" s="71"/>
      <c r="H61" s="14"/>
      <c r="I61" s="14"/>
    </row>
    <row r="62" spans="1:21" x14ac:dyDescent="0.2">
      <c r="A62" t="s">
        <v>15</v>
      </c>
    </row>
    <row r="63" spans="1:21" x14ac:dyDescent="0.2">
      <c r="A63" s="1" t="s">
        <v>63</v>
      </c>
      <c r="B63" t="s">
        <v>210</v>
      </c>
      <c r="C63">
        <v>3760</v>
      </c>
      <c r="D63">
        <v>4240</v>
      </c>
      <c r="E63">
        <v>1933</v>
      </c>
      <c r="F63">
        <v>4029</v>
      </c>
      <c r="G63">
        <v>2539</v>
      </c>
    </row>
    <row r="64" spans="1:21" s="1" customFormat="1" x14ac:dyDescent="0.2">
      <c r="A64" s="10" t="s">
        <v>64</v>
      </c>
      <c r="B64" s="66"/>
      <c r="C64" s="66"/>
      <c r="D64" s="66"/>
      <c r="E64" s="66"/>
      <c r="F64" s="66"/>
      <c r="G64" s="66"/>
      <c r="H64" s="9">
        <v>5727</v>
      </c>
      <c r="I64" s="9">
        <v>6046</v>
      </c>
    </row>
    <row r="65" spans="1:9" s="1" customFormat="1" x14ac:dyDescent="0.2">
      <c r="A65" s="2" t="s">
        <v>65</v>
      </c>
      <c r="B65" s="64">
        <v>606</v>
      </c>
      <c r="C65" s="64">
        <v>649</v>
      </c>
      <c r="D65" s="64">
        <v>706</v>
      </c>
      <c r="E65" s="64">
        <v>747</v>
      </c>
      <c r="F65" s="64">
        <v>705</v>
      </c>
      <c r="G65" s="64">
        <v>721</v>
      </c>
      <c r="H65" s="3"/>
      <c r="I65" s="3"/>
    </row>
    <row r="66" spans="1:9" x14ac:dyDescent="0.2">
      <c r="A66" s="11" t="s">
        <v>66</v>
      </c>
      <c r="B66" s="64">
        <v>-113</v>
      </c>
      <c r="C66" s="64">
        <v>-80</v>
      </c>
      <c r="D66" s="64">
        <v>-273</v>
      </c>
      <c r="E66" s="64">
        <v>647</v>
      </c>
      <c r="F66" s="64">
        <v>34</v>
      </c>
      <c r="G66" s="64">
        <v>-380</v>
      </c>
      <c r="H66" s="3">
        <v>744</v>
      </c>
      <c r="I66" s="3">
        <v>717</v>
      </c>
    </row>
    <row r="67" spans="1:9" x14ac:dyDescent="0.2">
      <c r="A67" s="11" t="s">
        <v>67</v>
      </c>
      <c r="B67" s="64">
        <v>191</v>
      </c>
      <c r="C67" s="64">
        <v>236</v>
      </c>
      <c r="D67" s="64">
        <v>215</v>
      </c>
      <c r="E67" s="64">
        <v>218</v>
      </c>
      <c r="F67" s="64">
        <v>325</v>
      </c>
      <c r="G67" s="64">
        <v>429</v>
      </c>
      <c r="H67" s="3">
        <v>-385</v>
      </c>
      <c r="I67" s="3">
        <v>-650</v>
      </c>
    </row>
    <row r="68" spans="1:9" x14ac:dyDescent="0.2">
      <c r="A68" s="11" t="s">
        <v>68</v>
      </c>
      <c r="B68" s="64">
        <v>43</v>
      </c>
      <c r="C68" s="64">
        <v>13</v>
      </c>
      <c r="D68" s="64">
        <v>10</v>
      </c>
      <c r="E68" s="64">
        <v>27</v>
      </c>
      <c r="F68" s="64">
        <v>15</v>
      </c>
      <c r="G68" s="64">
        <v>398</v>
      </c>
      <c r="H68" s="3">
        <v>611</v>
      </c>
      <c r="I68" s="3">
        <v>638</v>
      </c>
    </row>
    <row r="69" spans="1:9" x14ac:dyDescent="0.2">
      <c r="A69" s="11" t="s">
        <v>69</v>
      </c>
      <c r="B69" s="64">
        <v>424</v>
      </c>
      <c r="C69" s="64">
        <v>98</v>
      </c>
      <c r="D69" s="64">
        <v>-117</v>
      </c>
      <c r="E69" s="64">
        <v>-99</v>
      </c>
      <c r="F69" s="64">
        <v>233</v>
      </c>
      <c r="G69" s="64">
        <v>23</v>
      </c>
      <c r="H69" s="3">
        <v>53</v>
      </c>
      <c r="I69" s="3">
        <v>123</v>
      </c>
    </row>
    <row r="70" spans="1:9" x14ac:dyDescent="0.2">
      <c r="A70" s="11" t="s">
        <v>70</v>
      </c>
      <c r="B70" s="64"/>
      <c r="C70" s="64"/>
      <c r="D70" s="64"/>
      <c r="E70" s="64"/>
      <c r="F70" s="64"/>
      <c r="G70" s="64"/>
      <c r="H70" s="3">
        <v>-138</v>
      </c>
      <c r="I70" s="3">
        <v>-26</v>
      </c>
    </row>
    <row r="71" spans="1:9" x14ac:dyDescent="0.2">
      <c r="A71" s="2" t="s">
        <v>71</v>
      </c>
      <c r="B71" s="64">
        <v>-216</v>
      </c>
      <c r="C71" s="64">
        <v>60</v>
      </c>
      <c r="D71" s="64">
        <v>-426</v>
      </c>
      <c r="E71" s="64">
        <v>187</v>
      </c>
      <c r="F71" s="64">
        <v>-270</v>
      </c>
      <c r="G71" s="64">
        <v>1239</v>
      </c>
      <c r="H71" s="3"/>
      <c r="I71" s="3"/>
    </row>
    <row r="72" spans="1:9" x14ac:dyDescent="0.2">
      <c r="A72" s="11" t="s">
        <v>72</v>
      </c>
      <c r="B72" s="64">
        <v>-621</v>
      </c>
      <c r="C72" s="64">
        <v>-590</v>
      </c>
      <c r="D72" s="64">
        <v>-231</v>
      </c>
      <c r="E72" s="64">
        <v>-255</v>
      </c>
      <c r="F72" s="64">
        <v>-490</v>
      </c>
      <c r="G72" s="64">
        <v>-1854</v>
      </c>
      <c r="H72" s="3">
        <v>-1606</v>
      </c>
      <c r="I72" s="3">
        <v>-504</v>
      </c>
    </row>
    <row r="73" spans="1:9" x14ac:dyDescent="0.2">
      <c r="A73" s="11" t="s">
        <v>73</v>
      </c>
      <c r="B73" s="64">
        <v>-144</v>
      </c>
      <c r="C73" s="64">
        <v>-161</v>
      </c>
      <c r="D73" s="64">
        <v>-120</v>
      </c>
      <c r="E73" s="64">
        <v>35</v>
      </c>
      <c r="F73" s="64">
        <v>-203</v>
      </c>
      <c r="G73" s="64">
        <v>-654</v>
      </c>
      <c r="H73" s="3">
        <v>507</v>
      </c>
      <c r="I73" s="3">
        <v>-1676</v>
      </c>
    </row>
    <row r="74" spans="1:9" x14ac:dyDescent="0.2">
      <c r="A74" s="11" t="s">
        <v>98</v>
      </c>
      <c r="B74" s="64">
        <v>1237</v>
      </c>
      <c r="C74" s="64">
        <v>-586</v>
      </c>
      <c r="D74" s="64">
        <v>-158</v>
      </c>
      <c r="E74" s="64">
        <v>1515</v>
      </c>
      <c r="F74" s="64">
        <v>1525</v>
      </c>
      <c r="G74" s="64">
        <v>24</v>
      </c>
      <c r="H74" s="3">
        <v>-182</v>
      </c>
      <c r="I74" s="3">
        <v>-845</v>
      </c>
    </row>
    <row r="75" spans="1:9" x14ac:dyDescent="0.2">
      <c r="A75" s="11" t="s">
        <v>97</v>
      </c>
      <c r="B75" s="64">
        <v>1407</v>
      </c>
      <c r="C75" s="64">
        <v>3399</v>
      </c>
      <c r="D75" s="64">
        <v>3846</v>
      </c>
      <c r="E75" s="64">
        <v>4955</v>
      </c>
      <c r="F75" s="64">
        <v>5903</v>
      </c>
      <c r="G75" s="64">
        <v>2485</v>
      </c>
      <c r="H75" s="3">
        <v>1326</v>
      </c>
      <c r="I75" s="3">
        <v>1365</v>
      </c>
    </row>
    <row r="76" spans="1:9" x14ac:dyDescent="0.2">
      <c r="A76" s="24" t="s">
        <v>74</v>
      </c>
      <c r="B76" s="72">
        <v>2814</v>
      </c>
      <c r="C76" s="72">
        <v>6798</v>
      </c>
      <c r="D76" s="72">
        <v>7692</v>
      </c>
      <c r="E76" s="72">
        <v>9910</v>
      </c>
      <c r="F76" s="72">
        <v>11806</v>
      </c>
      <c r="G76" s="72">
        <v>4970</v>
      </c>
      <c r="H76" s="25">
        <v>6657</v>
      </c>
      <c r="I76" s="25">
        <v>5188</v>
      </c>
    </row>
    <row r="77" spans="1:9" x14ac:dyDescent="0.2">
      <c r="A77" s="1" t="s">
        <v>75</v>
      </c>
      <c r="B77" s="64"/>
      <c r="C77" s="64"/>
      <c r="D77" s="64"/>
      <c r="E77" s="64"/>
      <c r="F77" s="64"/>
      <c r="G77" s="64"/>
      <c r="H77" s="3"/>
      <c r="I77" s="3"/>
    </row>
    <row r="78" spans="1:9" x14ac:dyDescent="0.2">
      <c r="A78" s="2" t="s">
        <v>76</v>
      </c>
      <c r="B78" s="64">
        <v>-4936</v>
      </c>
      <c r="C78" s="64">
        <v>-5367</v>
      </c>
      <c r="D78" s="64">
        <v>-5928</v>
      </c>
      <c r="E78" s="64">
        <v>-4783</v>
      </c>
      <c r="F78" s="64">
        <v>-2937</v>
      </c>
      <c r="G78" s="64">
        <v>-2426</v>
      </c>
      <c r="H78" s="3">
        <v>-9961</v>
      </c>
      <c r="I78" s="3">
        <v>-12913</v>
      </c>
    </row>
    <row r="79" spans="1:9" x14ac:dyDescent="0.2">
      <c r="A79" s="2" t="s">
        <v>77</v>
      </c>
      <c r="B79" s="64">
        <v>3655</v>
      </c>
      <c r="C79" s="64">
        <v>2924</v>
      </c>
      <c r="D79" s="64">
        <v>3623</v>
      </c>
      <c r="E79" s="64">
        <v>3613</v>
      </c>
      <c r="F79" s="64">
        <v>1715</v>
      </c>
      <c r="G79" s="64">
        <v>74</v>
      </c>
      <c r="H79" s="3">
        <v>4236</v>
      </c>
      <c r="I79" s="3">
        <v>8199</v>
      </c>
    </row>
    <row r="80" spans="1:9" x14ac:dyDescent="0.2">
      <c r="A80" s="2" t="s">
        <v>78</v>
      </c>
      <c r="B80" s="64">
        <v>2216</v>
      </c>
      <c r="C80" s="64">
        <v>2386</v>
      </c>
      <c r="D80" s="64">
        <v>2423</v>
      </c>
      <c r="E80" s="64">
        <v>2496</v>
      </c>
      <c r="F80" s="64">
        <v>2072</v>
      </c>
      <c r="G80" s="64">
        <v>2379</v>
      </c>
      <c r="H80" s="3">
        <v>2449</v>
      </c>
      <c r="I80" s="3">
        <v>3967</v>
      </c>
    </row>
    <row r="81" spans="1:9" x14ac:dyDescent="0.2">
      <c r="A81" s="2" t="s">
        <v>14</v>
      </c>
      <c r="B81" s="64">
        <v>-150</v>
      </c>
      <c r="C81" s="64">
        <v>150</v>
      </c>
      <c r="D81" s="64" t="s">
        <v>209</v>
      </c>
      <c r="E81" s="64" t="s">
        <v>209</v>
      </c>
      <c r="F81" s="64" t="s">
        <v>209</v>
      </c>
      <c r="G81" s="64" t="s">
        <v>209</v>
      </c>
      <c r="H81" s="3">
        <v>-695</v>
      </c>
      <c r="I81" s="3">
        <v>-758</v>
      </c>
    </row>
    <row r="82" spans="1:9" x14ac:dyDescent="0.2">
      <c r="A82" s="2" t="s">
        <v>79</v>
      </c>
      <c r="B82" s="64">
        <v>-963</v>
      </c>
      <c r="C82" s="64">
        <v>-1143</v>
      </c>
      <c r="D82" s="64">
        <v>-1105</v>
      </c>
      <c r="E82" s="64">
        <v>-1028</v>
      </c>
      <c r="F82" s="64">
        <v>-1119</v>
      </c>
      <c r="G82" s="64">
        <v>-1086</v>
      </c>
      <c r="H82" s="3">
        <v>171</v>
      </c>
      <c r="I82" s="3">
        <v>-19</v>
      </c>
    </row>
    <row r="83" spans="1:9" x14ac:dyDescent="0.2">
      <c r="A83" s="26" t="s">
        <v>80</v>
      </c>
      <c r="B83" s="64">
        <v>3</v>
      </c>
      <c r="C83" s="64">
        <v>10</v>
      </c>
      <c r="D83" s="64">
        <v>13</v>
      </c>
      <c r="E83" s="64">
        <v>3</v>
      </c>
      <c r="F83" s="64" t="s">
        <v>209</v>
      </c>
      <c r="G83" s="64" t="s">
        <v>209</v>
      </c>
      <c r="H83" s="25">
        <v>-3800</v>
      </c>
      <c r="I83" s="25">
        <v>-1524</v>
      </c>
    </row>
    <row r="84" spans="1:9" x14ac:dyDescent="0.2">
      <c r="A84" s="1" t="s">
        <v>81</v>
      </c>
      <c r="B84" s="64" t="s">
        <v>209</v>
      </c>
      <c r="C84" s="64">
        <v>6</v>
      </c>
      <c r="D84" s="64">
        <v>-34</v>
      </c>
      <c r="E84" s="64">
        <v>-22</v>
      </c>
      <c r="F84" s="64">
        <v>5</v>
      </c>
      <c r="G84" s="64">
        <v>31</v>
      </c>
      <c r="H84" s="3"/>
      <c r="I84" s="3"/>
    </row>
    <row r="85" spans="1:9" x14ac:dyDescent="0.2">
      <c r="A85" s="2" t="s">
        <v>82</v>
      </c>
      <c r="B85" s="72">
        <v>-175</v>
      </c>
      <c r="C85" s="72">
        <v>-1034</v>
      </c>
      <c r="D85" s="72">
        <v>-1008</v>
      </c>
      <c r="E85" s="72">
        <v>279</v>
      </c>
      <c r="F85" s="72">
        <v>-264</v>
      </c>
      <c r="G85" s="72">
        <v>-1028</v>
      </c>
      <c r="H85" s="3">
        <v>0</v>
      </c>
      <c r="I85" s="3">
        <v>0</v>
      </c>
    </row>
    <row r="86" spans="1:9" x14ac:dyDescent="0.2">
      <c r="A86" s="2" t="s">
        <v>83</v>
      </c>
      <c r="B86" s="64"/>
      <c r="C86" s="64"/>
      <c r="D86" s="64"/>
      <c r="E86" s="64"/>
      <c r="F86" s="64"/>
      <c r="G86" s="64"/>
      <c r="H86" s="3">
        <v>-52</v>
      </c>
      <c r="I86" s="3">
        <v>15</v>
      </c>
    </row>
    <row r="87" spans="1:9" x14ac:dyDescent="0.2">
      <c r="A87" s="2" t="s">
        <v>84</v>
      </c>
      <c r="B87">
        <v>0</v>
      </c>
      <c r="C87" s="64">
        <v>981</v>
      </c>
      <c r="D87" s="64">
        <v>1482</v>
      </c>
      <c r="E87" s="64">
        <v>0</v>
      </c>
      <c r="F87" s="64">
        <v>0</v>
      </c>
      <c r="G87" s="64">
        <v>0</v>
      </c>
      <c r="H87" s="3">
        <v>-197</v>
      </c>
      <c r="I87" s="3">
        <v>0</v>
      </c>
    </row>
    <row r="88" spans="1:9" x14ac:dyDescent="0.2">
      <c r="A88" s="2" t="s">
        <v>85</v>
      </c>
      <c r="B88" s="64">
        <v>-7</v>
      </c>
      <c r="C88" s="64">
        <v>-106</v>
      </c>
      <c r="D88" s="64">
        <v>-44</v>
      </c>
      <c r="E88" s="64">
        <v>-6</v>
      </c>
      <c r="F88" s="64">
        <v>0</v>
      </c>
      <c r="G88" s="64">
        <v>0</v>
      </c>
      <c r="H88" s="3">
        <v>1172</v>
      </c>
      <c r="I88" s="3">
        <v>1151</v>
      </c>
    </row>
    <row r="89" spans="1:9" x14ac:dyDescent="0.2">
      <c r="A89" s="2" t="s">
        <v>16</v>
      </c>
      <c r="B89" s="64">
        <v>-63</v>
      </c>
      <c r="C89" s="64">
        <v>-67</v>
      </c>
      <c r="D89" s="64">
        <v>327</v>
      </c>
      <c r="E89" s="64">
        <v>13</v>
      </c>
      <c r="F89" s="64">
        <v>0</v>
      </c>
      <c r="G89" s="64">
        <v>6134</v>
      </c>
      <c r="H89" s="3">
        <v>-608</v>
      </c>
      <c r="I89" s="3">
        <v>-4014</v>
      </c>
    </row>
    <row r="90" spans="1:9" x14ac:dyDescent="0.2">
      <c r="A90" s="2" t="s">
        <v>86</v>
      </c>
      <c r="B90" s="64">
        <v>-19</v>
      </c>
      <c r="C90" s="64">
        <v>0</v>
      </c>
      <c r="D90" s="64">
        <v>0</v>
      </c>
      <c r="E90" s="64">
        <v>13</v>
      </c>
      <c r="F90" s="64">
        <v>-325</v>
      </c>
      <c r="G90">
        <v>49</v>
      </c>
      <c r="H90" s="3">
        <v>-1638</v>
      </c>
      <c r="I90" s="3">
        <v>-1837</v>
      </c>
    </row>
    <row r="91" spans="1:9" x14ac:dyDescent="0.2">
      <c r="A91" s="2" t="s">
        <v>87</v>
      </c>
      <c r="B91" s="64">
        <v>514</v>
      </c>
      <c r="C91" s="64">
        <v>507</v>
      </c>
      <c r="D91" s="64">
        <v>0</v>
      </c>
      <c r="E91" s="64">
        <v>733</v>
      </c>
      <c r="F91" s="64">
        <v>700</v>
      </c>
      <c r="G91" s="64">
        <v>885</v>
      </c>
      <c r="H91" s="3">
        <v>-136</v>
      </c>
      <c r="I91" s="3">
        <v>-151</v>
      </c>
    </row>
    <row r="92" spans="1:9" x14ac:dyDescent="0.2">
      <c r="A92" s="26" t="s">
        <v>88</v>
      </c>
      <c r="B92" s="64">
        <v>-2534</v>
      </c>
      <c r="C92" s="64">
        <v>-3238</v>
      </c>
      <c r="D92" s="64">
        <v>-3223</v>
      </c>
      <c r="E92" s="64">
        <v>-4254</v>
      </c>
      <c r="F92" s="64">
        <v>-4286</v>
      </c>
      <c r="G92" s="64">
        <v>-3067</v>
      </c>
      <c r="H92" s="25">
        <v>-1459</v>
      </c>
      <c r="I92" s="25">
        <v>-4836</v>
      </c>
    </row>
    <row r="93" spans="1:9" x14ac:dyDescent="0.2">
      <c r="A93" s="2" t="s">
        <v>89</v>
      </c>
      <c r="B93" s="64">
        <v>-899</v>
      </c>
      <c r="C93" s="64">
        <v>-1022</v>
      </c>
      <c r="D93" s="64">
        <v>-1133</v>
      </c>
      <c r="E93" s="64">
        <v>-1243</v>
      </c>
      <c r="F93" s="64">
        <v>-1332</v>
      </c>
      <c r="G93" s="64">
        <v>-1452</v>
      </c>
      <c r="H93" s="3">
        <v>143</v>
      </c>
      <c r="I93" s="3">
        <v>-143</v>
      </c>
    </row>
    <row r="94" spans="1:9" x14ac:dyDescent="0.2">
      <c r="A94" s="26" t="s">
        <v>90</v>
      </c>
      <c r="B94" s="64"/>
      <c r="C94" s="64"/>
      <c r="D94" s="64"/>
      <c r="E94" s="64">
        <v>-84</v>
      </c>
      <c r="F94" s="64">
        <v>-50</v>
      </c>
      <c r="G94" s="64">
        <v>-58</v>
      </c>
      <c r="H94" s="25">
        <v>1541</v>
      </c>
      <c r="I94" s="25">
        <v>-1315</v>
      </c>
    </row>
    <row r="95" spans="1:9" x14ac:dyDescent="0.2">
      <c r="A95" t="s">
        <v>91</v>
      </c>
      <c r="B95" s="72">
        <v>-3008</v>
      </c>
      <c r="C95" s="72">
        <v>-2945</v>
      </c>
      <c r="D95" s="72">
        <v>-2591</v>
      </c>
      <c r="E95" s="72">
        <v>-4828</v>
      </c>
      <c r="F95" s="72">
        <v>-5293</v>
      </c>
      <c r="G95" s="72">
        <v>2491</v>
      </c>
      <c r="H95" s="3">
        <v>8348</v>
      </c>
      <c r="I95" s="3">
        <v>9889</v>
      </c>
    </row>
    <row r="96" spans="1:9" ht="16" thickBot="1" x14ac:dyDescent="0.25">
      <c r="A96" s="6" t="s">
        <v>92</v>
      </c>
      <c r="B96" s="64">
        <v>-83</v>
      </c>
      <c r="C96" s="64">
        <v>-105</v>
      </c>
      <c r="D96" s="64">
        <v>-20</v>
      </c>
      <c r="E96" s="64">
        <v>45</v>
      </c>
      <c r="F96" s="64">
        <v>-129</v>
      </c>
      <c r="G96" s="64">
        <v>-66</v>
      </c>
      <c r="H96" s="7">
        <v>9889</v>
      </c>
      <c r="I96" s="7">
        <v>8574</v>
      </c>
    </row>
    <row r="97" spans="1:9" s="12" customFormat="1" ht="16" thickTop="1" x14ac:dyDescent="0.2">
      <c r="A97" s="12" t="s">
        <v>19</v>
      </c>
      <c r="B97" s="72">
        <v>-3935</v>
      </c>
      <c r="C97" s="72">
        <v>-3243</v>
      </c>
      <c r="D97" s="72">
        <v>-3828</v>
      </c>
      <c r="E97" s="72">
        <v>-4204</v>
      </c>
      <c r="F97" s="72">
        <v>-4595</v>
      </c>
      <c r="G97" s="72">
        <v>-8414</v>
      </c>
      <c r="H97" s="13">
        <v>0</v>
      </c>
      <c r="I97" s="13">
        <v>0</v>
      </c>
    </row>
    <row r="98" spans="1:9" x14ac:dyDescent="0.2">
      <c r="A98" t="s">
        <v>93</v>
      </c>
      <c r="B98" s="64">
        <v>2220</v>
      </c>
      <c r="C98" s="64">
        <v>3852</v>
      </c>
      <c r="D98" s="64">
        <v>3138</v>
      </c>
      <c r="E98" s="64">
        <v>3808</v>
      </c>
      <c r="F98" s="64">
        <v>4249</v>
      </c>
      <c r="G98" s="64">
        <v>4466</v>
      </c>
      <c r="H98" s="3"/>
      <c r="I98" s="3"/>
    </row>
    <row r="99" spans="1:9" ht="16" thickBot="1" x14ac:dyDescent="0.25">
      <c r="A99" s="2" t="s">
        <v>17</v>
      </c>
      <c r="B99" s="69">
        <v>3852</v>
      </c>
      <c r="C99" s="69">
        <v>3138</v>
      </c>
      <c r="D99" s="69">
        <v>3808</v>
      </c>
      <c r="E99" s="69">
        <v>4249</v>
      </c>
      <c r="F99" s="69">
        <v>4466</v>
      </c>
      <c r="G99" s="69">
        <v>8348</v>
      </c>
      <c r="H99" s="3"/>
      <c r="I99" s="3"/>
    </row>
    <row r="100" spans="1:9" ht="16" thickTop="1" x14ac:dyDescent="0.2">
      <c r="A100" s="11" t="s">
        <v>94</v>
      </c>
      <c r="B100" s="64">
        <v>53</v>
      </c>
      <c r="C100" s="64">
        <v>70</v>
      </c>
      <c r="D100" s="64">
        <v>98</v>
      </c>
      <c r="E100" s="64">
        <v>125</v>
      </c>
      <c r="F100" s="64">
        <v>153</v>
      </c>
      <c r="G100" s="64">
        <v>140</v>
      </c>
      <c r="H100" s="3">
        <v>293</v>
      </c>
      <c r="I100" s="3">
        <v>290</v>
      </c>
    </row>
    <row r="101" spans="1:9" x14ac:dyDescent="0.2">
      <c r="A101" s="11" t="s">
        <v>18</v>
      </c>
      <c r="B101" s="64">
        <v>1262</v>
      </c>
      <c r="C101" s="64">
        <v>748</v>
      </c>
      <c r="D101" s="64">
        <v>703</v>
      </c>
      <c r="E101" s="64">
        <v>529</v>
      </c>
      <c r="F101" s="64">
        <v>757</v>
      </c>
      <c r="G101" s="64">
        <v>1028</v>
      </c>
      <c r="H101" s="3">
        <v>1177</v>
      </c>
      <c r="I101" s="3">
        <v>1231</v>
      </c>
    </row>
    <row r="102" spans="1:9" x14ac:dyDescent="0.2">
      <c r="A102" s="11" t="s">
        <v>95</v>
      </c>
      <c r="B102" s="64">
        <v>206</v>
      </c>
      <c r="C102" s="64">
        <v>252</v>
      </c>
      <c r="D102" s="64">
        <v>266</v>
      </c>
      <c r="E102" s="64">
        <v>294</v>
      </c>
      <c r="F102" s="64">
        <v>160</v>
      </c>
      <c r="G102" s="64">
        <v>121</v>
      </c>
      <c r="H102" s="3">
        <v>179</v>
      </c>
      <c r="I102" s="3">
        <v>160</v>
      </c>
    </row>
    <row r="103" spans="1:9" x14ac:dyDescent="0.2">
      <c r="A103" s="11" t="s">
        <v>96</v>
      </c>
      <c r="B103" s="64">
        <v>240</v>
      </c>
      <c r="C103" s="64">
        <v>271</v>
      </c>
      <c r="D103" s="64">
        <v>300</v>
      </c>
      <c r="E103" s="64">
        <v>320</v>
      </c>
      <c r="F103" s="64">
        <v>347</v>
      </c>
      <c r="G103" s="64">
        <v>385</v>
      </c>
      <c r="H103" s="3">
        <v>438</v>
      </c>
      <c r="I103" s="3">
        <v>480</v>
      </c>
    </row>
    <row r="105" spans="1:9" x14ac:dyDescent="0.2">
      <c r="A105" s="14" t="s">
        <v>99</v>
      </c>
      <c r="B105" s="71"/>
      <c r="C105" s="71"/>
      <c r="D105" s="71"/>
      <c r="E105" s="71"/>
      <c r="F105" s="71"/>
      <c r="G105" s="71"/>
      <c r="H105" s="14"/>
      <c r="I105" s="14"/>
    </row>
    <row r="106" spans="1:9" x14ac:dyDescent="0.2">
      <c r="A106" s="27" t="s">
        <v>109</v>
      </c>
      <c r="B106" s="64"/>
      <c r="C106" s="64"/>
      <c r="D106" s="64"/>
      <c r="E106" s="64"/>
      <c r="F106" s="64"/>
      <c r="G106" s="64"/>
      <c r="H106" s="3"/>
      <c r="I106" s="3"/>
    </row>
    <row r="107" spans="1:9" x14ac:dyDescent="0.2">
      <c r="A107" s="2" t="s">
        <v>100</v>
      </c>
      <c r="B107" s="66">
        <v>13740</v>
      </c>
      <c r="C107" s="66">
        <v>14764</v>
      </c>
      <c r="D107" s="66">
        <v>15216</v>
      </c>
      <c r="E107" s="66">
        <v>14855</v>
      </c>
      <c r="F107" s="66">
        <v>15902</v>
      </c>
      <c r="G107" s="66">
        <v>14484</v>
      </c>
      <c r="H107" s="3">
        <v>17179</v>
      </c>
      <c r="I107" s="3">
        <v>18353</v>
      </c>
    </row>
    <row r="108" spans="1:9" x14ac:dyDescent="0.2">
      <c r="A108" s="11" t="s">
        <v>113</v>
      </c>
      <c r="B108">
        <v>8506</v>
      </c>
      <c r="C108">
        <v>9299</v>
      </c>
      <c r="D108">
        <v>9684</v>
      </c>
      <c r="E108">
        <v>9322</v>
      </c>
      <c r="F108">
        <v>10045</v>
      </c>
      <c r="G108">
        <v>9329</v>
      </c>
      <c r="H108" s="8">
        <v>11644</v>
      </c>
      <c r="I108" s="8">
        <v>12228</v>
      </c>
    </row>
    <row r="109" spans="1:9" x14ac:dyDescent="0.2">
      <c r="A109" s="11" t="s">
        <v>114</v>
      </c>
      <c r="B109">
        <v>4410</v>
      </c>
      <c r="C109">
        <v>4746</v>
      </c>
      <c r="D109">
        <v>4886</v>
      </c>
      <c r="E109">
        <v>4938</v>
      </c>
      <c r="F109">
        <v>5260</v>
      </c>
      <c r="G109">
        <v>4639</v>
      </c>
      <c r="H109" s="8">
        <v>5028</v>
      </c>
      <c r="I109" s="8">
        <v>5492</v>
      </c>
    </row>
    <row r="110" spans="1:9" x14ac:dyDescent="0.2">
      <c r="A110" s="11" t="s">
        <v>115</v>
      </c>
      <c r="B110">
        <v>824</v>
      </c>
      <c r="C110">
        <v>719</v>
      </c>
      <c r="D110">
        <v>646</v>
      </c>
      <c r="E110" s="64">
        <v>595</v>
      </c>
      <c r="F110" s="64">
        <v>597</v>
      </c>
      <c r="G110" s="64">
        <v>516</v>
      </c>
      <c r="H110">
        <v>507</v>
      </c>
      <c r="I110">
        <v>633</v>
      </c>
    </row>
    <row r="111" spans="1:9" x14ac:dyDescent="0.2">
      <c r="A111" s="2" t="s">
        <v>101</v>
      </c>
      <c r="B111" s="66">
        <v>7126</v>
      </c>
      <c r="C111" s="66">
        <v>7568</v>
      </c>
      <c r="D111" s="66">
        <v>7970</v>
      </c>
      <c r="E111" s="66">
        <v>9242</v>
      </c>
      <c r="F111" s="66">
        <v>9812</v>
      </c>
      <c r="G111" s="66">
        <v>9347</v>
      </c>
      <c r="H111" s="3">
        <v>11456</v>
      </c>
      <c r="I111" s="3">
        <v>12479</v>
      </c>
    </row>
    <row r="112" spans="1:9" x14ac:dyDescent="0.2">
      <c r="A112" s="11" t="s">
        <v>113</v>
      </c>
      <c r="B112">
        <v>4703</v>
      </c>
      <c r="C112">
        <v>5043</v>
      </c>
      <c r="D112">
        <v>5192</v>
      </c>
      <c r="E112">
        <v>5875</v>
      </c>
      <c r="F112">
        <v>6293</v>
      </c>
      <c r="G112">
        <v>5892</v>
      </c>
      <c r="H112" s="8">
        <v>6970</v>
      </c>
      <c r="I112" s="8">
        <v>7388</v>
      </c>
    </row>
    <row r="113" spans="1:9" x14ac:dyDescent="0.2">
      <c r="A113" s="11" t="s">
        <v>114</v>
      </c>
      <c r="B113">
        <v>2051</v>
      </c>
      <c r="C113">
        <v>2149</v>
      </c>
      <c r="D113">
        <v>2395</v>
      </c>
      <c r="E113">
        <v>2940</v>
      </c>
      <c r="F113">
        <v>3087</v>
      </c>
      <c r="G113">
        <v>3053</v>
      </c>
      <c r="H113" s="8">
        <v>3996</v>
      </c>
      <c r="I113" s="8">
        <v>4527</v>
      </c>
    </row>
    <row r="114" spans="1:9" x14ac:dyDescent="0.2">
      <c r="A114" s="11" t="s">
        <v>115</v>
      </c>
      <c r="B114">
        <v>372</v>
      </c>
      <c r="C114">
        <v>376</v>
      </c>
      <c r="D114">
        <v>383</v>
      </c>
      <c r="E114">
        <v>427</v>
      </c>
      <c r="F114">
        <v>432</v>
      </c>
      <c r="G114">
        <v>402</v>
      </c>
      <c r="H114">
        <v>490</v>
      </c>
      <c r="I114">
        <v>564</v>
      </c>
    </row>
    <row r="115" spans="1:9" x14ac:dyDescent="0.2">
      <c r="A115" s="2" t="s">
        <v>102</v>
      </c>
      <c r="B115" s="66">
        <v>3067</v>
      </c>
      <c r="C115" s="66">
        <v>3785</v>
      </c>
      <c r="D115" s="66">
        <v>4237</v>
      </c>
      <c r="E115" s="66">
        <v>5134</v>
      </c>
      <c r="F115" s="66">
        <v>6208</v>
      </c>
      <c r="G115" s="66">
        <v>6679</v>
      </c>
      <c r="H115" s="3">
        <v>8290</v>
      </c>
      <c r="I115" s="3">
        <v>7547</v>
      </c>
    </row>
    <row r="116" spans="1:9" x14ac:dyDescent="0.2">
      <c r="A116" s="11" t="s">
        <v>113</v>
      </c>
      <c r="B116">
        <v>2016</v>
      </c>
      <c r="C116">
        <v>2599</v>
      </c>
      <c r="D116">
        <v>2920</v>
      </c>
      <c r="E116" s="19">
        <v>3496</v>
      </c>
      <c r="F116" s="19">
        <v>4262</v>
      </c>
      <c r="G116" s="19">
        <v>4635</v>
      </c>
      <c r="H116" s="8">
        <v>5748</v>
      </c>
      <c r="I116" s="8">
        <v>5416</v>
      </c>
    </row>
    <row r="117" spans="1:9" x14ac:dyDescent="0.2">
      <c r="A117" s="11" t="s">
        <v>114</v>
      </c>
      <c r="B117">
        <v>925</v>
      </c>
      <c r="C117">
        <v>1055</v>
      </c>
      <c r="D117">
        <v>1188</v>
      </c>
      <c r="E117" s="19">
        <v>1508</v>
      </c>
      <c r="F117" s="19">
        <v>1808</v>
      </c>
      <c r="G117">
        <v>1896</v>
      </c>
      <c r="H117" s="8">
        <v>2347</v>
      </c>
      <c r="I117" s="8">
        <v>1938</v>
      </c>
    </row>
    <row r="118" spans="1:9" x14ac:dyDescent="0.2">
      <c r="A118" s="11" t="s">
        <v>115</v>
      </c>
      <c r="B118">
        <v>126</v>
      </c>
      <c r="C118">
        <v>131</v>
      </c>
      <c r="D118">
        <v>129</v>
      </c>
      <c r="E118" s="19">
        <v>130</v>
      </c>
      <c r="F118" s="19">
        <v>138</v>
      </c>
      <c r="G118">
        <v>148</v>
      </c>
      <c r="H118">
        <v>195</v>
      </c>
      <c r="I118">
        <v>193</v>
      </c>
    </row>
    <row r="119" spans="1:9" x14ac:dyDescent="0.2">
      <c r="A119" s="2" t="s">
        <v>106</v>
      </c>
      <c r="B119" s="66">
        <v>4653</v>
      </c>
      <c r="C119" s="66">
        <v>4317</v>
      </c>
      <c r="D119" s="66">
        <v>4737</v>
      </c>
      <c r="E119" s="66">
        <v>5166</v>
      </c>
      <c r="F119" s="66">
        <v>5254</v>
      </c>
      <c r="G119" s="66">
        <v>5028</v>
      </c>
      <c r="H119" s="3">
        <v>5343</v>
      </c>
      <c r="I119" s="3">
        <v>5955</v>
      </c>
    </row>
    <row r="120" spans="1:9" x14ac:dyDescent="0.2">
      <c r="A120" s="11" t="s">
        <v>113</v>
      </c>
      <c r="B120">
        <v>3093</v>
      </c>
      <c r="C120">
        <v>2930</v>
      </c>
      <c r="D120">
        <v>3285</v>
      </c>
      <c r="E120">
        <v>3575</v>
      </c>
      <c r="F120">
        <v>3622</v>
      </c>
      <c r="G120">
        <v>3449</v>
      </c>
      <c r="H120" s="8">
        <v>3659</v>
      </c>
      <c r="I120" s="8">
        <v>4111</v>
      </c>
    </row>
    <row r="121" spans="1:9" x14ac:dyDescent="0.2">
      <c r="A121" s="11" t="s">
        <v>114</v>
      </c>
      <c r="B121">
        <v>1250</v>
      </c>
      <c r="C121">
        <v>1117</v>
      </c>
      <c r="D121">
        <v>1185</v>
      </c>
      <c r="E121">
        <v>1347</v>
      </c>
      <c r="F121">
        <v>1395</v>
      </c>
      <c r="G121">
        <v>1365</v>
      </c>
      <c r="H121" s="8">
        <v>1494</v>
      </c>
      <c r="I121" s="8">
        <v>1610</v>
      </c>
    </row>
    <row r="122" spans="1:9" x14ac:dyDescent="0.2">
      <c r="A122" s="11" t="s">
        <v>115</v>
      </c>
      <c r="B122">
        <v>310</v>
      </c>
      <c r="C122">
        <v>270</v>
      </c>
      <c r="D122">
        <v>267</v>
      </c>
      <c r="E122">
        <v>244</v>
      </c>
      <c r="F122">
        <v>237</v>
      </c>
      <c r="G122">
        <v>214</v>
      </c>
      <c r="H122">
        <v>190</v>
      </c>
      <c r="I122">
        <v>234</v>
      </c>
    </row>
    <row r="123" spans="1:9" x14ac:dyDescent="0.2">
      <c r="A123" s="2" t="s">
        <v>107</v>
      </c>
      <c r="B123" s="66">
        <v>115</v>
      </c>
      <c r="C123" s="66">
        <v>73</v>
      </c>
      <c r="D123" s="66">
        <v>73</v>
      </c>
      <c r="E123" s="66">
        <v>88</v>
      </c>
      <c r="F123" s="66">
        <v>42</v>
      </c>
      <c r="G123" s="66">
        <v>30</v>
      </c>
      <c r="H123" s="3">
        <v>25</v>
      </c>
      <c r="I123" s="3">
        <v>102</v>
      </c>
    </row>
    <row r="124" spans="1:9" x14ac:dyDescent="0.2">
      <c r="A124" s="4" t="s">
        <v>103</v>
      </c>
      <c r="B124" s="68">
        <v>28701</v>
      </c>
      <c r="C124" s="68">
        <v>30507</v>
      </c>
      <c r="D124" s="68">
        <v>32233</v>
      </c>
      <c r="E124" s="68">
        <v>34485</v>
      </c>
      <c r="F124" s="68">
        <v>37218</v>
      </c>
      <c r="G124" s="68">
        <v>35568</v>
      </c>
      <c r="H124" s="5">
        <v>42293</v>
      </c>
      <c r="I124" s="5">
        <v>44436</v>
      </c>
    </row>
    <row r="125" spans="1:9" x14ac:dyDescent="0.2">
      <c r="A125" s="2" t="s">
        <v>104</v>
      </c>
      <c r="B125" s="66">
        <v>1982</v>
      </c>
      <c r="C125" s="66">
        <v>1955</v>
      </c>
      <c r="D125" s="66">
        <v>2042</v>
      </c>
      <c r="E125" s="66">
        <v>1886</v>
      </c>
      <c r="F125" s="66">
        <v>1906</v>
      </c>
      <c r="G125" s="66">
        <v>1846</v>
      </c>
      <c r="H125" s="3">
        <v>2205</v>
      </c>
      <c r="I125" s="3">
        <v>2346</v>
      </c>
    </row>
    <row r="126" spans="1:9" x14ac:dyDescent="0.2">
      <c r="A126" s="11" t="s">
        <v>113</v>
      </c>
      <c r="B126" s="73"/>
      <c r="C126" s="73"/>
      <c r="D126" s="73"/>
      <c r="E126" s="64"/>
      <c r="F126" s="64">
        <v>1658</v>
      </c>
      <c r="G126">
        <v>1642</v>
      </c>
      <c r="H126" s="3">
        <v>1986</v>
      </c>
      <c r="I126" s="3">
        <v>2094</v>
      </c>
    </row>
    <row r="127" spans="1:9" x14ac:dyDescent="0.2">
      <c r="A127" s="11" t="s">
        <v>114</v>
      </c>
      <c r="B127" s="73"/>
      <c r="C127" s="73"/>
      <c r="D127" s="73"/>
      <c r="E127" s="64"/>
      <c r="F127" s="64">
        <v>118</v>
      </c>
      <c r="G127" s="64">
        <v>89</v>
      </c>
      <c r="H127" s="3">
        <v>104</v>
      </c>
      <c r="I127" s="3">
        <v>103</v>
      </c>
    </row>
    <row r="128" spans="1:9" x14ac:dyDescent="0.2">
      <c r="A128" s="11" t="s">
        <v>115</v>
      </c>
      <c r="B128" s="73"/>
      <c r="C128" s="73"/>
      <c r="D128" s="73"/>
      <c r="E128" s="64"/>
      <c r="F128" s="64">
        <v>24</v>
      </c>
      <c r="G128" s="64">
        <v>25</v>
      </c>
      <c r="H128" s="3">
        <v>29</v>
      </c>
      <c r="I128" s="3">
        <v>26</v>
      </c>
    </row>
    <row r="129" spans="1:9" x14ac:dyDescent="0.2">
      <c r="A129" s="11" t="s">
        <v>121</v>
      </c>
      <c r="B129" s="73"/>
      <c r="C129" s="73"/>
      <c r="D129" s="73"/>
      <c r="E129" s="64"/>
      <c r="F129" s="64">
        <v>106</v>
      </c>
      <c r="G129" s="64">
        <v>90</v>
      </c>
      <c r="H129" s="3">
        <v>86</v>
      </c>
      <c r="I129" s="3">
        <v>123</v>
      </c>
    </row>
    <row r="130" spans="1:9" x14ac:dyDescent="0.2">
      <c r="A130" s="2" t="s">
        <v>108</v>
      </c>
      <c r="B130" s="66">
        <v>-82</v>
      </c>
      <c r="C130" s="66">
        <v>-86</v>
      </c>
      <c r="D130" s="66">
        <v>75</v>
      </c>
      <c r="E130" s="66">
        <v>26</v>
      </c>
      <c r="F130" s="66">
        <v>-7</v>
      </c>
      <c r="G130" s="66">
        <v>-11</v>
      </c>
      <c r="H130" s="3">
        <v>40</v>
      </c>
      <c r="I130" s="3">
        <v>-72</v>
      </c>
    </row>
    <row r="131" spans="1:9" ht="16" thickBot="1" x14ac:dyDescent="0.25">
      <c r="A131" s="6" t="s">
        <v>105</v>
      </c>
      <c r="B131" s="69">
        <v>30601</v>
      </c>
      <c r="C131" s="69">
        <v>32376</v>
      </c>
      <c r="D131" s="69">
        <v>34350</v>
      </c>
      <c r="E131" s="69">
        <v>36397</v>
      </c>
      <c r="F131" s="69">
        <v>39117</v>
      </c>
      <c r="G131" s="69">
        <v>37403</v>
      </c>
      <c r="H131" s="7">
        <v>44538</v>
      </c>
      <c r="I131" s="7">
        <v>46710</v>
      </c>
    </row>
    <row r="132" spans="1:9" s="12" customFormat="1" ht="16" thickTop="1" x14ac:dyDescent="0.2">
      <c r="A132" s="12" t="s">
        <v>111</v>
      </c>
      <c r="B132" s="70">
        <v>0</v>
      </c>
      <c r="C132" s="70">
        <v>0</v>
      </c>
      <c r="D132" s="70">
        <v>0</v>
      </c>
      <c r="E132" s="70">
        <v>0</v>
      </c>
      <c r="F132" s="70">
        <v>0</v>
      </c>
      <c r="G132" s="70">
        <v>0</v>
      </c>
      <c r="H132" s="13">
        <v>0</v>
      </c>
    </row>
    <row r="133" spans="1:9" x14ac:dyDescent="0.2">
      <c r="A133" s="1" t="s">
        <v>110</v>
      </c>
      <c r="B133" s="74"/>
      <c r="C133" s="74"/>
      <c r="D133" s="74"/>
      <c r="E133" s="74"/>
      <c r="F133" s="74"/>
      <c r="G133" s="74"/>
    </row>
    <row r="134" spans="1:9" x14ac:dyDescent="0.2">
      <c r="A134" s="2" t="s">
        <v>100</v>
      </c>
      <c r="B134" s="64">
        <v>3645</v>
      </c>
      <c r="C134" s="64">
        <v>3763</v>
      </c>
      <c r="D134" s="64">
        <v>3875</v>
      </c>
      <c r="E134" s="64">
        <v>3600</v>
      </c>
      <c r="F134" s="64">
        <v>3925</v>
      </c>
      <c r="G134" s="64">
        <v>2899</v>
      </c>
      <c r="H134" s="3">
        <v>5089</v>
      </c>
      <c r="I134" s="3">
        <v>5114</v>
      </c>
    </row>
    <row r="135" spans="1:9" x14ac:dyDescent="0.2">
      <c r="A135" s="2" t="s">
        <v>101</v>
      </c>
      <c r="B135" s="64">
        <v>1524</v>
      </c>
      <c r="C135" s="64">
        <v>1787</v>
      </c>
      <c r="D135" s="64">
        <v>1507</v>
      </c>
      <c r="E135" s="64">
        <v>1587</v>
      </c>
      <c r="F135" s="64">
        <v>1995</v>
      </c>
      <c r="G135" s="64">
        <v>1541</v>
      </c>
      <c r="H135" s="3">
        <v>2435</v>
      </c>
      <c r="I135" s="3">
        <v>3293</v>
      </c>
    </row>
    <row r="136" spans="1:9" x14ac:dyDescent="0.2">
      <c r="A136" s="2" t="s">
        <v>102</v>
      </c>
      <c r="B136" s="64">
        <v>993</v>
      </c>
      <c r="C136" s="64">
        <v>1372</v>
      </c>
      <c r="D136" s="64">
        <v>1507</v>
      </c>
      <c r="E136" s="64">
        <v>1807</v>
      </c>
      <c r="F136" s="64">
        <v>2376</v>
      </c>
      <c r="G136" s="64">
        <v>2490</v>
      </c>
      <c r="H136" s="3">
        <v>3243</v>
      </c>
      <c r="I136" s="3">
        <v>2365</v>
      </c>
    </row>
    <row r="137" spans="1:9" x14ac:dyDescent="0.2">
      <c r="A137" s="2" t="s">
        <v>106</v>
      </c>
      <c r="B137" s="64">
        <v>918</v>
      </c>
      <c r="C137" s="64">
        <v>1002</v>
      </c>
      <c r="D137" s="64">
        <v>980</v>
      </c>
      <c r="E137" s="64">
        <v>1189</v>
      </c>
      <c r="F137" s="64">
        <v>1323</v>
      </c>
      <c r="G137" s="64">
        <v>1184</v>
      </c>
      <c r="H137" s="3">
        <v>1530</v>
      </c>
      <c r="I137" s="3">
        <v>1896</v>
      </c>
    </row>
    <row r="138" spans="1:9" x14ac:dyDescent="0.2">
      <c r="A138" s="2" t="s">
        <v>107</v>
      </c>
      <c r="B138" s="64">
        <v>-2263</v>
      </c>
      <c r="C138" s="64">
        <v>-2596</v>
      </c>
      <c r="D138" s="64">
        <v>-2677</v>
      </c>
      <c r="E138" s="64">
        <v>-2658</v>
      </c>
      <c r="F138" s="64">
        <v>-3262</v>
      </c>
      <c r="G138" s="64">
        <v>-3468</v>
      </c>
      <c r="H138" s="3">
        <v>-3656</v>
      </c>
      <c r="I138" s="3">
        <v>-4262</v>
      </c>
    </row>
    <row r="139" spans="1:9" x14ac:dyDescent="0.2">
      <c r="A139" s="4" t="s">
        <v>103</v>
      </c>
      <c r="B139" s="68">
        <v>4817</v>
      </c>
      <c r="C139" s="68">
        <v>5328</v>
      </c>
      <c r="D139" s="68">
        <v>5192</v>
      </c>
      <c r="E139" s="68">
        <v>5525</v>
      </c>
      <c r="F139" s="68">
        <v>6357</v>
      </c>
      <c r="G139" s="68">
        <v>4646</v>
      </c>
      <c r="H139" s="5">
        <v>8641</v>
      </c>
      <c r="I139" s="5">
        <v>8406</v>
      </c>
    </row>
    <row r="140" spans="1:9" x14ac:dyDescent="0.2">
      <c r="A140" s="2" t="s">
        <v>104</v>
      </c>
      <c r="B140" s="64">
        <v>517</v>
      </c>
      <c r="C140" s="64">
        <v>487</v>
      </c>
      <c r="D140" s="64">
        <v>477</v>
      </c>
      <c r="E140" s="64">
        <v>310</v>
      </c>
      <c r="F140" s="64">
        <v>303</v>
      </c>
      <c r="G140" s="64">
        <v>297</v>
      </c>
      <c r="H140" s="3">
        <v>543</v>
      </c>
      <c r="I140" s="3">
        <v>669</v>
      </c>
    </row>
    <row r="141" spans="1:9" x14ac:dyDescent="0.2">
      <c r="A141" s="2" t="s">
        <v>108</v>
      </c>
      <c r="B141" s="64">
        <v>-1101</v>
      </c>
      <c r="C141" s="64">
        <v>-1173</v>
      </c>
      <c r="D141" s="64">
        <v>-724</v>
      </c>
      <c r="E141" s="64">
        <v>-1456</v>
      </c>
      <c r="F141" s="64">
        <v>-1810</v>
      </c>
      <c r="G141" s="64">
        <v>-1967</v>
      </c>
      <c r="H141" s="3">
        <v>-2261</v>
      </c>
      <c r="I141" s="3">
        <v>-2219</v>
      </c>
    </row>
    <row r="142" spans="1:9" ht="16" thickBot="1" x14ac:dyDescent="0.25">
      <c r="A142" s="6" t="s">
        <v>112</v>
      </c>
      <c r="B142" s="69">
        <v>4233</v>
      </c>
      <c r="C142" s="69">
        <v>4642</v>
      </c>
      <c r="D142" s="69">
        <v>4945</v>
      </c>
      <c r="E142" s="69">
        <v>4379</v>
      </c>
      <c r="F142" s="69">
        <v>4850</v>
      </c>
      <c r="G142" s="69">
        <v>2976</v>
      </c>
      <c r="H142" s="7">
        <v>6923</v>
      </c>
      <c r="I142" s="7">
        <v>6856</v>
      </c>
    </row>
    <row r="143" spans="1:9" s="12" customFormat="1" ht="16" thickTop="1" x14ac:dyDescent="0.2">
      <c r="A143" s="12" t="s">
        <v>111</v>
      </c>
      <c r="B143" s="70">
        <v>0</v>
      </c>
      <c r="C143" s="70">
        <v>0</v>
      </c>
      <c r="D143" s="70">
        <v>0</v>
      </c>
      <c r="E143" s="70">
        <v>0</v>
      </c>
      <c r="F143" s="70">
        <v>0</v>
      </c>
      <c r="G143" s="70">
        <v>0</v>
      </c>
      <c r="H143" s="13">
        <v>0</v>
      </c>
      <c r="I143" s="13">
        <v>0</v>
      </c>
    </row>
    <row r="144" spans="1:9" x14ac:dyDescent="0.2">
      <c r="A144" s="1" t="s">
        <v>117</v>
      </c>
      <c r="B144" s="74"/>
      <c r="C144" s="74"/>
      <c r="D144" s="74"/>
      <c r="E144" s="74"/>
      <c r="F144" s="74"/>
      <c r="G144" s="74"/>
    </row>
    <row r="145" spans="1:9" x14ac:dyDescent="0.2">
      <c r="A145" s="2" t="s">
        <v>100</v>
      </c>
      <c r="B145" s="64">
        <v>632</v>
      </c>
      <c r="C145" s="64">
        <v>742</v>
      </c>
      <c r="D145" s="64">
        <v>819</v>
      </c>
      <c r="E145" s="64">
        <v>848</v>
      </c>
      <c r="F145" s="64">
        <v>814</v>
      </c>
      <c r="G145" s="64">
        <v>645</v>
      </c>
      <c r="H145" s="3">
        <v>617</v>
      </c>
      <c r="I145" s="3">
        <v>639</v>
      </c>
    </row>
    <row r="146" spans="1:9" x14ac:dyDescent="0.2">
      <c r="A146" s="2" t="s">
        <v>101</v>
      </c>
      <c r="B146" s="64">
        <v>451</v>
      </c>
      <c r="C146" s="64">
        <v>589</v>
      </c>
      <c r="D146" s="64">
        <v>709</v>
      </c>
      <c r="E146" s="64">
        <v>849</v>
      </c>
      <c r="F146" s="64">
        <v>929</v>
      </c>
      <c r="G146" s="64">
        <v>885</v>
      </c>
      <c r="H146" s="3">
        <v>982</v>
      </c>
      <c r="I146" s="3">
        <v>920</v>
      </c>
    </row>
    <row r="147" spans="1:9" x14ac:dyDescent="0.2">
      <c r="A147" s="2" t="s">
        <v>102</v>
      </c>
      <c r="B147" s="64">
        <v>47</v>
      </c>
      <c r="C147" s="64">
        <v>50</v>
      </c>
      <c r="D147" s="64">
        <v>225</v>
      </c>
      <c r="E147" s="64">
        <v>256</v>
      </c>
      <c r="F147" s="64">
        <v>237</v>
      </c>
      <c r="G147" s="64">
        <v>214</v>
      </c>
      <c r="H147" s="3">
        <v>288</v>
      </c>
      <c r="I147" s="3">
        <v>303</v>
      </c>
    </row>
    <row r="148" spans="1:9" x14ac:dyDescent="0.2">
      <c r="A148" s="2" t="s">
        <v>118</v>
      </c>
      <c r="B148" s="64">
        <v>562</v>
      </c>
      <c r="C148" s="64">
        <v>234</v>
      </c>
      <c r="D148" s="64">
        <v>340</v>
      </c>
      <c r="E148" s="64">
        <v>339</v>
      </c>
      <c r="F148" s="64">
        <v>326</v>
      </c>
      <c r="G148" s="64">
        <v>296</v>
      </c>
      <c r="H148" s="3">
        <v>304</v>
      </c>
      <c r="I148" s="3">
        <v>274</v>
      </c>
    </row>
    <row r="149" spans="1:9" x14ac:dyDescent="0.2">
      <c r="A149" s="2" t="s">
        <v>107</v>
      </c>
      <c r="B149" s="64">
        <v>484</v>
      </c>
      <c r="C149" s="64">
        <v>843</v>
      </c>
      <c r="D149" s="64">
        <v>533</v>
      </c>
      <c r="E149" s="64">
        <v>597</v>
      </c>
      <c r="F149" s="64">
        <v>665</v>
      </c>
      <c r="G149" s="64">
        <v>830</v>
      </c>
      <c r="H149" s="3">
        <v>780</v>
      </c>
      <c r="I149" s="3">
        <v>789</v>
      </c>
    </row>
    <row r="150" spans="1:9" x14ac:dyDescent="0.2">
      <c r="A150" s="4" t="s">
        <v>119</v>
      </c>
      <c r="B150" s="68">
        <v>2176</v>
      </c>
      <c r="C150" s="68">
        <v>2458</v>
      </c>
      <c r="D150" s="68">
        <v>2626</v>
      </c>
      <c r="E150" s="68">
        <v>2889</v>
      </c>
      <c r="F150" s="68">
        <v>2971</v>
      </c>
      <c r="G150" s="68">
        <v>2870</v>
      </c>
      <c r="H150" s="5">
        <v>2971</v>
      </c>
      <c r="I150" s="5">
        <v>2925</v>
      </c>
    </row>
    <row r="151" spans="1:9" x14ac:dyDescent="0.2">
      <c r="A151" s="2" t="s">
        <v>104</v>
      </c>
      <c r="B151" s="64">
        <v>122</v>
      </c>
      <c r="C151" s="64">
        <v>125</v>
      </c>
      <c r="D151" s="64">
        <v>125</v>
      </c>
      <c r="E151" s="64">
        <v>115</v>
      </c>
      <c r="F151" s="64">
        <v>100</v>
      </c>
      <c r="G151" s="64">
        <v>80</v>
      </c>
      <c r="H151" s="3">
        <v>63</v>
      </c>
      <c r="I151" s="3">
        <v>49</v>
      </c>
    </row>
    <row r="152" spans="1:9" x14ac:dyDescent="0.2">
      <c r="A152" s="2" t="s">
        <v>108</v>
      </c>
      <c r="B152" s="64">
        <v>713</v>
      </c>
      <c r="C152" s="64">
        <v>937</v>
      </c>
      <c r="D152" s="64">
        <v>1238</v>
      </c>
      <c r="E152" s="64">
        <v>1450</v>
      </c>
      <c r="F152" s="64">
        <v>1673</v>
      </c>
      <c r="G152" s="64">
        <v>1916</v>
      </c>
      <c r="H152" s="3">
        <v>1870</v>
      </c>
      <c r="I152" s="3">
        <v>1817</v>
      </c>
    </row>
    <row r="153" spans="1:9" ht="16" thickBot="1" x14ac:dyDescent="0.25">
      <c r="A153" s="6" t="s">
        <v>120</v>
      </c>
      <c r="B153" s="69">
        <v>3011</v>
      </c>
      <c r="C153" s="69">
        <v>3520</v>
      </c>
      <c r="D153" s="69">
        <v>3989</v>
      </c>
      <c r="E153" s="69">
        <v>4454</v>
      </c>
      <c r="F153" s="69">
        <v>4744</v>
      </c>
      <c r="G153" s="69">
        <v>4866</v>
      </c>
      <c r="H153" s="7">
        <v>4904</v>
      </c>
      <c r="I153" s="7">
        <v>4791</v>
      </c>
    </row>
    <row r="154" spans="1:9" ht="16" thickTop="1" x14ac:dyDescent="0.2">
      <c r="A154" s="12" t="s">
        <v>111</v>
      </c>
      <c r="B154" s="70">
        <v>0</v>
      </c>
      <c r="C154" s="70">
        <v>0</v>
      </c>
      <c r="D154" s="70">
        <v>0</v>
      </c>
      <c r="E154" s="70">
        <v>0</v>
      </c>
      <c r="F154" s="70">
        <v>0</v>
      </c>
      <c r="G154" s="70">
        <v>0</v>
      </c>
      <c r="H154" s="13">
        <v>0</v>
      </c>
      <c r="I154" s="13">
        <v>0</v>
      </c>
    </row>
    <row r="155" spans="1:9" x14ac:dyDescent="0.2">
      <c r="A155" s="1" t="s">
        <v>122</v>
      </c>
    </row>
    <row r="156" spans="1:9" x14ac:dyDescent="0.2">
      <c r="A156" s="2" t="s">
        <v>100</v>
      </c>
      <c r="B156" s="64">
        <v>208</v>
      </c>
      <c r="C156" s="64">
        <v>242</v>
      </c>
      <c r="D156" s="64">
        <v>223</v>
      </c>
      <c r="E156" s="64">
        <v>196</v>
      </c>
      <c r="F156" s="64">
        <v>117</v>
      </c>
      <c r="G156" s="64">
        <v>110</v>
      </c>
      <c r="H156" s="3">
        <v>98</v>
      </c>
      <c r="I156" s="3">
        <v>146</v>
      </c>
    </row>
    <row r="157" spans="1:9" x14ac:dyDescent="0.2">
      <c r="A157" s="2" t="s">
        <v>101</v>
      </c>
      <c r="B157" s="64">
        <v>216</v>
      </c>
      <c r="C157" s="64">
        <v>215</v>
      </c>
      <c r="D157" s="64">
        <v>173</v>
      </c>
      <c r="E157" s="64">
        <v>240</v>
      </c>
      <c r="F157" s="64">
        <v>233</v>
      </c>
      <c r="G157" s="64">
        <v>139</v>
      </c>
      <c r="H157" s="3">
        <v>153</v>
      </c>
      <c r="I157" s="3">
        <v>197</v>
      </c>
    </row>
    <row r="158" spans="1:9" x14ac:dyDescent="0.2">
      <c r="A158" s="2" t="s">
        <v>102</v>
      </c>
      <c r="B158" s="64">
        <v>20</v>
      </c>
      <c r="C158" s="64">
        <v>17</v>
      </c>
      <c r="D158" s="64">
        <v>51</v>
      </c>
      <c r="E158" s="64">
        <v>76</v>
      </c>
      <c r="F158" s="64">
        <v>49</v>
      </c>
      <c r="G158" s="64">
        <v>28</v>
      </c>
      <c r="H158" s="3">
        <v>94</v>
      </c>
      <c r="I158" s="3">
        <v>78</v>
      </c>
    </row>
    <row r="159" spans="1:9" x14ac:dyDescent="0.2">
      <c r="A159" s="2" t="s">
        <v>118</v>
      </c>
      <c r="B159" s="64">
        <v>69</v>
      </c>
      <c r="C159" s="64">
        <v>44</v>
      </c>
      <c r="D159" s="64">
        <v>59</v>
      </c>
      <c r="E159" s="64">
        <v>49</v>
      </c>
      <c r="F159" s="64">
        <v>47</v>
      </c>
      <c r="G159" s="64">
        <v>41</v>
      </c>
      <c r="H159" s="3">
        <v>54</v>
      </c>
      <c r="I159" s="3">
        <v>56</v>
      </c>
    </row>
    <row r="160" spans="1:9" x14ac:dyDescent="0.2">
      <c r="A160" s="2" t="s">
        <v>107</v>
      </c>
      <c r="B160" s="64">
        <v>277</v>
      </c>
      <c r="C160" s="64">
        <v>322</v>
      </c>
      <c r="D160" s="64">
        <v>278</v>
      </c>
      <c r="E160" s="64">
        <v>286</v>
      </c>
      <c r="F160" s="64">
        <v>278</v>
      </c>
      <c r="G160" s="64">
        <v>438</v>
      </c>
      <c r="H160" s="3">
        <v>278</v>
      </c>
      <c r="I160" s="3">
        <v>222</v>
      </c>
    </row>
    <row r="161" spans="1:9" x14ac:dyDescent="0.2">
      <c r="A161" s="4" t="s">
        <v>119</v>
      </c>
      <c r="B161" s="68">
        <v>790</v>
      </c>
      <c r="C161" s="68">
        <v>840</v>
      </c>
      <c r="D161" s="68">
        <v>784</v>
      </c>
      <c r="E161" s="68">
        <v>847</v>
      </c>
      <c r="F161" s="68">
        <v>724</v>
      </c>
      <c r="G161" s="68">
        <v>756</v>
      </c>
      <c r="H161" s="5">
        <v>677</v>
      </c>
      <c r="I161" s="5">
        <v>699</v>
      </c>
    </row>
    <row r="162" spans="1:9" x14ac:dyDescent="0.2">
      <c r="A162" s="2" t="s">
        <v>104</v>
      </c>
      <c r="B162" s="64">
        <v>27</v>
      </c>
      <c r="C162" s="64">
        <v>39</v>
      </c>
      <c r="D162" s="64">
        <v>30</v>
      </c>
      <c r="E162" s="64">
        <v>22</v>
      </c>
      <c r="F162" s="64">
        <v>18</v>
      </c>
      <c r="G162" s="64">
        <v>12</v>
      </c>
      <c r="H162" s="3">
        <v>7</v>
      </c>
      <c r="I162" s="3">
        <v>9</v>
      </c>
    </row>
    <row r="163" spans="1:9" x14ac:dyDescent="0.2">
      <c r="A163" s="2" t="s">
        <v>108</v>
      </c>
      <c r="B163" s="64">
        <v>84</v>
      </c>
      <c r="C163" s="64">
        <v>312</v>
      </c>
      <c r="D163" s="64">
        <v>387</v>
      </c>
      <c r="E163" s="64">
        <v>325</v>
      </c>
      <c r="F163" s="64">
        <v>333</v>
      </c>
      <c r="G163">
        <v>356</v>
      </c>
      <c r="H163" s="3">
        <v>11</v>
      </c>
      <c r="I163" s="3">
        <v>50</v>
      </c>
    </row>
    <row r="164" spans="1:9" ht="16" thickBot="1" x14ac:dyDescent="0.25">
      <c r="A164" s="6" t="s">
        <v>123</v>
      </c>
      <c r="B164" s="75">
        <v>901</v>
      </c>
      <c r="C164" s="75">
        <v>1191</v>
      </c>
      <c r="D164" s="75">
        <v>1201</v>
      </c>
      <c r="E164" s="75">
        <v>1194</v>
      </c>
      <c r="F164" s="75">
        <v>1075</v>
      </c>
      <c r="G164" s="76">
        <v>1124</v>
      </c>
      <c r="H164" s="7">
        <v>695</v>
      </c>
      <c r="I164" s="7">
        <v>758</v>
      </c>
    </row>
    <row r="165" spans="1:9" ht="17" thickTop="1" thickBot="1" x14ac:dyDescent="0.25">
      <c r="A165" s="12" t="s">
        <v>111</v>
      </c>
      <c r="B165" s="69"/>
      <c r="C165" s="69"/>
      <c r="D165" s="69"/>
      <c r="E165" s="69"/>
      <c r="F165" s="69"/>
      <c r="G165" s="69"/>
      <c r="H165" s="13">
        <v>0</v>
      </c>
      <c r="I165" s="13">
        <v>0</v>
      </c>
    </row>
    <row r="166" spans="1:9" ht="16" thickTop="1" x14ac:dyDescent="0.2">
      <c r="A166" s="1" t="s">
        <v>124</v>
      </c>
      <c r="B166" s="70"/>
      <c r="C166" s="70"/>
      <c r="D166" s="70"/>
      <c r="E166" s="70"/>
      <c r="F166" s="70"/>
      <c r="G166" s="70"/>
    </row>
    <row r="167" spans="1:9" x14ac:dyDescent="0.2">
      <c r="A167" s="2" t="s">
        <v>100</v>
      </c>
      <c r="B167">
        <v>121</v>
      </c>
      <c r="C167">
        <v>133</v>
      </c>
      <c r="D167">
        <v>140</v>
      </c>
      <c r="E167">
        <v>160</v>
      </c>
      <c r="F167">
        <v>149</v>
      </c>
      <c r="G167">
        <v>148</v>
      </c>
      <c r="H167" s="3">
        <v>130</v>
      </c>
      <c r="I167" s="3">
        <v>124</v>
      </c>
    </row>
    <row r="168" spans="1:9" x14ac:dyDescent="0.2">
      <c r="A168" s="2" t="s">
        <v>101</v>
      </c>
      <c r="B168" s="64">
        <v>75</v>
      </c>
      <c r="C168" s="64">
        <v>72</v>
      </c>
      <c r="D168" s="64">
        <v>91</v>
      </c>
      <c r="E168" s="64">
        <v>116</v>
      </c>
      <c r="F168" s="64">
        <v>111</v>
      </c>
      <c r="G168" s="64">
        <v>132</v>
      </c>
      <c r="H168" s="3">
        <v>136</v>
      </c>
      <c r="I168" s="3">
        <v>134</v>
      </c>
    </row>
    <row r="169" spans="1:9" x14ac:dyDescent="0.2">
      <c r="A169" s="2" t="s">
        <v>102</v>
      </c>
      <c r="B169" s="64">
        <v>12</v>
      </c>
      <c r="C169" s="64">
        <v>12</v>
      </c>
      <c r="D169" s="64">
        <v>13</v>
      </c>
      <c r="E169" s="64">
        <v>56</v>
      </c>
      <c r="F169" s="64">
        <v>50</v>
      </c>
      <c r="G169" s="64">
        <v>44</v>
      </c>
      <c r="H169" s="3">
        <v>46</v>
      </c>
      <c r="I169" s="3">
        <v>41</v>
      </c>
    </row>
    <row r="170" spans="1:9" x14ac:dyDescent="0.2">
      <c r="A170" s="2" t="s">
        <v>106</v>
      </c>
      <c r="B170" s="64">
        <v>46</v>
      </c>
      <c r="C170" s="64">
        <v>91</v>
      </c>
      <c r="D170" s="64">
        <v>54</v>
      </c>
      <c r="E170" s="64">
        <v>55</v>
      </c>
      <c r="F170" s="64">
        <v>53</v>
      </c>
      <c r="G170" s="64">
        <v>46</v>
      </c>
      <c r="H170" s="3">
        <v>43</v>
      </c>
      <c r="I170" s="3">
        <v>42</v>
      </c>
    </row>
    <row r="171" spans="1:9" x14ac:dyDescent="0.2">
      <c r="A171" s="2" t="s">
        <v>107</v>
      </c>
      <c r="B171" s="64">
        <v>259</v>
      </c>
      <c r="C171" s="64">
        <v>230</v>
      </c>
      <c r="D171" s="64">
        <v>289</v>
      </c>
      <c r="E171" s="64">
        <v>217</v>
      </c>
      <c r="F171" s="64">
        <v>195</v>
      </c>
      <c r="G171" s="64">
        <v>214</v>
      </c>
      <c r="H171" s="3">
        <v>222</v>
      </c>
      <c r="I171" s="3">
        <v>220</v>
      </c>
    </row>
    <row r="172" spans="1:9" x14ac:dyDescent="0.2">
      <c r="A172" s="4" t="s">
        <v>119</v>
      </c>
      <c r="B172" s="64">
        <v>513</v>
      </c>
      <c r="C172" s="64">
        <v>538</v>
      </c>
      <c r="D172" s="64">
        <v>587</v>
      </c>
      <c r="E172" s="64">
        <v>604</v>
      </c>
      <c r="F172" s="64">
        <v>558</v>
      </c>
      <c r="G172" s="64">
        <v>584</v>
      </c>
      <c r="H172" s="5">
        <v>577</v>
      </c>
      <c r="I172" s="5">
        <v>561</v>
      </c>
    </row>
    <row r="173" spans="1:9" x14ac:dyDescent="0.2">
      <c r="A173" s="2" t="s">
        <v>104</v>
      </c>
      <c r="B173" s="68">
        <v>18</v>
      </c>
      <c r="C173" s="68">
        <v>27</v>
      </c>
      <c r="D173" s="68">
        <v>28</v>
      </c>
      <c r="E173" s="68">
        <v>33</v>
      </c>
      <c r="F173" s="68">
        <v>31</v>
      </c>
      <c r="G173" s="68">
        <v>25</v>
      </c>
      <c r="H173" s="3">
        <v>26</v>
      </c>
      <c r="I173" s="3">
        <v>22</v>
      </c>
    </row>
    <row r="174" spans="1:9" x14ac:dyDescent="0.2">
      <c r="A174" s="2" t="s">
        <v>108</v>
      </c>
      <c r="B174" s="64">
        <v>75</v>
      </c>
      <c r="C174" s="64">
        <v>84</v>
      </c>
      <c r="D174" s="64">
        <v>91</v>
      </c>
      <c r="E174" s="64">
        <v>110</v>
      </c>
      <c r="F174" s="64">
        <v>116</v>
      </c>
      <c r="G174" s="64">
        <v>112</v>
      </c>
      <c r="H174" s="3">
        <v>141</v>
      </c>
      <c r="I174" s="3">
        <v>134</v>
      </c>
    </row>
    <row r="175" spans="1:9" ht="16" thickBot="1" x14ac:dyDescent="0.25">
      <c r="A175" s="6" t="s">
        <v>125</v>
      </c>
      <c r="B175" s="64">
        <v>606</v>
      </c>
      <c r="C175" s="64">
        <v>649</v>
      </c>
      <c r="D175" s="64">
        <v>706</v>
      </c>
      <c r="E175" s="64">
        <v>747</v>
      </c>
      <c r="F175" s="64">
        <v>705</v>
      </c>
      <c r="G175" s="64">
        <v>721</v>
      </c>
      <c r="H175" s="7">
        <v>744</v>
      </c>
      <c r="I175" s="7">
        <v>717</v>
      </c>
    </row>
    <row r="176" spans="1:9" ht="17" thickTop="1" thickBot="1" x14ac:dyDescent="0.25">
      <c r="A176" s="12" t="s">
        <v>111</v>
      </c>
      <c r="B176" s="69"/>
      <c r="C176" s="69"/>
      <c r="D176" s="69"/>
      <c r="E176" s="69"/>
      <c r="F176" s="69"/>
      <c r="G176" s="69"/>
      <c r="H176" s="13">
        <v>0</v>
      </c>
      <c r="I176" s="13">
        <v>0</v>
      </c>
    </row>
    <row r="177" spans="1:9" ht="16" thickTop="1" x14ac:dyDescent="0.2">
      <c r="A177" s="14" t="s">
        <v>126</v>
      </c>
      <c r="B177" s="70"/>
      <c r="C177" s="70"/>
      <c r="D177" s="70"/>
      <c r="E177" s="70"/>
      <c r="F177" s="70"/>
      <c r="G177" s="70"/>
      <c r="H177" s="14"/>
      <c r="I177" s="14"/>
    </row>
    <row r="178" spans="1:9" x14ac:dyDescent="0.2">
      <c r="A178" s="27" t="s">
        <v>127</v>
      </c>
      <c r="B178" s="71"/>
      <c r="C178" s="71"/>
      <c r="D178" s="71"/>
      <c r="E178" s="71"/>
      <c r="F178" s="71"/>
      <c r="G178" s="71"/>
    </row>
    <row r="179" spans="1:9" x14ac:dyDescent="0.2">
      <c r="A179" s="32" t="s">
        <v>100</v>
      </c>
      <c r="B179" s="77" t="e">
        <v>#DIV/0!</v>
      </c>
      <c r="C179" s="77">
        <v>7.4526928675400228E-2</v>
      </c>
      <c r="D179" s="77">
        <v>3.0615009482525046E-2</v>
      </c>
      <c r="E179" s="77">
        <v>-2.372502628811779E-2</v>
      </c>
      <c r="F179" s="77">
        <v>7.0481319421070276E-2</v>
      </c>
      <c r="G179" s="77">
        <v>-8.9171173437303519E-2</v>
      </c>
      <c r="H179" s="33">
        <v>0.18606738470035911</v>
      </c>
      <c r="I179" s="33">
        <v>7.0000000000000007E-2</v>
      </c>
    </row>
    <row r="180" spans="1:9" x14ac:dyDescent="0.2">
      <c r="A180" s="30" t="s">
        <v>113</v>
      </c>
      <c r="B180" s="78" t="e">
        <v>#DIV/0!</v>
      </c>
      <c r="C180" s="78">
        <v>9.3228309428638578E-2</v>
      </c>
      <c r="D180" s="78">
        <v>4.1402301322722934E-2</v>
      </c>
      <c r="E180" s="78">
        <v>-3.7381247418422192E-2</v>
      </c>
      <c r="F180" s="78">
        <v>7.755846384895948E-2</v>
      </c>
      <c r="G180" s="78">
        <v>-7.1279243404678949E-2</v>
      </c>
      <c r="H180" s="29">
        <v>0.24815092721620746</v>
      </c>
      <c r="I180" s="29">
        <v>0.05</v>
      </c>
    </row>
    <row r="181" spans="1:9" x14ac:dyDescent="0.2">
      <c r="A181" s="30" t="s">
        <v>114</v>
      </c>
      <c r="B181" s="78" t="e">
        <v>#DIV/0!</v>
      </c>
      <c r="C181" s="78">
        <v>7.6190476190476142E-2</v>
      </c>
      <c r="D181" s="78">
        <v>2.9498525073746285E-2</v>
      </c>
      <c r="E181" s="78">
        <v>1.0642652476463343E-2</v>
      </c>
      <c r="F181" s="78">
        <v>6.5208586472256025E-2</v>
      </c>
      <c r="G181" s="78">
        <v>-0.11806083650190113</v>
      </c>
      <c r="H181" s="29">
        <v>8.3854278939426541E-2</v>
      </c>
      <c r="I181" s="29">
        <v>0.09</v>
      </c>
    </row>
    <row r="182" spans="1:9" x14ac:dyDescent="0.2">
      <c r="A182" s="30" t="s">
        <v>115</v>
      </c>
      <c r="B182" s="78" t="e">
        <v>#DIV/0!</v>
      </c>
      <c r="C182" s="78">
        <v>-0.12742718446601942</v>
      </c>
      <c r="D182" s="78">
        <v>-0.10152990264255912</v>
      </c>
      <c r="E182" s="78">
        <v>-7.8947368421052655E-2</v>
      </c>
      <c r="F182" s="78">
        <v>3.3613445378151141E-3</v>
      </c>
      <c r="G182" s="78">
        <v>-0.13567839195979903</v>
      </c>
      <c r="H182" s="29">
        <v>-1.744186046511631E-2</v>
      </c>
      <c r="I182" s="29">
        <v>0.25</v>
      </c>
    </row>
    <row r="183" spans="1:9" x14ac:dyDescent="0.2">
      <c r="A183" s="32" t="s">
        <v>101</v>
      </c>
      <c r="B183" s="79" t="e">
        <v>#DIV/0!</v>
      </c>
      <c r="C183" s="79">
        <v>6.2026382262138746E-2</v>
      </c>
      <c r="D183" s="79">
        <v>5.3118393234672379E-2</v>
      </c>
      <c r="E183" s="79">
        <v>0.15959849435382689</v>
      </c>
      <c r="F183" s="79">
        <v>6.1674962129409261E-2</v>
      </c>
      <c r="G183" s="79">
        <v>-4.7390949857317621E-2</v>
      </c>
      <c r="H183" s="33">
        <v>0.22563389322777372</v>
      </c>
      <c r="I183" s="33">
        <v>0.12</v>
      </c>
    </row>
    <row r="184" spans="1:9" x14ac:dyDescent="0.2">
      <c r="A184" s="30" t="s">
        <v>113</v>
      </c>
      <c r="B184" s="78" t="e">
        <v>#DIV/0!</v>
      </c>
      <c r="C184" s="78">
        <v>7.2294280246651077E-2</v>
      </c>
      <c r="D184" s="78">
        <v>2.9545905215149659E-2</v>
      </c>
      <c r="E184" s="78">
        <v>0.1315485362095532</v>
      </c>
      <c r="F184" s="78">
        <v>7.1148936170212673E-2</v>
      </c>
      <c r="G184" s="78">
        <v>-6.3721595423486432E-2</v>
      </c>
      <c r="H184" s="29">
        <v>0.18295994568907004</v>
      </c>
      <c r="I184" s="29">
        <v>0.09</v>
      </c>
    </row>
    <row r="185" spans="1:9" x14ac:dyDescent="0.2">
      <c r="A185" s="30" t="s">
        <v>114</v>
      </c>
      <c r="B185" s="78" t="e">
        <v>#DIV/0!</v>
      </c>
      <c r="C185" s="78">
        <v>4.7781569965870352E-2</v>
      </c>
      <c r="D185" s="78">
        <v>0.11447184737087013</v>
      </c>
      <c r="E185" s="78">
        <v>0.22755741127348639</v>
      </c>
      <c r="F185" s="78">
        <v>5.0000000000000044E-2</v>
      </c>
      <c r="G185" s="78">
        <v>-1.1013929381276322E-2</v>
      </c>
      <c r="H185" s="29">
        <v>0.30887651490337364</v>
      </c>
      <c r="I185" s="29">
        <v>0.16</v>
      </c>
    </row>
    <row r="186" spans="1:9" x14ac:dyDescent="0.2">
      <c r="A186" s="30" t="s">
        <v>115</v>
      </c>
      <c r="B186" s="78" t="e">
        <v>#DIV/0!</v>
      </c>
      <c r="C186" s="78">
        <v>1.0752688172043001E-2</v>
      </c>
      <c r="D186" s="78">
        <v>1.8617021276595702E-2</v>
      </c>
      <c r="E186" s="78">
        <v>0.11488250652741505</v>
      </c>
      <c r="F186" s="78">
        <v>1.1709601873536313E-2</v>
      </c>
      <c r="G186" s="78">
        <v>-6.944444444444442E-2</v>
      </c>
      <c r="H186" s="29">
        <v>0.21890547263681581</v>
      </c>
      <c r="I186" s="29">
        <v>0.17</v>
      </c>
    </row>
    <row r="187" spans="1:9" x14ac:dyDescent="0.2">
      <c r="A187" s="32" t="s">
        <v>102</v>
      </c>
      <c r="B187" s="79" t="e">
        <v>#DIV/0!</v>
      </c>
      <c r="C187" s="79">
        <v>0.23410498858819695</v>
      </c>
      <c r="D187" s="79">
        <v>0.11941875825627468</v>
      </c>
      <c r="E187" s="79">
        <v>0.21170639603493036</v>
      </c>
      <c r="F187" s="79">
        <v>0.20919361121932223</v>
      </c>
      <c r="G187" s="79">
        <v>7.5869845360824639E-2</v>
      </c>
      <c r="H187" s="33">
        <v>0.24120377301991325</v>
      </c>
      <c r="I187" s="33">
        <v>-0.13</v>
      </c>
    </row>
    <row r="188" spans="1:9" x14ac:dyDescent="0.2">
      <c r="A188" s="30" t="s">
        <v>113</v>
      </c>
      <c r="B188" s="78" t="e">
        <v>#DIV/0!</v>
      </c>
      <c r="C188" s="78">
        <v>0.28918650793650791</v>
      </c>
      <c r="D188" s="78">
        <v>0.12350904193920731</v>
      </c>
      <c r="E188" s="78">
        <v>0.19726027397260282</v>
      </c>
      <c r="F188" s="78">
        <v>0.21910755148741412</v>
      </c>
      <c r="G188" s="78">
        <v>8.7517597372125833E-2</v>
      </c>
      <c r="H188" s="29">
        <v>0.24012944983818763</v>
      </c>
      <c r="I188" s="29">
        <v>-0.1</v>
      </c>
    </row>
    <row r="189" spans="1:9" x14ac:dyDescent="0.2">
      <c r="A189" s="30" t="s">
        <v>114</v>
      </c>
      <c r="B189" s="78" t="e">
        <v>#DIV/0!</v>
      </c>
      <c r="C189" s="78">
        <v>0.14054054054054044</v>
      </c>
      <c r="D189" s="78">
        <v>0.12606635071090055</v>
      </c>
      <c r="E189" s="78">
        <v>0.26936026936026947</v>
      </c>
      <c r="F189" s="78">
        <v>0.19893899204244025</v>
      </c>
      <c r="G189" s="78">
        <v>4.8672566371681381E-2</v>
      </c>
      <c r="H189" s="29">
        <v>0.2378691983122363</v>
      </c>
      <c r="I189" s="29">
        <v>-0.21</v>
      </c>
    </row>
    <row r="190" spans="1:9" x14ac:dyDescent="0.2">
      <c r="A190" s="30" t="s">
        <v>115</v>
      </c>
      <c r="B190" s="78" t="e">
        <v>#DIV/0!</v>
      </c>
      <c r="C190" s="78">
        <v>3.9682539682539764E-2</v>
      </c>
      <c r="D190" s="78">
        <v>-1.5267175572519109E-2</v>
      </c>
      <c r="E190" s="78">
        <v>7.7519379844961378E-3</v>
      </c>
      <c r="F190" s="78">
        <v>6.1538461538461542E-2</v>
      </c>
      <c r="G190" s="78">
        <v>7.2463768115942129E-2</v>
      </c>
      <c r="H190" s="29">
        <v>0.31756756756756754</v>
      </c>
      <c r="I190" s="29">
        <v>-0.06</v>
      </c>
    </row>
    <row r="191" spans="1:9" x14ac:dyDescent="0.2">
      <c r="A191" s="32" t="s">
        <v>106</v>
      </c>
      <c r="B191" s="79" t="e">
        <v>#DIV/0!</v>
      </c>
      <c r="C191" s="79">
        <v>-7.2211476466795599E-2</v>
      </c>
      <c r="D191" s="79">
        <v>9.7289784572619942E-2</v>
      </c>
      <c r="E191" s="79">
        <v>9.0563647878403986E-2</v>
      </c>
      <c r="F191" s="79">
        <v>1.7034456058846237E-2</v>
      </c>
      <c r="G191" s="79">
        <v>-4.3014845831747195E-2</v>
      </c>
      <c r="H191" s="33">
        <v>6.2649164677804237E-2</v>
      </c>
      <c r="I191" s="33">
        <v>0.16</v>
      </c>
    </row>
    <row r="192" spans="1:9" x14ac:dyDescent="0.2">
      <c r="A192" s="30" t="s">
        <v>113</v>
      </c>
      <c r="B192" s="78" t="e">
        <v>#DIV/0!</v>
      </c>
      <c r="C192" s="78">
        <v>-5.269964435822827E-2</v>
      </c>
      <c r="D192" s="78">
        <v>0.12116040955631391</v>
      </c>
      <c r="E192" s="78">
        <v>8.8280060882800715E-2</v>
      </c>
      <c r="F192" s="78">
        <v>1.3146853146853044E-2</v>
      </c>
      <c r="G192" s="78">
        <v>-4.7763666482606326E-2</v>
      </c>
      <c r="H192" s="29">
        <v>6.0887213685126174E-2</v>
      </c>
      <c r="I192" s="29">
        <v>0.17</v>
      </c>
    </row>
    <row r="193" spans="1:9" x14ac:dyDescent="0.2">
      <c r="A193" s="30" t="s">
        <v>114</v>
      </c>
      <c r="B193" s="78" t="e">
        <v>#DIV/0!</v>
      </c>
      <c r="C193" s="78">
        <v>-0.10640000000000005</v>
      </c>
      <c r="D193" s="78">
        <v>6.0877350044762801E-2</v>
      </c>
      <c r="E193" s="78">
        <v>0.13670886075949373</v>
      </c>
      <c r="F193" s="78">
        <v>3.563474387527843E-2</v>
      </c>
      <c r="G193" s="78">
        <v>-2.1505376344086002E-2</v>
      </c>
      <c r="H193" s="29">
        <v>9.4505494505494614E-2</v>
      </c>
      <c r="I193" s="29">
        <v>0.12</v>
      </c>
    </row>
    <row r="194" spans="1:9" x14ac:dyDescent="0.2">
      <c r="A194" s="30" t="s">
        <v>115</v>
      </c>
      <c r="B194" s="78" t="e">
        <v>#DIV/0!</v>
      </c>
      <c r="C194" s="78">
        <v>-0.12903225806451613</v>
      </c>
      <c r="D194" s="78">
        <v>-1.1111111111111072E-2</v>
      </c>
      <c r="E194" s="78">
        <v>-8.6142322097378266E-2</v>
      </c>
      <c r="F194" s="78">
        <v>-2.8688524590163911E-2</v>
      </c>
      <c r="G194" s="78">
        <v>-9.7046413502109741E-2</v>
      </c>
      <c r="H194" s="29">
        <v>-0.11214953271028039</v>
      </c>
      <c r="I194" s="29">
        <v>0.28000000000000003</v>
      </c>
    </row>
    <row r="195" spans="1:9" x14ac:dyDescent="0.2">
      <c r="A195" s="32" t="s">
        <v>107</v>
      </c>
      <c r="B195" s="77" t="e">
        <v>#DIV/0!</v>
      </c>
      <c r="C195" s="77">
        <v>-0.36521739130434783</v>
      </c>
      <c r="D195" s="77">
        <v>0</v>
      </c>
      <c r="E195" s="77">
        <v>0.20547945205479445</v>
      </c>
      <c r="F195" s="77">
        <v>-0.52272727272727271</v>
      </c>
      <c r="G195" s="77">
        <v>-0.2857142857142857</v>
      </c>
      <c r="H195" s="33">
        <v>-0.16666666666666663</v>
      </c>
      <c r="I195" s="33">
        <v>3.02</v>
      </c>
    </row>
    <row r="196" spans="1:9" x14ac:dyDescent="0.2">
      <c r="A196" s="34" t="s">
        <v>103</v>
      </c>
      <c r="B196" s="80" t="e">
        <v>#DIV/0!</v>
      </c>
      <c r="C196" s="80">
        <v>6.2924636772237807E-2</v>
      </c>
      <c r="D196" s="80">
        <v>5.6577179008096445E-2</v>
      </c>
      <c r="E196" s="80">
        <v>6.9866286104303121E-2</v>
      </c>
      <c r="F196" s="80">
        <v>7.9251848629839028E-2</v>
      </c>
      <c r="G196" s="80">
        <v>-4.4333387070772168E-2</v>
      </c>
      <c r="H196" s="36">
        <v>0.18907444894286995</v>
      </c>
      <c r="I196" s="36">
        <v>0.06</v>
      </c>
    </row>
    <row r="197" spans="1:9" x14ac:dyDescent="0.2">
      <c r="A197" s="32" t="s">
        <v>104</v>
      </c>
      <c r="B197" s="77" t="e">
        <v>#DIV/0!</v>
      </c>
      <c r="C197" s="77">
        <v>-1.3622603430877955E-2</v>
      </c>
      <c r="D197" s="77">
        <v>4.4501278772378416E-2</v>
      </c>
      <c r="E197" s="77">
        <v>-7.6395690499510338E-2</v>
      </c>
      <c r="F197" s="77">
        <v>1.0604453870625585E-2</v>
      </c>
      <c r="G197" s="77">
        <v>-3.147953830010497E-2</v>
      </c>
      <c r="H197" s="33">
        <v>0.19447453954496208</v>
      </c>
      <c r="I197" s="33">
        <v>7.0000000000000007E-2</v>
      </c>
    </row>
    <row r="198" spans="1:9" x14ac:dyDescent="0.2">
      <c r="A198" s="30" t="s">
        <v>113</v>
      </c>
      <c r="B198" s="73" t="e">
        <v>#DIV/0!</v>
      </c>
      <c r="C198" s="73"/>
      <c r="D198" s="73"/>
      <c r="E198" s="73"/>
      <c r="F198" s="77"/>
      <c r="G198" s="77"/>
      <c r="H198" s="29"/>
      <c r="I198" s="29">
        <v>0.06</v>
      </c>
    </row>
    <row r="199" spans="1:9" x14ac:dyDescent="0.2">
      <c r="A199" s="30" t="s">
        <v>114</v>
      </c>
      <c r="B199" s="73" t="e">
        <v>#DIV/0!</v>
      </c>
      <c r="C199" s="73"/>
      <c r="D199" s="73"/>
      <c r="E199" s="73"/>
      <c r="F199" s="78"/>
      <c r="G199" s="78"/>
      <c r="H199" s="29"/>
      <c r="I199" s="29">
        <v>-0.03</v>
      </c>
    </row>
    <row r="200" spans="1:9" x14ac:dyDescent="0.2">
      <c r="A200" s="30" t="s">
        <v>115</v>
      </c>
      <c r="B200" s="73" t="e">
        <v>#DIV/0!</v>
      </c>
      <c r="C200" s="73"/>
      <c r="D200" s="73"/>
      <c r="E200" s="73"/>
      <c r="F200" s="78"/>
      <c r="G200" s="78"/>
      <c r="H200" s="29"/>
      <c r="I200" s="29">
        <v>-0.16</v>
      </c>
    </row>
    <row r="201" spans="1:9" x14ac:dyDescent="0.2">
      <c r="A201" s="30" t="s">
        <v>121</v>
      </c>
      <c r="B201" s="73"/>
      <c r="C201" s="73"/>
      <c r="D201" s="73"/>
      <c r="E201" s="73"/>
      <c r="F201" s="78"/>
      <c r="G201" s="78"/>
      <c r="H201" s="29"/>
      <c r="I201" s="29">
        <v>0.42</v>
      </c>
    </row>
    <row r="202" spans="1:9" x14ac:dyDescent="0.2">
      <c r="A202" s="28" t="s">
        <v>108</v>
      </c>
      <c r="B202" s="78"/>
      <c r="C202" s="78">
        <v>4.8780487804878092E-2</v>
      </c>
      <c r="D202" s="81">
        <v>-1.8720930232558139</v>
      </c>
      <c r="E202" s="78">
        <v>-0.65333333333333332</v>
      </c>
      <c r="F202" s="78">
        <v>-1.2692307692307692</v>
      </c>
      <c r="G202" s="78">
        <v>0.5714285714285714</v>
      </c>
      <c r="H202" s="29">
        <v>-4.6363636363636367</v>
      </c>
      <c r="I202" s="29">
        <v>0</v>
      </c>
    </row>
    <row r="203" spans="1:9" ht="16" thickBot="1" x14ac:dyDescent="0.25">
      <c r="A203" s="31" t="s">
        <v>105</v>
      </c>
      <c r="B203" s="80"/>
      <c r="C203" s="80"/>
      <c r="D203" s="80"/>
      <c r="E203" s="80"/>
      <c r="F203" s="80"/>
      <c r="G203" s="80"/>
      <c r="H203" s="35"/>
      <c r="I203" s="35">
        <v>0.06</v>
      </c>
    </row>
    <row r="204"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1"/>
  <sheetViews>
    <sheetView workbookViewId="0">
      <selection activeCell="A53" sqref="A25:A53"/>
    </sheetView>
  </sheetViews>
  <sheetFormatPr baseColWidth="10" defaultColWidth="8.83203125" defaultRowHeight="15" x14ac:dyDescent="0.2"/>
  <cols>
    <col min="1" max="1" width="48.83203125" customWidth="1"/>
    <col min="2" max="14" width="11.832031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
      <c r="A2" s="38" t="s">
        <v>128</v>
      </c>
      <c r="B2" s="38"/>
      <c r="C2" s="38"/>
      <c r="D2" s="38"/>
      <c r="E2" s="38"/>
      <c r="F2" s="38"/>
      <c r="G2" s="38"/>
      <c r="H2" s="38"/>
      <c r="I2" s="38"/>
      <c r="J2" s="37"/>
      <c r="K2" s="37"/>
      <c r="L2" s="37"/>
      <c r="M2" s="37"/>
      <c r="N2" s="37"/>
    </row>
    <row r="3" spans="1:15" x14ac:dyDescent="0.2">
      <c r="A3" s="39" t="s">
        <v>139</v>
      </c>
      <c r="B3" s="3">
        <v>30601</v>
      </c>
      <c r="C3" s="3">
        <v>32376</v>
      </c>
      <c r="D3" s="3">
        <v>34350</v>
      </c>
      <c r="E3" s="3">
        <v>36397</v>
      </c>
      <c r="F3" s="3">
        <v>39117</v>
      </c>
      <c r="G3" s="3">
        <v>37403</v>
      </c>
      <c r="H3" s="3">
        <v>44538</v>
      </c>
      <c r="I3" s="3">
        <v>46710</v>
      </c>
      <c r="J3" s="3">
        <v>48344.85</v>
      </c>
      <c r="K3" s="3">
        <v>50036.919749999994</v>
      </c>
      <c r="L3" s="3">
        <v>51788.211941249989</v>
      </c>
      <c r="M3" s="3">
        <v>53600.799359193734</v>
      </c>
      <c r="N3" s="3">
        <v>55476.827336765513</v>
      </c>
      <c r="O3" t="s">
        <v>142</v>
      </c>
    </row>
    <row r="4" spans="1:15" x14ac:dyDescent="0.2">
      <c r="A4" s="40" t="s">
        <v>129</v>
      </c>
      <c r="B4" s="45">
        <v>0.17191329656862742</v>
      </c>
      <c r="C4" s="45">
        <v>5.8004640371229765E-2</v>
      </c>
      <c r="D4" s="45">
        <v>6.0971089696071123E-2</v>
      </c>
      <c r="E4" s="45">
        <v>5.95924308588065E-2</v>
      </c>
      <c r="F4" s="45">
        <v>7.4731433909388079E-2</v>
      </c>
      <c r="G4" s="45">
        <v>-4.3817266150267153E-2</v>
      </c>
      <c r="H4" s="45">
        <v>0.19076009945726269</v>
      </c>
      <c r="I4" s="45">
        <v>4.8767344739323759E-2</v>
      </c>
      <c r="J4" s="45">
        <v>3.499999999999992E-2</v>
      </c>
      <c r="K4" s="45">
        <v>3.499999999999992E-2</v>
      </c>
      <c r="L4" s="45">
        <v>3.499999999999992E-2</v>
      </c>
      <c r="M4" s="45">
        <v>3.499999999999992E-2</v>
      </c>
      <c r="N4" s="45">
        <v>3.499999999999992E-2</v>
      </c>
    </row>
    <row r="5" spans="1:15" x14ac:dyDescent="0.2">
      <c r="A5" s="39" t="s">
        <v>130</v>
      </c>
      <c r="B5">
        <v>5423</v>
      </c>
      <c r="C5">
        <v>5977</v>
      </c>
      <c r="D5">
        <v>5898</v>
      </c>
      <c r="E5">
        <v>6272</v>
      </c>
      <c r="F5">
        <v>7062</v>
      </c>
      <c r="G5">
        <v>5367</v>
      </c>
      <c r="H5">
        <v>9385</v>
      </c>
      <c r="I5">
        <v>9123</v>
      </c>
      <c r="J5">
        <v>9442.3049999999985</v>
      </c>
      <c r="K5">
        <v>9772.7856749999974</v>
      </c>
      <c r="L5">
        <v>10114.833173624997</v>
      </c>
      <c r="M5">
        <v>10468.852334701871</v>
      </c>
      <c r="N5">
        <v>10835.262166416436</v>
      </c>
      <c r="O5" t="s">
        <v>143</v>
      </c>
    </row>
    <row r="6" spans="1:15" x14ac:dyDescent="0.2">
      <c r="A6" s="40" t="s">
        <v>129</v>
      </c>
      <c r="B6" s="45">
        <v>0.27121425222691053</v>
      </c>
      <c r="C6" s="45">
        <v>0.10215747741102721</v>
      </c>
      <c r="D6" s="45">
        <v>-1.3217333110255969E-2</v>
      </c>
      <c r="E6" s="45">
        <v>6.3411325873177438E-2</v>
      </c>
      <c r="F6" s="45">
        <v>0.12595663265306123</v>
      </c>
      <c r="G6" s="45">
        <v>-0.24001699235344098</v>
      </c>
      <c r="H6" s="45">
        <v>0.74864915222656969</v>
      </c>
      <c r="I6" s="45">
        <v>-2.7916888652104399E-2</v>
      </c>
      <c r="J6" s="45">
        <v>3.499999999999992E-2</v>
      </c>
      <c r="K6" s="45">
        <v>3.499999999999992E-2</v>
      </c>
      <c r="L6" s="45">
        <v>3.499999999999992E-2</v>
      </c>
      <c r="M6" s="45">
        <v>3.499999999999992E-2</v>
      </c>
      <c r="N6" s="45">
        <v>3.499999999999992E-2</v>
      </c>
    </row>
    <row r="7" spans="1:15" x14ac:dyDescent="0.2">
      <c r="A7" s="40" t="s">
        <v>131</v>
      </c>
      <c r="B7" s="45">
        <v>0.1772164308355936</v>
      </c>
      <c r="C7" s="45">
        <v>0.1846120583148011</v>
      </c>
      <c r="D7" s="45">
        <v>0.17170305676855896</v>
      </c>
      <c r="E7" s="45">
        <v>0.17232189466164793</v>
      </c>
      <c r="F7" s="45">
        <v>0.18053531712554644</v>
      </c>
      <c r="G7" s="45">
        <v>0.14349116381038954</v>
      </c>
      <c r="H7" s="45">
        <v>0.21071893663837621</v>
      </c>
      <c r="I7" s="45">
        <v>0.19531149646756582</v>
      </c>
      <c r="J7" s="45">
        <v>0.19531149646756579</v>
      </c>
      <c r="K7" s="45">
        <v>0.19531149646756579</v>
      </c>
      <c r="L7" s="45">
        <v>0.19531149646756582</v>
      </c>
      <c r="M7" s="45">
        <v>0.19531149646756582</v>
      </c>
      <c r="N7" s="45">
        <v>0.19531149646756582</v>
      </c>
    </row>
    <row r="8" spans="1:15" x14ac:dyDescent="0.2">
      <c r="A8" s="39" t="s">
        <v>132</v>
      </c>
      <c r="B8">
        <v>606</v>
      </c>
      <c r="C8">
        <v>649</v>
      </c>
      <c r="D8">
        <v>706</v>
      </c>
      <c r="E8">
        <v>747</v>
      </c>
      <c r="F8">
        <v>705</v>
      </c>
      <c r="G8">
        <v>721</v>
      </c>
      <c r="H8">
        <v>744</v>
      </c>
      <c r="I8">
        <v>717</v>
      </c>
      <c r="J8">
        <v>731.34</v>
      </c>
      <c r="K8">
        <v>745.96680000000003</v>
      </c>
      <c r="L8">
        <v>760.88613600000008</v>
      </c>
      <c r="M8">
        <v>776.10385872000006</v>
      </c>
      <c r="N8">
        <v>791.62593589440007</v>
      </c>
      <c r="O8" t="s">
        <v>144</v>
      </c>
    </row>
    <row r="9" spans="1:15" x14ac:dyDescent="0.2">
      <c r="A9" s="40" t="s">
        <v>129</v>
      </c>
      <c r="B9" s="45">
        <v>3.4129692832764569E-2</v>
      </c>
      <c r="C9" s="45">
        <v>7.0957095709570872E-2</v>
      </c>
      <c r="D9" s="45">
        <v>8.7827426810477727E-2</v>
      </c>
      <c r="E9" s="45">
        <v>5.8073654390934815E-2</v>
      </c>
      <c r="F9" s="45">
        <v>-5.6224899598393607E-2</v>
      </c>
      <c r="G9" s="45">
        <v>2.2695035460992941E-2</v>
      </c>
      <c r="H9" s="45">
        <v>3.1900138696255187E-2</v>
      </c>
      <c r="I9" s="45">
        <v>-3.6290322580645129E-2</v>
      </c>
      <c r="J9" s="45">
        <v>2.0000000000000018E-2</v>
      </c>
      <c r="K9" s="45">
        <v>2.4999999999999911E-2</v>
      </c>
      <c r="L9" s="45">
        <v>2.4999999999999911E-2</v>
      </c>
      <c r="M9" s="45">
        <v>2.4999999999999911E-2</v>
      </c>
      <c r="N9" s="45">
        <v>2.4999999999999911E-2</v>
      </c>
    </row>
    <row r="10" spans="1:15" x14ac:dyDescent="0.2">
      <c r="A10" s="40" t="s">
        <v>133</v>
      </c>
      <c r="B10" s="45">
        <v>1.9803274402797295E-2</v>
      </c>
      <c r="C10" s="45">
        <v>2.0045712873733631E-2</v>
      </c>
      <c r="D10" s="45">
        <v>2.0553129548762736E-2</v>
      </c>
      <c r="E10" s="45">
        <v>2.0523669533203285E-2</v>
      </c>
      <c r="F10" s="45">
        <v>1.8022854513382928E-2</v>
      </c>
      <c r="G10" s="45">
        <v>1.9276528620698875E-2</v>
      </c>
      <c r="H10" s="45">
        <v>1.6704836319547355E-2</v>
      </c>
      <c r="I10" s="45">
        <v>1.5350032113037893E-2</v>
      </c>
      <c r="J10" s="45">
        <v>1.5127567879515606E-2</v>
      </c>
      <c r="K10" s="45">
        <v>1.4908327765319728E-2</v>
      </c>
      <c r="L10" s="45">
        <v>1.4692265044083214E-2</v>
      </c>
      <c r="M10" s="45">
        <v>1.4479333666632734E-2</v>
      </c>
      <c r="N10" s="45">
        <v>1.4269488251174288E-2</v>
      </c>
    </row>
    <row r="11" spans="1:15" x14ac:dyDescent="0.2">
      <c r="A11" s="39" t="s">
        <v>134</v>
      </c>
      <c r="B11">
        <v>4817</v>
      </c>
      <c r="C11">
        <v>5328</v>
      </c>
      <c r="D11">
        <v>5192</v>
      </c>
      <c r="E11">
        <v>5525</v>
      </c>
      <c r="F11">
        <v>6357</v>
      </c>
      <c r="G11">
        <v>4646</v>
      </c>
      <c r="H11">
        <v>8641</v>
      </c>
      <c r="I11">
        <v>8406</v>
      </c>
      <c r="J11">
        <v>8742.24</v>
      </c>
      <c r="K11">
        <v>9091.9295999999995</v>
      </c>
      <c r="L11">
        <v>9455.6067839999996</v>
      </c>
      <c r="M11">
        <v>9833.8310553600004</v>
      </c>
      <c r="N11">
        <v>10227.1842975744</v>
      </c>
      <c r="O11" t="s">
        <v>145</v>
      </c>
    </row>
    <row r="12" spans="1:15" x14ac:dyDescent="0.2">
      <c r="A12" s="40" t="s">
        <v>129</v>
      </c>
      <c r="B12" s="45">
        <v>0.3089673913043478</v>
      </c>
      <c r="C12" s="45">
        <v>0.10608262403985891</v>
      </c>
      <c r="D12" s="45">
        <v>-2.5525525525525561E-2</v>
      </c>
      <c r="E12" s="45">
        <v>6.4137134052388189E-2</v>
      </c>
      <c r="F12" s="45">
        <v>0.15058823529411769</v>
      </c>
      <c r="G12" s="45">
        <v>-0.26915211577788267</v>
      </c>
      <c r="H12" s="45">
        <v>0.85987946620749023</v>
      </c>
      <c r="I12" s="45">
        <v>-2.7195926397407755E-2</v>
      </c>
      <c r="J12" s="45">
        <v>4.0000000000000036E-2</v>
      </c>
      <c r="K12" s="45">
        <v>4.0000000000000036E-2</v>
      </c>
      <c r="L12" s="45">
        <v>4.0000000000000036E-2</v>
      </c>
      <c r="M12" s="45">
        <v>4.0000000000000036E-2</v>
      </c>
      <c r="N12" s="45">
        <v>4.0000000000000036E-2</v>
      </c>
    </row>
    <row r="13" spans="1:15" x14ac:dyDescent="0.2">
      <c r="A13" s="40" t="s">
        <v>131</v>
      </c>
      <c r="B13" s="45">
        <v>0.15741315643279633</v>
      </c>
      <c r="C13" s="45">
        <v>0.16456634544106746</v>
      </c>
      <c r="D13" s="45">
        <v>0.15114992721979623</v>
      </c>
      <c r="E13" s="45">
        <v>0.15179822512844465</v>
      </c>
      <c r="F13" s="45">
        <v>0.16251246261216351</v>
      </c>
      <c r="G13" s="45">
        <v>0.12421463518969067</v>
      </c>
      <c r="H13" s="45">
        <v>0.19401410031882887</v>
      </c>
      <c r="I13" s="45">
        <v>0.17996146435452795</v>
      </c>
      <c r="J13" s="45">
        <v>0.18083084340938074</v>
      </c>
      <c r="K13" s="45">
        <v>0.18170442236304926</v>
      </c>
      <c r="L13" s="45">
        <v>0.18258222150489975</v>
      </c>
      <c r="M13" s="45">
        <v>0.18346426122231474</v>
      </c>
      <c r="N13" s="45">
        <v>0.18435056200116651</v>
      </c>
    </row>
    <row r="14" spans="1:15" x14ac:dyDescent="0.2">
      <c r="A14" s="39" t="s">
        <v>135</v>
      </c>
      <c r="B14">
        <v>64</v>
      </c>
      <c r="C14">
        <v>429</v>
      </c>
      <c r="D14">
        <v>196</v>
      </c>
      <c r="E14">
        <v>1112</v>
      </c>
      <c r="F14">
        <v>324</v>
      </c>
      <c r="G14">
        <v>-258</v>
      </c>
      <c r="H14">
        <v>782</v>
      </c>
      <c r="I14">
        <v>604</v>
      </c>
      <c r="J14">
        <v>631.17999999999995</v>
      </c>
      <c r="K14">
        <v>659.58309999999994</v>
      </c>
      <c r="L14">
        <v>689.26433949999989</v>
      </c>
      <c r="M14">
        <v>720.28123477749989</v>
      </c>
      <c r="N14">
        <v>752.69389034248729</v>
      </c>
      <c r="O14" t="s">
        <v>146</v>
      </c>
    </row>
    <row r="15" spans="1:15" x14ac:dyDescent="0.2">
      <c r="A15" s="40" t="s">
        <v>129</v>
      </c>
      <c r="B15" s="45">
        <v>1.89E-2</v>
      </c>
      <c r="C15" s="45">
        <v>5.703125</v>
      </c>
      <c r="D15" s="45">
        <v>-0.54312354312354305</v>
      </c>
      <c r="E15" s="45">
        <v>4.6734693877551017</v>
      </c>
      <c r="F15" s="45">
        <v>-0.70863309352517989</v>
      </c>
      <c r="G15" s="45">
        <v>-1.7962962962962963</v>
      </c>
      <c r="H15" s="45">
        <v>-4.0310077519379846</v>
      </c>
      <c r="I15" s="45">
        <v>-0.22762148337595911</v>
      </c>
      <c r="J15" s="45">
        <v>4.4999999999999929E-2</v>
      </c>
      <c r="K15" s="45">
        <v>4.4999999999999929E-2</v>
      </c>
      <c r="L15" s="45">
        <v>4.4999999999999929E-2</v>
      </c>
      <c r="M15" s="45">
        <v>4.4999999999999929E-2</v>
      </c>
      <c r="N15" s="45">
        <v>4.4999999999999929E-2</v>
      </c>
    </row>
    <row r="16" spans="1:15" x14ac:dyDescent="0.2">
      <c r="A16" s="40" t="s">
        <v>133</v>
      </c>
      <c r="B16" s="45">
        <v>2.091434920427437E-3</v>
      </c>
      <c r="C16" s="45">
        <v>1.3250555967383247E-2</v>
      </c>
      <c r="D16" s="45">
        <v>5.7059679767103352E-3</v>
      </c>
      <c r="E16" s="45">
        <v>3.055196856883809E-2</v>
      </c>
      <c r="F16" s="45">
        <v>8.2828437763632183E-3</v>
      </c>
      <c r="G16" s="45">
        <v>-6.8978424190572945E-3</v>
      </c>
      <c r="H16" s="45">
        <v>1.7558040325115633E-2</v>
      </c>
      <c r="I16" s="45">
        <v>1.2930849925069578E-2</v>
      </c>
      <c r="J16" s="45">
        <v>1.3055785673137883E-2</v>
      </c>
      <c r="K16" s="45">
        <v>1.3181928529883178E-2</v>
      </c>
      <c r="L16" s="45">
        <v>1.3309290158191227E-2</v>
      </c>
      <c r="M16" s="45">
        <v>1.3437882333632691E-2</v>
      </c>
      <c r="N16" s="45">
        <v>1.3567716945551846E-2</v>
      </c>
    </row>
    <row r="17" spans="1:15" x14ac:dyDescent="0.2">
      <c r="A17" s="9" t="s">
        <v>141</v>
      </c>
      <c r="B17">
        <v>3011</v>
      </c>
      <c r="C17">
        <v>3520</v>
      </c>
      <c r="D17">
        <v>3989</v>
      </c>
      <c r="E17">
        <v>4454</v>
      </c>
      <c r="F17">
        <v>4744</v>
      </c>
      <c r="G17">
        <v>4866</v>
      </c>
      <c r="H17">
        <v>4904</v>
      </c>
      <c r="I17">
        <v>4791</v>
      </c>
      <c r="J17">
        <v>5006.5949999999993</v>
      </c>
      <c r="K17">
        <v>5231.8917749999991</v>
      </c>
      <c r="L17">
        <v>5467.3269048749989</v>
      </c>
      <c r="M17">
        <v>5713.3566155943736</v>
      </c>
      <c r="N17">
        <v>5970.4576632961198</v>
      </c>
      <c r="O17" t="s">
        <v>147</v>
      </c>
    </row>
    <row r="18" spans="1:15" x14ac:dyDescent="0.2">
      <c r="A18" s="40" t="s">
        <v>129</v>
      </c>
      <c r="B18" s="45" t="e">
        <v>#DIV/0!</v>
      </c>
      <c r="C18" s="45">
        <v>0.16904682829624718</v>
      </c>
      <c r="D18" s="45">
        <v>0.13323863636363642</v>
      </c>
      <c r="E18" s="45">
        <v>0.11657056906492858</v>
      </c>
      <c r="F18" s="45">
        <v>6.5110013471037176E-2</v>
      </c>
      <c r="G18" s="45">
        <v>2.5716694772343951E-2</v>
      </c>
      <c r="H18" s="45">
        <v>7.8092889436909285E-3</v>
      </c>
      <c r="I18" s="45">
        <v>-2.3042414355628038E-2</v>
      </c>
      <c r="J18" s="45">
        <v>4.4999999999999929E-2</v>
      </c>
      <c r="K18" s="45">
        <v>4.4999999999999929E-2</v>
      </c>
      <c r="L18" s="45">
        <v>4.4999999999999929E-2</v>
      </c>
      <c r="M18" s="45">
        <v>4.4999999999999929E-2</v>
      </c>
      <c r="N18" s="45">
        <v>4.4999999999999929E-2</v>
      </c>
    </row>
    <row r="19" spans="1:15" x14ac:dyDescent="0.2">
      <c r="A19" s="40" t="s">
        <v>133</v>
      </c>
      <c r="B19" s="45">
        <v>9.8395477271984569E-2</v>
      </c>
      <c r="C19" s="45">
        <v>0.10872251050160613</v>
      </c>
      <c r="D19" s="45">
        <v>0.11612809315866085</v>
      </c>
      <c r="E19" s="45">
        <v>0.12237272302662307</v>
      </c>
      <c r="F19" s="45">
        <v>0.1212771940588491</v>
      </c>
      <c r="G19" s="45">
        <v>0.13009651632222013</v>
      </c>
      <c r="H19" s="45">
        <v>0.11010822219228523</v>
      </c>
      <c r="I19" s="45">
        <v>0.10256904303147078</v>
      </c>
      <c r="J19" s="45">
        <v>0.10356004827815164</v>
      </c>
      <c r="K19" s="45">
        <v>0.10456062845475216</v>
      </c>
      <c r="L19" s="45">
        <v>0.10557087607267247</v>
      </c>
      <c r="M19" s="45">
        <v>0.10659088453714273</v>
      </c>
      <c r="N19" s="45">
        <v>0.10762074815585908</v>
      </c>
    </row>
    <row r="20" spans="1:15" x14ac:dyDescent="0.2">
      <c r="A20" s="41" t="str">
        <f>+Historicals!A107</f>
        <v>North America</v>
      </c>
      <c r="B20" s="41"/>
      <c r="C20" s="41"/>
      <c r="D20" s="41"/>
      <c r="E20" s="41"/>
      <c r="F20" s="41"/>
      <c r="G20" s="41"/>
      <c r="H20" s="41"/>
      <c r="I20" s="41"/>
      <c r="J20" s="37"/>
      <c r="K20" s="37"/>
      <c r="L20" s="37"/>
      <c r="M20" s="37"/>
      <c r="N20" s="37"/>
    </row>
    <row r="21" spans="1:15" x14ac:dyDescent="0.2">
      <c r="A21" s="9" t="s">
        <v>136</v>
      </c>
      <c r="B21" s="83">
        <v>13740</v>
      </c>
      <c r="C21" s="83">
        <v>14764</v>
      </c>
      <c r="D21" s="83">
        <v>15216</v>
      </c>
      <c r="E21" s="83">
        <v>14855</v>
      </c>
      <c r="F21" s="83">
        <v>15902</v>
      </c>
      <c r="G21" s="83">
        <v>14484</v>
      </c>
      <c r="H21" s="9">
        <v>17179</v>
      </c>
      <c r="I21" s="9">
        <v>18353</v>
      </c>
      <c r="J21" s="9">
        <v>18995.355</v>
      </c>
      <c r="K21" s="9">
        <v>19660.192424999997</v>
      </c>
      <c r="L21" s="9">
        <v>20348.299159874994</v>
      </c>
      <c r="M21" s="9">
        <v>21060.489630470616</v>
      </c>
      <c r="N21" s="9">
        <v>21797.606767537087</v>
      </c>
    </row>
    <row r="22" spans="1:15" x14ac:dyDescent="0.2">
      <c r="A22" s="42" t="s">
        <v>129</v>
      </c>
      <c r="B22" s="45" t="s">
        <v>208</v>
      </c>
      <c r="C22" s="45">
        <v>7.4526928675400228E-2</v>
      </c>
      <c r="D22" s="45">
        <v>3.0615009482525046E-2</v>
      </c>
      <c r="E22" s="45">
        <v>-2.372502628811779E-2</v>
      </c>
      <c r="F22" s="45">
        <v>7.0481319421070276E-2</v>
      </c>
      <c r="G22" s="45">
        <v>-8.9171173437303519E-2</v>
      </c>
      <c r="H22" s="45">
        <v>0.18606738470035911</v>
      </c>
      <c r="I22" s="45">
        <v>6.8339251411607238E-2</v>
      </c>
      <c r="J22" s="45">
        <v>3.499999999999992E-2</v>
      </c>
      <c r="K22" s="45">
        <v>3.499999999999992E-2</v>
      </c>
      <c r="L22" s="45">
        <v>3.499999999999992E-2</v>
      </c>
      <c r="M22" s="45">
        <v>3.499999999999992E-2</v>
      </c>
      <c r="N22" s="45">
        <v>3.499999999999992E-2</v>
      </c>
    </row>
    <row r="23" spans="1:15" x14ac:dyDescent="0.2">
      <c r="A23" s="43" t="s">
        <v>113</v>
      </c>
      <c r="B23" s="82">
        <v>8506</v>
      </c>
      <c r="C23" s="82">
        <v>9299</v>
      </c>
      <c r="D23" s="82">
        <v>9684</v>
      </c>
      <c r="E23" s="82">
        <v>9322</v>
      </c>
      <c r="F23" s="82">
        <v>10045</v>
      </c>
      <c r="G23" s="82">
        <v>9329</v>
      </c>
      <c r="H23" s="3">
        <v>11644</v>
      </c>
      <c r="I23" s="3">
        <v>12228</v>
      </c>
      <c r="J23" s="3">
        <v>12655.98</v>
      </c>
      <c r="K23" s="3">
        <v>13098.939299999998</v>
      </c>
      <c r="L23" s="3">
        <v>13557.402175499998</v>
      </c>
      <c r="M23" s="3">
        <v>14031.911251642496</v>
      </c>
      <c r="N23" s="3">
        <v>14523.028145449982</v>
      </c>
    </row>
    <row r="24" spans="1:15" x14ac:dyDescent="0.2">
      <c r="A24" s="42" t="s">
        <v>129</v>
      </c>
      <c r="B24" s="45" t="s">
        <v>208</v>
      </c>
      <c r="C24" s="45">
        <v>9.3228309428638578E-2</v>
      </c>
      <c r="D24" s="45">
        <v>4.1402301322722934E-2</v>
      </c>
      <c r="E24" s="45">
        <v>-3.7381247418422192E-2</v>
      </c>
      <c r="F24" s="45">
        <v>7.755846384895948E-2</v>
      </c>
      <c r="G24" s="45">
        <v>-7.1279243404678949E-2</v>
      </c>
      <c r="H24" s="45">
        <v>0.24815092721620746</v>
      </c>
      <c r="I24" s="45">
        <v>5.0154586052902683E-2</v>
      </c>
      <c r="J24" s="45">
        <v>3.499999999999992E-2</v>
      </c>
      <c r="K24" s="45">
        <v>3.499999999999992E-2</v>
      </c>
      <c r="L24" s="45">
        <v>3.499999999999992E-2</v>
      </c>
      <c r="M24" s="45">
        <v>3.499999999999992E-2</v>
      </c>
      <c r="N24" s="45">
        <v>3.499999999999992E-2</v>
      </c>
    </row>
    <row r="25" spans="1:15" x14ac:dyDescent="0.2">
      <c r="A25" s="42" t="s">
        <v>137</v>
      </c>
      <c r="B25" s="45" t="e">
        <v>#DIV/0!</v>
      </c>
      <c r="C25" s="45">
        <v>9.3228309428638578E-2</v>
      </c>
      <c r="D25" s="45">
        <v>4.1402301322722934E-2</v>
      </c>
      <c r="E25" s="45">
        <v>-3.7381247418422192E-2</v>
      </c>
      <c r="F25" s="45">
        <v>7.755846384895948E-2</v>
      </c>
      <c r="G25" s="45">
        <v>-7.1279243404678949E-2</v>
      </c>
      <c r="H25" s="45">
        <v>0.24815092721620746</v>
      </c>
      <c r="I25" s="45">
        <v>0.05</v>
      </c>
      <c r="J25" s="47">
        <v>3.499999999999992E-2</v>
      </c>
      <c r="K25" s="47">
        <v>3.499999999999992E-2</v>
      </c>
      <c r="L25" s="47">
        <v>3.499999999999992E-2</v>
      </c>
      <c r="M25" s="47">
        <v>3.499999999999992E-2</v>
      </c>
      <c r="N25" s="47">
        <v>3.499999999999992E-2</v>
      </c>
    </row>
    <row r="26" spans="1:15" x14ac:dyDescent="0.2">
      <c r="A26" s="42" t="s">
        <v>138</v>
      </c>
      <c r="B26" s="45" t="s">
        <v>208</v>
      </c>
      <c r="C26" s="45">
        <v>0</v>
      </c>
      <c r="D26" s="45">
        <v>0</v>
      </c>
      <c r="E26" s="45">
        <v>0</v>
      </c>
      <c r="F26" s="45">
        <v>0</v>
      </c>
      <c r="G26" s="45">
        <v>0</v>
      </c>
      <c r="H26" s="45">
        <v>0</v>
      </c>
      <c r="I26" s="45">
        <v>1.5458605290268046E-4</v>
      </c>
      <c r="J26" s="47">
        <v>0</v>
      </c>
      <c r="K26" s="47">
        <v>0</v>
      </c>
      <c r="L26" s="47">
        <v>0</v>
      </c>
      <c r="M26" s="47">
        <v>0</v>
      </c>
      <c r="N26" s="47">
        <v>0</v>
      </c>
    </row>
    <row r="27" spans="1:15" x14ac:dyDescent="0.2">
      <c r="A27" s="43" t="s">
        <v>114</v>
      </c>
      <c r="B27" s="82">
        <v>4410</v>
      </c>
      <c r="C27" s="82">
        <v>4746</v>
      </c>
      <c r="D27" s="82">
        <v>4886</v>
      </c>
      <c r="E27" s="82">
        <v>4938</v>
      </c>
      <c r="F27" s="82">
        <v>5260</v>
      </c>
      <c r="G27" s="82">
        <v>4639</v>
      </c>
      <c r="H27" s="3">
        <v>5028</v>
      </c>
      <c r="I27" s="3">
        <v>5492</v>
      </c>
      <c r="J27" s="3">
        <v>5684.2199999999993</v>
      </c>
      <c r="K27" s="3">
        <v>5883.1676999999991</v>
      </c>
      <c r="L27" s="3">
        <v>6088.9049999999997</v>
      </c>
      <c r="M27" s="3">
        <v>6302.0166749999989</v>
      </c>
      <c r="N27" s="3">
        <v>6522.587258624998</v>
      </c>
    </row>
    <row r="28" spans="1:15" x14ac:dyDescent="0.2">
      <c r="A28" s="42" t="s">
        <v>129</v>
      </c>
      <c r="B28" s="45" t="s">
        <v>208</v>
      </c>
      <c r="C28" s="45">
        <v>7.6190476190476142E-2</v>
      </c>
      <c r="D28" s="45">
        <v>2.9498525073746285E-2</v>
      </c>
      <c r="E28" s="45">
        <v>1.0642652476463343E-2</v>
      </c>
      <c r="F28" s="45">
        <v>6.5208586472256025E-2</v>
      </c>
      <c r="G28" s="45">
        <v>-0.11806083650190113</v>
      </c>
      <c r="H28" s="45">
        <v>8.3854278939426541E-2</v>
      </c>
      <c r="I28" s="45">
        <v>9.2283214001591007E-2</v>
      </c>
      <c r="J28" s="45">
        <v>3.499999999999992E-2</v>
      </c>
      <c r="K28" s="45">
        <v>3.499999999999992E-2</v>
      </c>
      <c r="L28" s="45">
        <v>3.4970497271393564E-2</v>
      </c>
      <c r="M28" s="45">
        <v>3.499999999999992E-2</v>
      </c>
      <c r="N28" s="45">
        <v>3.499999999999992E-2</v>
      </c>
    </row>
    <row r="29" spans="1:15" x14ac:dyDescent="0.2">
      <c r="A29" s="42" t="s">
        <v>137</v>
      </c>
      <c r="B29" s="45" t="e">
        <v>#DIV/0!</v>
      </c>
      <c r="C29" s="45">
        <v>7.2294280246651077E-2</v>
      </c>
      <c r="D29" s="45">
        <v>2.9545905215149659E-2</v>
      </c>
      <c r="E29" s="45">
        <v>0.1315485362095532</v>
      </c>
      <c r="F29" s="45">
        <v>7.1148936170212673E-2</v>
      </c>
      <c r="G29" s="45">
        <v>-6.3721595423486432E-2</v>
      </c>
      <c r="H29" s="45">
        <v>0.18295994568907004</v>
      </c>
      <c r="I29" s="45">
        <v>0.09</v>
      </c>
      <c r="J29" s="47">
        <v>3.499999999999992E-2</v>
      </c>
      <c r="K29" s="47">
        <v>3.499999999999992E-2</v>
      </c>
      <c r="L29" s="47">
        <v>3.4970497271393564E-2</v>
      </c>
      <c r="M29" s="47">
        <v>3.499999999999992E-2</v>
      </c>
      <c r="N29" s="47">
        <v>3.499999999999992E-2</v>
      </c>
    </row>
    <row r="30" spans="1:15" x14ac:dyDescent="0.2">
      <c r="A30" s="42" t="s">
        <v>138</v>
      </c>
      <c r="B30" s="45" t="s">
        <v>208</v>
      </c>
      <c r="C30" s="45">
        <v>3.8961959438250648E-3</v>
      </c>
      <c r="D30" s="45">
        <v>-4.7380141403374765E-5</v>
      </c>
      <c r="E30" s="45">
        <v>-0.12090588373308986</v>
      </c>
      <c r="F30" s="45">
        <v>-5.9403496979566484E-3</v>
      </c>
      <c r="G30" s="45">
        <v>-5.4339241078414702E-2</v>
      </c>
      <c r="H30" s="45">
        <v>-9.9105666749643495E-2</v>
      </c>
      <c r="I30" s="45">
        <v>2.2832140015910107E-3</v>
      </c>
      <c r="J30" s="47">
        <v>0</v>
      </c>
      <c r="K30" s="47">
        <v>0</v>
      </c>
      <c r="L30" s="47">
        <v>0</v>
      </c>
      <c r="M30" s="47">
        <v>0</v>
      </c>
      <c r="N30" s="47">
        <v>0</v>
      </c>
    </row>
    <row r="31" spans="1:15" x14ac:dyDescent="0.2">
      <c r="A31" s="43" t="s">
        <v>115</v>
      </c>
      <c r="B31" s="82">
        <v>824</v>
      </c>
      <c r="C31" s="82">
        <v>719</v>
      </c>
      <c r="D31" s="82">
        <v>646</v>
      </c>
      <c r="E31" s="82">
        <v>595</v>
      </c>
      <c r="F31" s="82">
        <v>597</v>
      </c>
      <c r="G31" s="82">
        <v>516</v>
      </c>
      <c r="H31" s="3">
        <v>507</v>
      </c>
      <c r="I31" s="3">
        <v>633</v>
      </c>
      <c r="J31" s="3">
        <v>655.15499999999997</v>
      </c>
      <c r="K31" s="3">
        <v>678.08542499999987</v>
      </c>
      <c r="L31" s="3">
        <v>701.8184148749998</v>
      </c>
      <c r="M31" s="3">
        <v>726.38205939562476</v>
      </c>
      <c r="N31" s="3">
        <v>751.80543147447156</v>
      </c>
    </row>
    <row r="32" spans="1:15" x14ac:dyDescent="0.2">
      <c r="A32" s="42" t="s">
        <v>129</v>
      </c>
      <c r="B32" s="45" t="s">
        <v>208</v>
      </c>
      <c r="C32" s="45">
        <v>-0.12742718446601942</v>
      </c>
      <c r="D32" s="45">
        <v>-0.10152990264255912</v>
      </c>
      <c r="E32" s="45">
        <v>-7.8947368421052655E-2</v>
      </c>
      <c r="F32" s="45">
        <v>3.3613445378151141E-3</v>
      </c>
      <c r="G32" s="45">
        <v>-0.13567839195979903</v>
      </c>
      <c r="H32" s="45">
        <v>-1.744186046511631E-2</v>
      </c>
      <c r="I32" s="45">
        <v>0.24852071005917153</v>
      </c>
      <c r="J32" s="45">
        <v>3.499999999999992E-2</v>
      </c>
      <c r="K32" s="45">
        <v>3.499999999999992E-2</v>
      </c>
      <c r="L32" s="45">
        <v>3.499999999999992E-2</v>
      </c>
      <c r="M32" s="45">
        <v>3.499999999999992E-2</v>
      </c>
      <c r="N32" s="45">
        <v>3.499999999999992E-2</v>
      </c>
    </row>
    <row r="33" spans="1:14" x14ac:dyDescent="0.2">
      <c r="A33" s="42" t="s">
        <v>137</v>
      </c>
      <c r="B33" s="45" t="e">
        <v>#DIV/0!</v>
      </c>
      <c r="C33" s="45">
        <v>-0.12742718446601942</v>
      </c>
      <c r="D33" s="45">
        <v>-0.10152990264255912</v>
      </c>
      <c r="E33" s="45">
        <v>-7.8947368421052655E-2</v>
      </c>
      <c r="F33" s="45">
        <v>3.3613445378151141E-3</v>
      </c>
      <c r="G33" s="45">
        <v>-0.13567839195979903</v>
      </c>
      <c r="H33" s="45">
        <v>-1.744186046511631E-2</v>
      </c>
      <c r="I33" s="45">
        <v>0.25</v>
      </c>
      <c r="J33" s="47">
        <v>3.499999999999992E-2</v>
      </c>
      <c r="K33" s="47">
        <v>3.499999999999992E-2</v>
      </c>
      <c r="L33" s="47">
        <v>3.499999999999992E-2</v>
      </c>
      <c r="M33" s="47">
        <v>3.499999999999992E-2</v>
      </c>
      <c r="N33" s="47">
        <v>3.499999999999992E-2</v>
      </c>
    </row>
    <row r="34" spans="1:14" x14ac:dyDescent="0.2">
      <c r="A34" s="42" t="s">
        <v>138</v>
      </c>
      <c r="B34" s="45" t="s">
        <v>208</v>
      </c>
      <c r="C34" s="45">
        <v>0</v>
      </c>
      <c r="D34" s="45">
        <v>0</v>
      </c>
      <c r="E34" s="45">
        <v>0</v>
      </c>
      <c r="F34" s="45">
        <v>0</v>
      </c>
      <c r="G34" s="45">
        <v>0</v>
      </c>
      <c r="H34" s="45">
        <v>0</v>
      </c>
      <c r="I34" s="45">
        <v>-1.4792899408284654E-3</v>
      </c>
      <c r="J34" s="47">
        <v>0</v>
      </c>
      <c r="K34" s="47">
        <v>0</v>
      </c>
      <c r="L34" s="47">
        <v>0</v>
      </c>
      <c r="M34" s="47">
        <v>0</v>
      </c>
      <c r="N34" s="47">
        <v>0</v>
      </c>
    </row>
    <row r="35" spans="1:14" x14ac:dyDescent="0.2">
      <c r="A35" s="9" t="s">
        <v>130</v>
      </c>
      <c r="B35" s="84">
        <v>3766</v>
      </c>
      <c r="C35" s="84">
        <v>3896</v>
      </c>
      <c r="D35" s="84">
        <v>4015</v>
      </c>
      <c r="E35" s="84">
        <v>3760</v>
      </c>
      <c r="F35" s="84">
        <v>4074</v>
      </c>
      <c r="G35" s="84">
        <v>3047</v>
      </c>
      <c r="H35" s="46">
        <v>5219</v>
      </c>
      <c r="I35" s="46">
        <v>5238</v>
      </c>
      <c r="J35" s="46">
        <v>5421.33</v>
      </c>
      <c r="K35" s="46">
        <v>5611.0765499999998</v>
      </c>
      <c r="L35" s="46">
        <v>5807.4642292499993</v>
      </c>
      <c r="M35" s="46">
        <v>6010.7254772737488</v>
      </c>
      <c r="N35" s="46">
        <v>6221.1008689783293</v>
      </c>
    </row>
    <row r="36" spans="1:14" x14ac:dyDescent="0.2">
      <c r="A36" s="44" t="s">
        <v>129</v>
      </c>
      <c r="B36" s="45" t="s">
        <v>208</v>
      </c>
      <c r="C36" s="45">
        <v>3.4519383961763239E-2</v>
      </c>
      <c r="D36" s="45">
        <v>3.0544147843942548E-2</v>
      </c>
      <c r="E36" s="45">
        <v>-6.3511830635118338E-2</v>
      </c>
      <c r="F36" s="45">
        <v>8.3510638297872308E-2</v>
      </c>
      <c r="G36" s="45">
        <v>-0.25208640157093765</v>
      </c>
      <c r="H36" s="45">
        <v>0.71283229405973092</v>
      </c>
      <c r="I36" s="45">
        <v>3.6405441655489312E-3</v>
      </c>
      <c r="J36" s="45">
        <v>3.499999999999992E-2</v>
      </c>
      <c r="K36" s="45">
        <v>3.499999999999992E-2</v>
      </c>
      <c r="L36" s="45">
        <v>3.499999999999992E-2</v>
      </c>
      <c r="M36" s="45">
        <v>3.499999999999992E-2</v>
      </c>
      <c r="N36" s="45">
        <v>3.499999999999992E-2</v>
      </c>
    </row>
    <row r="37" spans="1:14" x14ac:dyDescent="0.2">
      <c r="A37" s="44" t="s">
        <v>131</v>
      </c>
      <c r="B37" s="45">
        <v>0.27409024745269289</v>
      </c>
      <c r="C37" s="45">
        <v>0.26388512598211866</v>
      </c>
      <c r="D37" s="45">
        <v>0.26386698212407994</v>
      </c>
      <c r="E37" s="45">
        <v>0.25311342982160889</v>
      </c>
      <c r="F37" s="45">
        <v>0.25619418941013711</v>
      </c>
      <c r="G37" s="45">
        <v>0.2103700635183651</v>
      </c>
      <c r="H37" s="45">
        <v>0.30380115256999823</v>
      </c>
      <c r="I37" s="45">
        <v>0.28540293140086087</v>
      </c>
      <c r="J37" s="47">
        <v>0.28540293140086087</v>
      </c>
      <c r="K37" s="47">
        <v>0.28540293140086093</v>
      </c>
      <c r="L37" s="47">
        <v>0.28540293140086093</v>
      </c>
      <c r="M37" s="47">
        <v>0.28540293140086098</v>
      </c>
      <c r="N37" s="47">
        <v>0.28540293140086093</v>
      </c>
    </row>
    <row r="38" spans="1:14" x14ac:dyDescent="0.2">
      <c r="A38" s="9" t="s">
        <v>132</v>
      </c>
      <c r="B38" s="83">
        <v>121</v>
      </c>
      <c r="C38" s="83">
        <v>133</v>
      </c>
      <c r="D38" s="83">
        <v>140</v>
      </c>
      <c r="E38" s="83">
        <v>160</v>
      </c>
      <c r="F38" s="83">
        <v>149</v>
      </c>
      <c r="G38" s="83">
        <v>148</v>
      </c>
      <c r="H38" s="9">
        <v>130</v>
      </c>
      <c r="I38" s="9">
        <v>124</v>
      </c>
      <c r="J38" s="46">
        <v>126.48</v>
      </c>
      <c r="K38" s="46">
        <v>129.642</v>
      </c>
      <c r="L38" s="46">
        <v>132.88305</v>
      </c>
      <c r="M38" s="46">
        <v>136.20512624999998</v>
      </c>
      <c r="N38" s="46">
        <v>139.61025440624996</v>
      </c>
    </row>
    <row r="39" spans="1:14" x14ac:dyDescent="0.2">
      <c r="A39" s="44" t="s">
        <v>129</v>
      </c>
      <c r="B39" s="45" t="s">
        <v>208</v>
      </c>
      <c r="C39" s="45">
        <v>9.9173553719008156E-2</v>
      </c>
      <c r="D39" s="45">
        <v>5.2631578947368363E-2</v>
      </c>
      <c r="E39" s="45">
        <v>0.14285714285714279</v>
      </c>
      <c r="F39" s="45">
        <v>-6.8749999999999978E-2</v>
      </c>
      <c r="G39" s="45">
        <v>-6.7114093959731447E-3</v>
      </c>
      <c r="H39" s="45">
        <v>-0.1216216216216216</v>
      </c>
      <c r="I39" s="45">
        <v>-4.6153846153846101E-2</v>
      </c>
      <c r="J39" s="45">
        <v>2.0000000000000018E-2</v>
      </c>
      <c r="K39" s="45">
        <v>2.4999999999999911E-2</v>
      </c>
      <c r="L39" s="45">
        <v>2.4999999999999911E-2</v>
      </c>
      <c r="M39" s="45">
        <v>2.4999999999999911E-2</v>
      </c>
      <c r="N39" s="45">
        <v>2.4999999999999911E-2</v>
      </c>
    </row>
    <row r="40" spans="1:14" x14ac:dyDescent="0.2">
      <c r="A40" s="44" t="s">
        <v>133</v>
      </c>
      <c r="B40" s="45">
        <v>8.8064046579330417E-3</v>
      </c>
      <c r="C40" s="45">
        <v>9.0083988079111346E-3</v>
      </c>
      <c r="D40" s="45">
        <v>9.2008412197686646E-3</v>
      </c>
      <c r="E40" s="45">
        <v>1.0770784247728038E-2</v>
      </c>
      <c r="F40" s="45">
        <v>9.3698905798012821E-3</v>
      </c>
      <c r="G40" s="45">
        <v>1.0218171775752554E-2</v>
      </c>
      <c r="H40" s="45">
        <v>7.5673787764130628E-3</v>
      </c>
      <c r="I40" s="45">
        <v>6.7563886013185855E-3</v>
      </c>
      <c r="J40" s="45">
        <v>6.658469925937157E-3</v>
      </c>
      <c r="K40" s="45">
        <v>6.5941368831744793E-3</v>
      </c>
      <c r="L40" s="45">
        <v>6.5304254157041962E-3</v>
      </c>
      <c r="M40" s="45">
        <v>6.4673295179679237E-3</v>
      </c>
      <c r="N40" s="45">
        <v>6.404843242432001E-3</v>
      </c>
    </row>
    <row r="41" spans="1:14" x14ac:dyDescent="0.2">
      <c r="A41" s="44" t="s">
        <v>140</v>
      </c>
      <c r="B41" s="45">
        <v>0.19145569620253164</v>
      </c>
      <c r="C41" s="45">
        <v>0.17924528301886791</v>
      </c>
      <c r="D41" s="45">
        <v>0.17094017094017094</v>
      </c>
      <c r="E41" s="45">
        <v>0.18867924528301888</v>
      </c>
      <c r="F41" s="45">
        <v>0.18304668304668303</v>
      </c>
      <c r="G41" s="45">
        <v>0.22945736434108527</v>
      </c>
      <c r="H41" s="45">
        <v>0.21069692058346839</v>
      </c>
      <c r="I41" s="45">
        <v>0.19405320813771518</v>
      </c>
      <c r="J41" s="47">
        <v>0.18941078689040142</v>
      </c>
      <c r="K41" s="47">
        <v>0.18578570005996312</v>
      </c>
      <c r="L41" s="47">
        <v>0.18222999288178204</v>
      </c>
      <c r="M41" s="47">
        <v>0.17874233751562352</v>
      </c>
      <c r="N41" s="47">
        <v>0.17532143153446328</v>
      </c>
    </row>
    <row r="42" spans="1:14" x14ac:dyDescent="0.2">
      <c r="A42" s="9" t="s">
        <v>134</v>
      </c>
      <c r="B42" s="83">
        <v>3645</v>
      </c>
      <c r="C42" s="83">
        <v>3763</v>
      </c>
      <c r="D42" s="83">
        <v>3875</v>
      </c>
      <c r="E42" s="83">
        <v>3600</v>
      </c>
      <c r="F42" s="83">
        <v>3925</v>
      </c>
      <c r="G42" s="83">
        <v>2899</v>
      </c>
      <c r="H42" s="9">
        <v>5089</v>
      </c>
      <c r="I42" s="9">
        <v>5114</v>
      </c>
      <c r="J42" s="9">
        <v>5318.56</v>
      </c>
      <c r="K42" s="9">
        <v>5531.3024000000005</v>
      </c>
      <c r="L42" s="9">
        <v>5752.5544960000007</v>
      </c>
      <c r="M42" s="9">
        <v>5982.6566758400013</v>
      </c>
      <c r="N42" s="9">
        <v>6221.9629428736016</v>
      </c>
    </row>
    <row r="43" spans="1:14" x14ac:dyDescent="0.2">
      <c r="A43" s="44" t="s">
        <v>129</v>
      </c>
      <c r="B43" s="45" t="s">
        <v>208</v>
      </c>
      <c r="C43" s="45">
        <v>3.2373113854595292E-2</v>
      </c>
      <c r="D43" s="45">
        <v>2.9763486579856391E-2</v>
      </c>
      <c r="E43" s="45">
        <v>-7.096774193548383E-2</v>
      </c>
      <c r="F43" s="45">
        <v>9.0277777777777679E-2</v>
      </c>
      <c r="G43" s="45">
        <v>-0.26140127388535028</v>
      </c>
      <c r="H43" s="45">
        <v>0.75543290789927564</v>
      </c>
      <c r="I43" s="45">
        <v>4.9125564943997002E-3</v>
      </c>
      <c r="J43" s="45">
        <v>4.0000000000000036E-2</v>
      </c>
      <c r="K43" s="45">
        <v>4.0000000000000036E-2</v>
      </c>
      <c r="L43" s="45">
        <v>4.0000000000000036E-2</v>
      </c>
      <c r="M43" s="45">
        <v>4.0000000000000036E-2</v>
      </c>
      <c r="N43" s="45">
        <v>4.0000000000000036E-2</v>
      </c>
    </row>
    <row r="44" spans="1:14" x14ac:dyDescent="0.2">
      <c r="A44" s="44" t="s">
        <v>131</v>
      </c>
      <c r="B44" s="45">
        <v>0.26528384279475981</v>
      </c>
      <c r="C44" s="45">
        <v>0.25487672717420751</v>
      </c>
      <c r="D44" s="45">
        <v>0.25466614090431128</v>
      </c>
      <c r="E44" s="45">
        <v>0.24234264557388085</v>
      </c>
      <c r="F44" s="45">
        <v>0.2468242988303358</v>
      </c>
      <c r="G44" s="45">
        <v>0.20015189174261253</v>
      </c>
      <c r="H44" s="45">
        <v>0.29623377379358518</v>
      </c>
      <c r="I44" s="45">
        <v>0.27864654279954232</v>
      </c>
      <c r="J44" s="45">
        <v>0.27999266136379131</v>
      </c>
      <c r="K44" s="45">
        <v>0.28134528291627348</v>
      </c>
      <c r="L44" s="45">
        <v>0.28270443887239077</v>
      </c>
      <c r="M44" s="45">
        <v>0.28407016079931058</v>
      </c>
      <c r="N44" s="45">
        <v>0.28544248041669862</v>
      </c>
    </row>
    <row r="45" spans="1:14" x14ac:dyDescent="0.2">
      <c r="A45" s="9" t="s">
        <v>135</v>
      </c>
      <c r="B45" s="83">
        <v>208</v>
      </c>
      <c r="C45" s="83">
        <v>242</v>
      </c>
      <c r="D45" s="83">
        <v>223</v>
      </c>
      <c r="E45" s="83">
        <v>196</v>
      </c>
      <c r="F45" s="83">
        <v>117</v>
      </c>
      <c r="G45" s="83">
        <v>110</v>
      </c>
      <c r="H45" s="9">
        <v>98</v>
      </c>
      <c r="I45" s="9">
        <v>146</v>
      </c>
      <c r="J45" s="46">
        <v>152.57</v>
      </c>
      <c r="K45" s="46">
        <v>159.43564999999998</v>
      </c>
      <c r="L45" s="46">
        <v>166.61025424999997</v>
      </c>
      <c r="M45" s="46">
        <v>174.10771569124995</v>
      </c>
      <c r="N45" s="46">
        <v>181.9425628973562</v>
      </c>
    </row>
    <row r="46" spans="1:14" x14ac:dyDescent="0.2">
      <c r="A46" s="44" t="s">
        <v>129</v>
      </c>
      <c r="B46" s="45" t="s">
        <v>208</v>
      </c>
      <c r="C46" s="45">
        <v>0.16346153846153855</v>
      </c>
      <c r="D46" s="45">
        <v>-7.8512396694214837E-2</v>
      </c>
      <c r="E46" s="45">
        <v>-0.12107623318385652</v>
      </c>
      <c r="F46" s="45">
        <v>-0.40306122448979587</v>
      </c>
      <c r="G46" s="45">
        <v>-5.9829059829059839E-2</v>
      </c>
      <c r="H46" s="45">
        <v>-0.10909090909090913</v>
      </c>
      <c r="I46" s="45">
        <v>0.48979591836734704</v>
      </c>
      <c r="J46" s="45">
        <v>4.4999999999999929E-2</v>
      </c>
      <c r="K46" s="45">
        <v>4.4999999999999929E-2</v>
      </c>
      <c r="L46" s="45">
        <v>4.4999999999999929E-2</v>
      </c>
      <c r="M46" s="45">
        <v>4.4999999999999929E-2</v>
      </c>
      <c r="N46" s="45">
        <v>4.4999999999999929E-2</v>
      </c>
    </row>
    <row r="47" spans="1:14" x14ac:dyDescent="0.2">
      <c r="A47" s="44" t="s">
        <v>133</v>
      </c>
      <c r="B47" s="45">
        <v>1.5138282387190683E-2</v>
      </c>
      <c r="C47" s="45">
        <v>1.6391221891086428E-2</v>
      </c>
      <c r="D47" s="45">
        <v>1.4655625657202945E-2</v>
      </c>
      <c r="E47" s="45">
        <v>1.3194210703466847E-2</v>
      </c>
      <c r="F47" s="45">
        <v>7.3575650861526856E-3</v>
      </c>
      <c r="G47" s="45">
        <v>7.5945871306268989E-3</v>
      </c>
      <c r="H47" s="45">
        <v>5.7046393852960009E-3</v>
      </c>
      <c r="I47" s="45">
        <v>7.9551027080041418E-3</v>
      </c>
      <c r="J47" s="47">
        <v>8.0319636037336495E-3</v>
      </c>
      <c r="K47" s="47">
        <v>8.1095671168132013E-3</v>
      </c>
      <c r="L47" s="47">
        <v>8.1879204222896594E-3</v>
      </c>
      <c r="M47" s="47">
        <v>8.2670307645340037E-3</v>
      </c>
      <c r="N47" s="47">
        <v>8.3469054579111447E-3</v>
      </c>
    </row>
    <row r="48" spans="1:14" x14ac:dyDescent="0.2">
      <c r="A48" s="9" t="s">
        <v>141</v>
      </c>
      <c r="B48" s="83">
        <v>632</v>
      </c>
      <c r="C48" s="83">
        <v>742</v>
      </c>
      <c r="D48" s="83">
        <v>819</v>
      </c>
      <c r="E48" s="83">
        <v>848</v>
      </c>
      <c r="F48" s="83">
        <v>814</v>
      </c>
      <c r="G48" s="83">
        <v>645</v>
      </c>
      <c r="H48" s="9">
        <v>617</v>
      </c>
      <c r="I48" s="9">
        <v>639</v>
      </c>
      <c r="J48" s="46">
        <v>667.755</v>
      </c>
      <c r="K48" s="46">
        <v>697.80397499999992</v>
      </c>
      <c r="L48" s="46">
        <v>729.20515387499984</v>
      </c>
      <c r="M48" s="46">
        <v>762.01938579937473</v>
      </c>
      <c r="N48" s="46">
        <v>796.31025816034651</v>
      </c>
    </row>
    <row r="49" spans="1:14" x14ac:dyDescent="0.2">
      <c r="A49" s="44" t="s">
        <v>129</v>
      </c>
      <c r="B49" s="45" t="s">
        <v>208</v>
      </c>
      <c r="C49" s="45">
        <v>0.17405063291139244</v>
      </c>
      <c r="D49" s="45">
        <v>0.10377358490566047</v>
      </c>
      <c r="E49" s="45">
        <v>3.5409035409035505E-2</v>
      </c>
      <c r="F49" s="45">
        <v>-4.0094339622641528E-2</v>
      </c>
      <c r="G49" s="45">
        <v>-0.20761670761670759</v>
      </c>
      <c r="H49" s="45">
        <v>-4.3410852713178349E-2</v>
      </c>
      <c r="I49" s="45">
        <v>3.5656401944894611E-2</v>
      </c>
      <c r="J49" s="45">
        <v>4.4999999999999929E-2</v>
      </c>
      <c r="K49" s="45">
        <v>4.4999999999999929E-2</v>
      </c>
      <c r="L49" s="45">
        <v>4.4999999999999929E-2</v>
      </c>
      <c r="M49" s="45">
        <v>4.4999999999999929E-2</v>
      </c>
      <c r="N49" s="45">
        <v>4.4999999999999929E-2</v>
      </c>
    </row>
    <row r="50" spans="1:14" x14ac:dyDescent="0.2">
      <c r="A50" s="44" t="s">
        <v>133</v>
      </c>
      <c r="B50" s="45">
        <v>4.599708879184862E-2</v>
      </c>
      <c r="C50" s="45">
        <v>5.0257382823083174E-2</v>
      </c>
      <c r="D50" s="45">
        <v>5.3824921135646686E-2</v>
      </c>
      <c r="E50" s="45">
        <v>5.7085156512958597E-2</v>
      </c>
      <c r="F50" s="45">
        <v>5.1188529744686205E-2</v>
      </c>
      <c r="G50" s="45">
        <v>4.4531897265948632E-2</v>
      </c>
      <c r="H50" s="45">
        <v>3.5915943884975841E-2</v>
      </c>
      <c r="I50" s="45">
        <v>3.4817196098730456E-2</v>
      </c>
      <c r="J50" s="47">
        <v>3.5153594128669877E-2</v>
      </c>
      <c r="K50" s="47">
        <v>3.5493242381120796E-2</v>
      </c>
      <c r="L50" s="47">
        <v>3.5000000000000003E-2</v>
      </c>
      <c r="M50" s="47">
        <v>3.5000000000000003E-2</v>
      </c>
      <c r="N50" s="47">
        <v>3.5000000000000003E-2</v>
      </c>
    </row>
    <row r="51" spans="1:14" x14ac:dyDescent="0.2">
      <c r="A51" s="41" t="str">
        <f>+Historicals!A111</f>
        <v>Europe, Middle East &amp; Africa</v>
      </c>
      <c r="B51" s="41"/>
      <c r="C51" s="41"/>
      <c r="D51" s="41"/>
      <c r="E51" s="41"/>
      <c r="F51" s="41"/>
      <c r="G51" s="41"/>
      <c r="H51" s="41"/>
      <c r="I51" s="41"/>
      <c r="J51" s="37"/>
      <c r="K51" s="37"/>
      <c r="L51" s="37"/>
      <c r="M51" s="37"/>
      <c r="N51" s="3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0"/>
  <sheetViews>
    <sheetView workbookViewId="0">
      <selection activeCell="A79" sqref="A79:N79"/>
    </sheetView>
  </sheetViews>
  <sheetFormatPr baseColWidth="10" defaultColWidth="8.83203125" defaultRowHeight="15" x14ac:dyDescent="0.2"/>
  <cols>
    <col min="1" max="1" width="48.83203125" customWidth="1"/>
    <col min="2" max="14" width="11.83203125" customWidth="1"/>
    <col min="15" max="15" width="152.83203125" customWidth="1"/>
  </cols>
  <sheetData>
    <row r="1" spans="1:26"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62" t="s">
        <v>197</v>
      </c>
      <c r="P1">
        <v>2015</v>
      </c>
      <c r="Q1">
        <v>2016</v>
      </c>
      <c r="R1">
        <v>2017</v>
      </c>
      <c r="S1">
        <v>2018</v>
      </c>
      <c r="T1">
        <v>2019</v>
      </c>
      <c r="U1">
        <v>2020</v>
      </c>
      <c r="V1">
        <v>2021</v>
      </c>
      <c r="W1">
        <v>2022</v>
      </c>
      <c r="Z1" t="s">
        <v>216</v>
      </c>
    </row>
    <row r="2" spans="1:26" x14ac:dyDescent="0.2">
      <c r="A2" s="38" t="s">
        <v>148</v>
      </c>
      <c r="B2" s="38"/>
      <c r="C2" s="38"/>
      <c r="D2" s="38"/>
      <c r="E2" s="38"/>
      <c r="F2" s="38"/>
      <c r="G2" s="38"/>
      <c r="H2" s="38"/>
      <c r="I2" s="38"/>
      <c r="J2" s="38"/>
      <c r="K2" s="38"/>
      <c r="L2" s="38"/>
      <c r="M2" s="38"/>
      <c r="N2" s="38"/>
    </row>
    <row r="3" spans="1:26" x14ac:dyDescent="0.2">
      <c r="A3" s="1" t="s">
        <v>136</v>
      </c>
      <c r="B3" s="9">
        <v>30601</v>
      </c>
      <c r="C3" s="9">
        <v>32376</v>
      </c>
      <c r="D3" s="9">
        <v>34350</v>
      </c>
      <c r="E3" s="9">
        <v>36397</v>
      </c>
      <c r="F3" s="9">
        <v>39117</v>
      </c>
      <c r="G3" s="9">
        <v>37403</v>
      </c>
      <c r="H3" s="9">
        <v>44538</v>
      </c>
      <c r="I3" s="9">
        <v>46710</v>
      </c>
      <c r="J3" s="9">
        <f>46710*(1+7%)</f>
        <v>49979.700000000004</v>
      </c>
      <c r="K3" s="9">
        <f>J3*(1+7%)</f>
        <v>53478.27900000001</v>
      </c>
      <c r="L3" s="9">
        <f>K3*(1+7%)</f>
        <v>57221.758530000014</v>
      </c>
      <c r="M3" s="9">
        <f t="shared" ref="M3" si="1">L3*(1+7%)</f>
        <v>61227.281627100019</v>
      </c>
      <c r="N3" s="9">
        <f>M3*(1+7%)</f>
        <v>65513.191340997022</v>
      </c>
      <c r="O3" t="s">
        <v>227</v>
      </c>
      <c r="Q3">
        <f t="shared" ref="Q3:W3" si="2">C3/B3-1</f>
        <v>5.8004640371229765E-2</v>
      </c>
      <c r="R3">
        <f t="shared" si="2"/>
        <v>6.0971089696071123E-2</v>
      </c>
      <c r="S3">
        <f t="shared" si="2"/>
        <v>5.95924308588065E-2</v>
      </c>
      <c r="T3">
        <f t="shared" si="2"/>
        <v>7.4731433909388079E-2</v>
      </c>
      <c r="U3">
        <f t="shared" si="2"/>
        <v>-4.3817266150267153E-2</v>
      </c>
      <c r="V3">
        <f t="shared" si="2"/>
        <v>0.19076009945726269</v>
      </c>
      <c r="W3">
        <f t="shared" si="2"/>
        <v>4.8767344739323759E-2</v>
      </c>
      <c r="Z3">
        <f>AVERAGE(Q3:W3)</f>
        <v>6.4144253268830678E-2</v>
      </c>
    </row>
    <row r="4" spans="1:26" x14ac:dyDescent="0.2">
      <c r="A4" s="40" t="s">
        <v>129</v>
      </c>
      <c r="B4" s="48">
        <v>0.17191329656862742</v>
      </c>
      <c r="C4" s="48">
        <v>5.8004640371229765E-2</v>
      </c>
      <c r="D4" s="48">
        <v>6.0971089696071123E-2</v>
      </c>
      <c r="E4" s="48">
        <v>5.95924308588065E-2</v>
      </c>
      <c r="F4" s="48">
        <v>7.4731433909388079E-2</v>
      </c>
      <c r="G4" s="48">
        <v>-4.3817266150267153E-2</v>
      </c>
      <c r="H4" s="48">
        <v>0.19076009945726269</v>
      </c>
      <c r="I4" s="48">
        <v>4.8767344739323759E-2</v>
      </c>
      <c r="J4" s="48">
        <f>J3/I3-1</f>
        <v>7.0000000000000062E-2</v>
      </c>
      <c r="K4" s="48">
        <f>7%</f>
        <v>7.0000000000000007E-2</v>
      </c>
      <c r="L4" s="48">
        <f t="shared" ref="L4:N4" si="3">L3/K3-1</f>
        <v>7.0000000000000062E-2</v>
      </c>
      <c r="M4" s="48">
        <f t="shared" si="3"/>
        <v>7.0000000000000062E-2</v>
      </c>
      <c r="N4" s="48">
        <f t="shared" si="3"/>
        <v>7.0000000000000062E-2</v>
      </c>
    </row>
    <row r="5" spans="1:26" x14ac:dyDescent="0.2">
      <c r="A5" s="1" t="s">
        <v>149</v>
      </c>
      <c r="B5" s="9">
        <v>5423</v>
      </c>
      <c r="C5" s="9">
        <v>5977</v>
      </c>
      <c r="D5" s="9">
        <v>5898</v>
      </c>
      <c r="E5" s="9">
        <v>6272</v>
      </c>
      <c r="F5" s="9">
        <v>7062</v>
      </c>
      <c r="G5" s="9">
        <v>5367</v>
      </c>
      <c r="H5" s="9">
        <v>9385</v>
      </c>
      <c r="I5" s="9">
        <v>9123</v>
      </c>
      <c r="J5" s="9">
        <f>I5*(1+10%)</f>
        <v>10035.300000000001</v>
      </c>
      <c r="K5" s="9">
        <f t="shared" ref="K5:N5" si="4">J5*(1+10%)</f>
        <v>11038.830000000002</v>
      </c>
      <c r="L5" s="9">
        <f t="shared" si="4"/>
        <v>12142.713000000003</v>
      </c>
      <c r="M5" s="9">
        <f t="shared" si="4"/>
        <v>13356.984300000006</v>
      </c>
      <c r="N5" s="9">
        <f t="shared" si="4"/>
        <v>14692.682730000008</v>
      </c>
      <c r="O5" t="s">
        <v>228</v>
      </c>
      <c r="Q5">
        <f>C5/B5-1</f>
        <v>0.10215747741102721</v>
      </c>
      <c r="R5">
        <f t="shared" ref="R5:W5" si="5">D5/C5-1</f>
        <v>-1.3217333110255969E-2</v>
      </c>
      <c r="S5">
        <f t="shared" si="5"/>
        <v>6.3411325873177438E-2</v>
      </c>
      <c r="T5">
        <f t="shared" si="5"/>
        <v>0.12595663265306123</v>
      </c>
      <c r="U5">
        <f t="shared" si="5"/>
        <v>-0.24001699235344098</v>
      </c>
      <c r="V5">
        <f t="shared" si="5"/>
        <v>0.74864915222656969</v>
      </c>
      <c r="W5">
        <f t="shared" si="5"/>
        <v>-2.7916888652104399E-2</v>
      </c>
      <c r="Z5">
        <f>AVERAGE(Q5:W5)</f>
        <v>0.1084319105782906</v>
      </c>
    </row>
    <row r="6" spans="1:26" x14ac:dyDescent="0.2">
      <c r="A6" s="49" t="s">
        <v>132</v>
      </c>
      <c r="B6" s="50">
        <v>606</v>
      </c>
      <c r="C6" s="50">
        <v>649</v>
      </c>
      <c r="D6" s="50">
        <v>706</v>
      </c>
      <c r="E6" s="50">
        <v>747</v>
      </c>
      <c r="F6" s="50">
        <v>705</v>
      </c>
      <c r="G6" s="50">
        <v>721</v>
      </c>
      <c r="H6" s="50">
        <v>744</v>
      </c>
      <c r="I6" s="50">
        <v>717</v>
      </c>
      <c r="J6" s="50">
        <v>731.34</v>
      </c>
      <c r="K6" s="50">
        <v>749.62349999999992</v>
      </c>
      <c r="L6" s="50">
        <v>768.36408749999987</v>
      </c>
      <c r="M6" s="50">
        <v>787.57318968749985</v>
      </c>
      <c r="N6" s="50">
        <v>807.26251942968725</v>
      </c>
      <c r="O6" t="s">
        <v>222</v>
      </c>
    </row>
    <row r="7" spans="1:26" x14ac:dyDescent="0.2">
      <c r="A7" s="4" t="s">
        <v>134</v>
      </c>
      <c r="B7" s="5">
        <v>4817</v>
      </c>
      <c r="C7" s="5">
        <v>5328</v>
      </c>
      <c r="D7" s="5">
        <v>5192</v>
      </c>
      <c r="E7" s="5">
        <v>5525</v>
      </c>
      <c r="F7" s="5">
        <v>6357</v>
      </c>
      <c r="G7" s="5">
        <v>4646</v>
      </c>
      <c r="H7" s="5">
        <v>8641</v>
      </c>
      <c r="I7" s="5">
        <v>8406</v>
      </c>
      <c r="J7" s="5">
        <f>J5-J6</f>
        <v>9303.9600000000009</v>
      </c>
      <c r="K7" s="5">
        <f t="shared" ref="K7:N7" si="6">K5-K6</f>
        <v>10289.206500000002</v>
      </c>
      <c r="L7" s="5">
        <f t="shared" si="6"/>
        <v>11374.348912500003</v>
      </c>
      <c r="M7" s="5">
        <f t="shared" si="6"/>
        <v>12569.411110312505</v>
      </c>
      <c r="N7" s="5">
        <f t="shared" si="6"/>
        <v>13885.420210570321</v>
      </c>
      <c r="O7" t="s">
        <v>229</v>
      </c>
    </row>
    <row r="8" spans="1:26" x14ac:dyDescent="0.2">
      <c r="A8" s="40" t="s">
        <v>129</v>
      </c>
      <c r="B8" s="48">
        <v>3.4129692832764569E-2</v>
      </c>
      <c r="C8" s="48">
        <v>7.0957095709570872E-2</v>
      </c>
      <c r="D8" s="48">
        <v>8.7827426810477727E-2</v>
      </c>
      <c r="E8" s="48">
        <v>5.8073654390934815E-2</v>
      </c>
      <c r="F8" s="48">
        <v>-5.6224899598393607E-2</v>
      </c>
      <c r="G8" s="48">
        <v>2.2695035460992941E-2</v>
      </c>
      <c r="H8" s="48">
        <v>3.1900138696255187E-2</v>
      </c>
      <c r="I8" s="48">
        <v>-3.6290322580645129E-2</v>
      </c>
      <c r="J8" s="48">
        <f>J7/I7-1</f>
        <v>0.1068236973590293</v>
      </c>
      <c r="K8" s="48">
        <f t="shared" ref="K8:N8" si="7">K7/J7-1</f>
        <v>0.10589539292946237</v>
      </c>
      <c r="L8" s="48">
        <f t="shared" si="7"/>
        <v>0.10546414949491023</v>
      </c>
      <c r="M8" s="48">
        <f t="shared" si="7"/>
        <v>0.10506642683513712</v>
      </c>
      <c r="N8" s="48">
        <f t="shared" si="7"/>
        <v>0.10469934420221993</v>
      </c>
    </row>
    <row r="9" spans="1:26" x14ac:dyDescent="0.2">
      <c r="A9" s="40" t="s">
        <v>131</v>
      </c>
      <c r="B9" s="48">
        <v>1.9803274402797295E-2</v>
      </c>
      <c r="C9" s="48">
        <v>2.0045712873733631E-2</v>
      </c>
      <c r="D9" s="48">
        <v>2.0553129548762736E-2</v>
      </c>
      <c r="E9" s="48">
        <v>2.0523669533203285E-2</v>
      </c>
      <c r="F9" s="48">
        <v>1.8022854513382928E-2</v>
      </c>
      <c r="G9" s="48">
        <v>1.9276528620698875E-2</v>
      </c>
      <c r="H9" s="48">
        <v>1.6704836319547355E-2</v>
      </c>
      <c r="I9" s="48">
        <v>1.5350032113037893E-2</v>
      </c>
      <c r="J9" s="48">
        <v>0</v>
      </c>
      <c r="K9" s="48">
        <v>0</v>
      </c>
      <c r="L9" s="48">
        <v>0</v>
      </c>
      <c r="M9" s="48">
        <v>0</v>
      </c>
      <c r="N9" s="48">
        <v>0</v>
      </c>
    </row>
    <row r="10" spans="1:26" x14ac:dyDescent="0.2">
      <c r="A10" s="2" t="s">
        <v>24</v>
      </c>
      <c r="B10" s="3">
        <v>28</v>
      </c>
      <c r="C10" s="3">
        <v>19</v>
      </c>
      <c r="D10" s="3">
        <v>59</v>
      </c>
      <c r="E10" s="3">
        <v>54</v>
      </c>
      <c r="F10" s="3">
        <v>49</v>
      </c>
      <c r="G10" s="3">
        <v>89</v>
      </c>
      <c r="H10" s="3">
        <v>262</v>
      </c>
      <c r="I10" s="3">
        <v>205</v>
      </c>
      <c r="J10" s="3">
        <v>207.27550000000002</v>
      </c>
      <c r="K10" s="3">
        <v>209.57625805000004</v>
      </c>
      <c r="L10" s="3">
        <v>211.90255451435505</v>
      </c>
      <c r="M10" s="3">
        <v>214.2546728694644</v>
      </c>
      <c r="N10" s="3">
        <v>216.63289973831547</v>
      </c>
      <c r="O10" t="s">
        <v>223</v>
      </c>
    </row>
    <row r="11" spans="1:26" x14ac:dyDescent="0.2">
      <c r="A11" s="4" t="s">
        <v>150</v>
      </c>
      <c r="B11" s="5">
        <v>4845</v>
      </c>
      <c r="C11" s="5">
        <v>5347</v>
      </c>
      <c r="D11" s="5">
        <v>5251</v>
      </c>
      <c r="E11" s="5">
        <v>5579</v>
      </c>
      <c r="F11" s="5">
        <v>6406</v>
      </c>
      <c r="G11" s="5">
        <v>4735</v>
      </c>
      <c r="H11" s="5">
        <v>8903</v>
      </c>
      <c r="I11" s="5">
        <v>8611</v>
      </c>
      <c r="J11" s="5">
        <f>8611*(1+12%)</f>
        <v>9644.3200000000015</v>
      </c>
      <c r="K11" s="5">
        <f>J11*(1+12%)</f>
        <v>10801.638400000003</v>
      </c>
      <c r="L11" s="5">
        <f>K11*(1+12%)</f>
        <v>12097.835008000005</v>
      </c>
      <c r="M11" s="5">
        <f t="shared" ref="M11" si="8">L11*(1+12%)</f>
        <v>13549.575208960008</v>
      </c>
      <c r="N11" s="5">
        <f>M11*(1+12%)</f>
        <v>15175.524234035211</v>
      </c>
      <c r="O11" t="s">
        <v>230</v>
      </c>
      <c r="Q11">
        <f>C11/B11-1</f>
        <v>0.10361197110423115</v>
      </c>
      <c r="R11">
        <f t="shared" ref="R11:W11" si="9">D11/C11-1</f>
        <v>-1.7953992893211201E-2</v>
      </c>
      <c r="S11">
        <f t="shared" si="9"/>
        <v>6.2464292515711284E-2</v>
      </c>
      <c r="T11">
        <f t="shared" si="9"/>
        <v>0.14823445061839036</v>
      </c>
      <c r="U11">
        <f t="shared" si="9"/>
        <v>-0.26084920387137056</v>
      </c>
      <c r="V11">
        <f t="shared" si="9"/>
        <v>0.88025343189017957</v>
      </c>
      <c r="W11">
        <f t="shared" si="9"/>
        <v>-3.2797933280916514E-2</v>
      </c>
      <c r="Z11">
        <f>AVERAGE(Q11:W11)</f>
        <v>0.12613757372614487</v>
      </c>
    </row>
    <row r="12" spans="1:26" x14ac:dyDescent="0.2">
      <c r="A12" t="s">
        <v>26</v>
      </c>
      <c r="B12" s="3">
        <v>932</v>
      </c>
      <c r="C12" s="3">
        <v>863</v>
      </c>
      <c r="D12" s="3">
        <v>646</v>
      </c>
      <c r="E12" s="3">
        <v>2392</v>
      </c>
      <c r="F12" s="3">
        <v>772</v>
      </c>
      <c r="G12" s="3">
        <v>348</v>
      </c>
      <c r="H12" s="3">
        <v>934</v>
      </c>
      <c r="I12" s="3">
        <v>605</v>
      </c>
      <c r="J12" s="3">
        <v>605</v>
      </c>
      <c r="K12" s="3">
        <v>605</v>
      </c>
      <c r="L12" s="3">
        <v>605</v>
      </c>
      <c r="M12" s="3">
        <v>605</v>
      </c>
      <c r="N12" s="3">
        <v>605</v>
      </c>
    </row>
    <row r="13" spans="1:26" x14ac:dyDescent="0.2">
      <c r="A13" s="51" t="s">
        <v>151</v>
      </c>
      <c r="B13" s="52">
        <v>0.19236326109391125</v>
      </c>
      <c r="C13" s="52">
        <v>0.16139891527959604</v>
      </c>
      <c r="D13" s="52">
        <v>0.12302418586935822</v>
      </c>
      <c r="E13" s="52">
        <v>0.42875067216347018</v>
      </c>
      <c r="F13" s="52">
        <v>0.12051201998126757</v>
      </c>
      <c r="G13" s="52">
        <v>7.3495248152059128E-2</v>
      </c>
      <c r="H13" s="52">
        <v>0.10490845782320567</v>
      </c>
      <c r="I13" s="52">
        <v>7.0258971083497851E-2</v>
      </c>
      <c r="J13" s="53">
        <v>0.159</v>
      </c>
      <c r="K13" s="53">
        <v>0.159</v>
      </c>
      <c r="L13" s="53">
        <v>0.159</v>
      </c>
      <c r="M13" s="53">
        <v>0.159</v>
      </c>
      <c r="N13" s="53">
        <v>0.159</v>
      </c>
      <c r="O13" t="s">
        <v>224</v>
      </c>
    </row>
    <row r="14" spans="1:26" ht="16" thickBot="1" x14ac:dyDescent="0.25">
      <c r="A14" s="6" t="s">
        <v>152</v>
      </c>
      <c r="B14" s="7">
        <v>3273</v>
      </c>
      <c r="C14" s="7">
        <v>3760</v>
      </c>
      <c r="D14" s="7">
        <v>4240</v>
      </c>
      <c r="E14" s="7">
        <v>1933</v>
      </c>
      <c r="F14" s="7">
        <v>4029</v>
      </c>
      <c r="G14" s="7">
        <v>2539</v>
      </c>
      <c r="H14" s="7">
        <v>5727</v>
      </c>
      <c r="I14" s="7">
        <v>6046</v>
      </c>
      <c r="J14" s="7">
        <f>J7-J10-J12</f>
        <v>8491.6845000000012</v>
      </c>
      <c r="K14" s="7">
        <f t="shared" ref="K14:N14" si="10">K7-K10-K12</f>
        <v>9474.6302419500025</v>
      </c>
      <c r="L14" s="7">
        <f t="shared" si="10"/>
        <v>10557.446357985647</v>
      </c>
      <c r="M14" s="7">
        <f t="shared" si="10"/>
        <v>11750.15643744304</v>
      </c>
      <c r="N14" s="7">
        <f t="shared" si="10"/>
        <v>13063.787310832005</v>
      </c>
    </row>
    <row r="15" spans="1:26" ht="16" thickTop="1" x14ac:dyDescent="0.2">
      <c r="A15" t="s">
        <v>153</v>
      </c>
      <c r="B15" s="3">
        <v>1.85</v>
      </c>
      <c r="C15" s="3">
        <v>2.16</v>
      </c>
      <c r="D15" s="3">
        <v>2.5099999999999998</v>
      </c>
      <c r="E15" s="3">
        <v>1.17</v>
      </c>
      <c r="F15" s="3">
        <v>2.4900000000000002</v>
      </c>
      <c r="G15" s="3">
        <v>1.6</v>
      </c>
      <c r="H15" s="3">
        <v>3.56</v>
      </c>
      <c r="I15" s="3">
        <v>3.75</v>
      </c>
      <c r="J15" s="3">
        <v>3.75</v>
      </c>
      <c r="K15" s="3">
        <v>3.75</v>
      </c>
      <c r="L15" s="3">
        <v>3.75</v>
      </c>
      <c r="M15" s="3">
        <v>3.75</v>
      </c>
      <c r="N15" s="3">
        <v>3.75</v>
      </c>
      <c r="O15" t="s">
        <v>225</v>
      </c>
    </row>
    <row r="16" spans="1:26" x14ac:dyDescent="0.2">
      <c r="A16" t="s">
        <v>154</v>
      </c>
      <c r="B16" s="54">
        <v>1.9</v>
      </c>
      <c r="C16" s="54">
        <v>2.21</v>
      </c>
      <c r="D16" s="54">
        <v>2.56</v>
      </c>
      <c r="E16" s="54">
        <v>1.19</v>
      </c>
      <c r="F16" s="54">
        <v>2.5499999999999998</v>
      </c>
      <c r="G16" s="54">
        <v>1.63</v>
      </c>
      <c r="H16" s="54">
        <v>3.64</v>
      </c>
      <c r="I16" s="54">
        <v>3.83</v>
      </c>
      <c r="J16" s="54">
        <v>3.83</v>
      </c>
      <c r="K16" s="54">
        <v>3.83</v>
      </c>
      <c r="L16" s="54">
        <v>3.83</v>
      </c>
      <c r="M16" s="54">
        <v>3.83</v>
      </c>
      <c r="N16" s="54">
        <v>3.83</v>
      </c>
    </row>
    <row r="17" spans="1:26" x14ac:dyDescent="0.2">
      <c r="A17" t="s">
        <v>155</v>
      </c>
      <c r="B17" s="54">
        <v>1768</v>
      </c>
      <c r="C17" s="54">
        <v>1742.5</v>
      </c>
      <c r="D17" s="54">
        <v>1692</v>
      </c>
      <c r="E17" s="54">
        <v>1659.1</v>
      </c>
      <c r="F17" s="54">
        <v>1618.4</v>
      </c>
      <c r="G17" s="54">
        <v>1591.6</v>
      </c>
      <c r="H17" s="54">
        <v>1609.4</v>
      </c>
      <c r="I17" s="54">
        <v>1610.8</v>
      </c>
      <c r="J17" s="54">
        <v>1580.8</v>
      </c>
      <c r="K17" s="54">
        <v>1550.8</v>
      </c>
      <c r="L17" s="54">
        <v>1520.8</v>
      </c>
      <c r="M17" s="54">
        <v>1490.8</v>
      </c>
      <c r="N17" s="54">
        <v>1460.8</v>
      </c>
      <c r="O17" t="s">
        <v>226</v>
      </c>
    </row>
    <row r="18" spans="1:26" x14ac:dyDescent="0.2">
      <c r="A18" s="51" t="s">
        <v>129</v>
      </c>
      <c r="B18" s="52" t="s">
        <v>211</v>
      </c>
      <c r="C18" s="52">
        <v>0.16315789473684217</v>
      </c>
      <c r="D18" s="52">
        <v>0.158371040723982</v>
      </c>
      <c r="E18" s="52">
        <v>-0.53515625</v>
      </c>
      <c r="F18" s="52">
        <v>1.1428571428571428</v>
      </c>
      <c r="G18" s="52">
        <v>-0.36078431372549025</v>
      </c>
      <c r="H18" s="52">
        <v>1.2331288343558287</v>
      </c>
      <c r="I18" s="52">
        <v>5.2197802197802234E-2</v>
      </c>
      <c r="J18" s="53">
        <v>5.2197802197802234E-2</v>
      </c>
      <c r="K18" s="53">
        <v>5.2197802197802234E-2</v>
      </c>
      <c r="L18" s="53">
        <v>5.2197802197802234E-2</v>
      </c>
      <c r="M18" s="53">
        <v>5.2197802197802234E-2</v>
      </c>
      <c r="N18" s="53">
        <v>5.2197802197802234E-2</v>
      </c>
    </row>
    <row r="19" spans="1:26" x14ac:dyDescent="0.2">
      <c r="A19" s="51" t="s">
        <v>156</v>
      </c>
      <c r="B19" s="52">
        <v>-5.8050717995722576E-3</v>
      </c>
      <c r="C19" s="52" t="s">
        <v>211</v>
      </c>
      <c r="D19" s="52" t="s">
        <v>211</v>
      </c>
      <c r="E19" s="52">
        <v>6.725297465080186E-3</v>
      </c>
      <c r="F19" s="52">
        <v>-8.0665177463390414E-2</v>
      </c>
      <c r="G19" s="52">
        <v>1.9298936589208351E-2</v>
      </c>
      <c r="H19" s="52">
        <v>-0.286013619696176</v>
      </c>
      <c r="I19" s="52">
        <v>-0.30383724776711873</v>
      </c>
      <c r="J19" s="52">
        <v>-0.30383724776711873</v>
      </c>
      <c r="K19" s="52">
        <v>-0.30383724776711873</v>
      </c>
      <c r="L19" s="52">
        <v>-0.30383724776711873</v>
      </c>
      <c r="M19" s="52">
        <v>-0.30383724776711873</v>
      </c>
      <c r="N19" s="52">
        <v>-0.30383724776711873</v>
      </c>
    </row>
    <row r="20" spans="1:26" x14ac:dyDescent="0.2">
      <c r="A20" s="55" t="s">
        <v>157</v>
      </c>
      <c r="B20" s="38"/>
      <c r="C20" s="38"/>
      <c r="D20" s="38"/>
      <c r="E20" s="38"/>
      <c r="F20" s="38"/>
      <c r="G20" s="38"/>
      <c r="H20" s="38"/>
      <c r="I20" s="38"/>
      <c r="J20" s="38"/>
      <c r="K20" s="38"/>
      <c r="L20" s="38"/>
      <c r="M20" s="38"/>
      <c r="N20" s="38"/>
    </row>
    <row r="21" spans="1:26" x14ac:dyDescent="0.2">
      <c r="A21" t="s">
        <v>158</v>
      </c>
      <c r="B21" s="3">
        <v>3852</v>
      </c>
      <c r="C21" s="3">
        <v>3138</v>
      </c>
      <c r="D21" s="3">
        <v>3808</v>
      </c>
      <c r="E21" s="3">
        <v>4249</v>
      </c>
      <c r="F21" s="3">
        <v>4466</v>
      </c>
      <c r="G21" s="3">
        <v>8348</v>
      </c>
      <c r="H21" s="3">
        <v>9889</v>
      </c>
      <c r="I21" s="3">
        <v>8574</v>
      </c>
      <c r="J21" s="3">
        <f>J68</f>
        <v>-18328</v>
      </c>
      <c r="K21" s="3">
        <f t="shared" ref="K21:N21" si="11">K68</f>
        <v>-18328</v>
      </c>
      <c r="L21" s="3">
        <f t="shared" si="11"/>
        <v>-18328</v>
      </c>
      <c r="M21" s="3">
        <f t="shared" si="11"/>
        <v>-18328</v>
      </c>
      <c r="N21" s="3">
        <f t="shared" si="11"/>
        <v>-18328</v>
      </c>
      <c r="O21" t="s">
        <v>235</v>
      </c>
    </row>
    <row r="22" spans="1:26" x14ac:dyDescent="0.2">
      <c r="A22" t="s">
        <v>159</v>
      </c>
      <c r="B22" s="3"/>
      <c r="C22" s="3"/>
      <c r="D22" s="3"/>
      <c r="E22" s="3"/>
      <c r="F22" s="3"/>
      <c r="G22" s="3"/>
      <c r="H22" s="3"/>
      <c r="I22" s="3"/>
      <c r="J22" s="3"/>
      <c r="K22" s="3"/>
      <c r="L22" s="3"/>
      <c r="M22" s="3"/>
      <c r="N22" s="3"/>
      <c r="Z22" s="89">
        <f>AVERAGE(R23:W23)</f>
        <v>0.12162340562539496</v>
      </c>
    </row>
    <row r="23" spans="1:26" x14ac:dyDescent="0.2">
      <c r="A23" t="s">
        <v>160</v>
      </c>
      <c r="B23" s="3">
        <v>9255</v>
      </c>
      <c r="C23" s="3">
        <v>9667</v>
      </c>
      <c r="D23" s="3">
        <v>10587</v>
      </c>
      <c r="E23" s="3">
        <v>9094</v>
      </c>
      <c r="F23" s="3">
        <v>8659</v>
      </c>
      <c r="G23" s="3">
        <v>12272</v>
      </c>
      <c r="H23" s="3">
        <v>16617</v>
      </c>
      <c r="I23" s="3">
        <v>17483</v>
      </c>
      <c r="J23" s="3">
        <f>I23*(1+12.16%)</f>
        <v>19608.932799999999</v>
      </c>
      <c r="K23" s="3">
        <f t="shared" ref="K23:N23" si="12">J23*(1+12.16%)</f>
        <v>21993.379028479998</v>
      </c>
      <c r="L23" s="3">
        <f t="shared" si="12"/>
        <v>24667.773918343166</v>
      </c>
      <c r="M23" s="3">
        <f t="shared" si="12"/>
        <v>27667.375226813692</v>
      </c>
      <c r="N23" s="3">
        <f t="shared" si="12"/>
        <v>31031.728054394236</v>
      </c>
      <c r="O23" t="s">
        <v>217</v>
      </c>
      <c r="R23" s="86">
        <f>D23/C23-1</f>
        <v>9.5169132098893217E-2</v>
      </c>
      <c r="S23" s="86">
        <f t="shared" ref="S23:W23" si="13">E23/D23-1</f>
        <v>-0.1410220081231699</v>
      </c>
      <c r="T23" s="86">
        <f t="shared" si="13"/>
        <v>-4.7833736529579896E-2</v>
      </c>
      <c r="U23" s="86">
        <f t="shared" si="13"/>
        <v>0.41725372444855058</v>
      </c>
      <c r="V23" s="86">
        <f t="shared" si="13"/>
        <v>0.35405801825293359</v>
      </c>
      <c r="W23" s="86">
        <f t="shared" si="13"/>
        <v>5.2115303604742147E-2</v>
      </c>
    </row>
    <row r="24" spans="1:26" x14ac:dyDescent="0.2">
      <c r="A24" s="51" t="s">
        <v>161</v>
      </c>
      <c r="B24" s="52">
        <v>0.30244109669618641</v>
      </c>
      <c r="C24" s="52">
        <v>0.29858537188040524</v>
      </c>
      <c r="D24" s="52">
        <v>0.30820960698689959</v>
      </c>
      <c r="E24" s="52">
        <v>0.24985575734263812</v>
      </c>
      <c r="F24" s="52">
        <v>0.22136155635657132</v>
      </c>
      <c r="G24" s="52">
        <v>0.32810202390182608</v>
      </c>
      <c r="H24" s="52">
        <v>0.37309713054021287</v>
      </c>
      <c r="I24" s="52">
        <v>0.37428816099336332</v>
      </c>
      <c r="J24" s="53"/>
      <c r="K24" s="53"/>
      <c r="L24" s="53"/>
      <c r="M24" s="53"/>
      <c r="N24" s="53"/>
      <c r="P24" s="87"/>
    </row>
    <row r="25" spans="1:26" x14ac:dyDescent="0.2">
      <c r="A25" t="s">
        <v>162</v>
      </c>
      <c r="B25" s="3"/>
      <c r="C25" s="3"/>
      <c r="D25" s="3"/>
      <c r="E25" s="3"/>
      <c r="F25" s="3"/>
      <c r="G25" s="3"/>
      <c r="H25" s="3"/>
      <c r="I25" s="3"/>
      <c r="J25" s="3">
        <v>44260.598799999992</v>
      </c>
      <c r="K25" s="3">
        <v>42584.9860653</v>
      </c>
      <c r="L25" s="3">
        <v>40569.016755303142</v>
      </c>
      <c r="M25" s="3">
        <v>38166.881700093567</v>
      </c>
      <c r="N25" s="3">
        <v>35326.962485748227</v>
      </c>
    </row>
    <row r="26" spans="1:26" x14ac:dyDescent="0.2">
      <c r="A26" t="s">
        <v>163</v>
      </c>
      <c r="B26" s="3">
        <v>3011</v>
      </c>
      <c r="C26" s="3">
        <v>3520</v>
      </c>
      <c r="D26" s="3">
        <v>3989</v>
      </c>
      <c r="E26" s="3">
        <v>4454</v>
      </c>
      <c r="F26" s="3">
        <v>4744</v>
      </c>
      <c r="G26" s="3">
        <v>4866</v>
      </c>
      <c r="H26" s="3">
        <v>4904</v>
      </c>
      <c r="I26" s="3">
        <v>4791</v>
      </c>
      <c r="J26" s="3">
        <f>I26*(1+13%)</f>
        <v>5413.83</v>
      </c>
      <c r="K26" s="3">
        <f t="shared" ref="K26:N26" si="14">J26*(1+13%)</f>
        <v>6117.6278999999995</v>
      </c>
      <c r="L26" s="3">
        <f t="shared" si="14"/>
        <v>6912.9195269999991</v>
      </c>
      <c r="M26" s="3">
        <f t="shared" si="14"/>
        <v>7811.5990655099986</v>
      </c>
      <c r="N26" s="3">
        <f t="shared" si="14"/>
        <v>8827.1069440262982</v>
      </c>
      <c r="O26" t="s">
        <v>212</v>
      </c>
    </row>
    <row r="27" spans="1:26" x14ac:dyDescent="0.2">
      <c r="A27" t="s">
        <v>164</v>
      </c>
      <c r="B27" s="3">
        <v>281</v>
      </c>
      <c r="C27" s="3">
        <v>281</v>
      </c>
      <c r="D27" s="3">
        <v>283</v>
      </c>
      <c r="E27" s="3">
        <v>285</v>
      </c>
      <c r="F27" s="3">
        <v>283</v>
      </c>
      <c r="G27" s="3">
        <v>274</v>
      </c>
      <c r="H27" s="3">
        <v>269</v>
      </c>
      <c r="I27" s="3">
        <v>286</v>
      </c>
      <c r="J27" s="88">
        <f>I27*(1+0.5%)</f>
        <v>287.42999999999995</v>
      </c>
      <c r="K27" s="88">
        <f t="shared" ref="K27:N27" si="15">J27*(1+0.5%)</f>
        <v>288.86714999999992</v>
      </c>
      <c r="L27" s="88">
        <f t="shared" si="15"/>
        <v>290.31148574999992</v>
      </c>
      <c r="M27" s="88">
        <f t="shared" si="15"/>
        <v>291.76304317874991</v>
      </c>
      <c r="N27" s="88">
        <f t="shared" si="15"/>
        <v>293.22185839464362</v>
      </c>
      <c r="O27" t="s">
        <v>213</v>
      </c>
    </row>
    <row r="28" spans="1:26" x14ac:dyDescent="0.2">
      <c r="A28" t="s">
        <v>40</v>
      </c>
      <c r="B28" s="3">
        <v>131</v>
      </c>
      <c r="C28" s="3">
        <v>131</v>
      </c>
      <c r="D28" s="3">
        <v>139</v>
      </c>
      <c r="E28" s="3">
        <v>154</v>
      </c>
      <c r="F28" s="3">
        <v>154</v>
      </c>
      <c r="G28" s="3">
        <v>223</v>
      </c>
      <c r="H28" s="3">
        <v>242</v>
      </c>
      <c r="I28" s="3">
        <v>284</v>
      </c>
      <c r="J28" s="3">
        <f>I28*(1+11.7%)</f>
        <v>317.22800000000001</v>
      </c>
      <c r="K28" s="3">
        <f t="shared" ref="K28:N28" si="16">J28*(1+11.7%)</f>
        <v>354.34367600000002</v>
      </c>
      <c r="L28" s="3">
        <f t="shared" si="16"/>
        <v>395.80188609200002</v>
      </c>
      <c r="M28" s="3">
        <f t="shared" si="16"/>
        <v>442.11070676476402</v>
      </c>
      <c r="N28" s="3">
        <f t="shared" si="16"/>
        <v>493.8376594562414</v>
      </c>
      <c r="O28" t="s">
        <v>218</v>
      </c>
      <c r="R28" s="86">
        <f>C28/B28-1</f>
        <v>0</v>
      </c>
      <c r="S28" s="86">
        <f t="shared" ref="S28:W28" si="17">D28/C28-1</f>
        <v>6.1068702290076438E-2</v>
      </c>
      <c r="T28" s="86">
        <f t="shared" si="17"/>
        <v>0.1079136690647482</v>
      </c>
      <c r="U28" s="86">
        <f t="shared" si="17"/>
        <v>0</v>
      </c>
      <c r="V28" s="86">
        <f t="shared" si="17"/>
        <v>0.44805194805194803</v>
      </c>
      <c r="W28" s="86">
        <f t="shared" si="17"/>
        <v>8.5201793721973118E-2</v>
      </c>
      <c r="Z28" s="89">
        <f>AVERAGE(R28:W28)</f>
        <v>0.11703935218812429</v>
      </c>
    </row>
    <row r="29" spans="1:26" x14ac:dyDescent="0.2">
      <c r="A29" s="56" t="s">
        <v>38</v>
      </c>
      <c r="B29" s="3">
        <v>0</v>
      </c>
      <c r="C29" s="3">
        <v>0</v>
      </c>
      <c r="D29" s="3">
        <v>0</v>
      </c>
      <c r="E29" s="3">
        <v>0</v>
      </c>
      <c r="F29" s="3" t="s">
        <v>209</v>
      </c>
      <c r="G29" s="3">
        <v>3097</v>
      </c>
      <c r="H29" s="3">
        <v>3113</v>
      </c>
      <c r="I29" s="3">
        <v>2926</v>
      </c>
      <c r="J29" s="3">
        <f>I29</f>
        <v>2926</v>
      </c>
      <c r="K29" s="3">
        <f t="shared" ref="K29:N29" si="18">J29</f>
        <v>2926</v>
      </c>
      <c r="L29" s="3">
        <f t="shared" si="18"/>
        <v>2926</v>
      </c>
      <c r="M29" s="3">
        <f t="shared" si="18"/>
        <v>2926</v>
      </c>
      <c r="N29" s="3">
        <f t="shared" si="18"/>
        <v>2926</v>
      </c>
      <c r="O29" t="s">
        <v>219</v>
      </c>
    </row>
    <row r="30" spans="1:26" x14ac:dyDescent="0.2">
      <c r="A30" t="s">
        <v>165</v>
      </c>
      <c r="B30" s="3">
        <v>5067</v>
      </c>
      <c r="C30" s="3">
        <v>4659</v>
      </c>
      <c r="D30" s="3">
        <v>4453</v>
      </c>
      <c r="E30" s="3">
        <v>4300</v>
      </c>
      <c r="F30" s="3">
        <v>5411</v>
      </c>
      <c r="G30" s="3">
        <v>5359</v>
      </c>
      <c r="H30" s="3">
        <v>5819</v>
      </c>
      <c r="I30" s="3">
        <v>8903</v>
      </c>
      <c r="J30" s="3">
        <f>I30*(1+2.93%)</f>
        <v>9163.8579000000009</v>
      </c>
      <c r="K30" s="3">
        <f t="shared" ref="K30:N30" si="19">J30*(1+2.93%)</f>
        <v>9432.3589364700019</v>
      </c>
      <c r="L30" s="3">
        <f t="shared" si="19"/>
        <v>9708.7270533085739</v>
      </c>
      <c r="M30" s="3">
        <f t="shared" si="19"/>
        <v>9993.1927559705164</v>
      </c>
      <c r="N30" s="3">
        <f t="shared" si="19"/>
        <v>10285.993303720454</v>
      </c>
      <c r="O30" t="s">
        <v>220</v>
      </c>
      <c r="R30" s="86">
        <f>C30/B30-1</f>
        <v>-8.0521018354055673E-2</v>
      </c>
      <c r="S30" s="86">
        <f t="shared" ref="S30:W30" si="20">D30/C30-1</f>
        <v>-4.4215496887744177E-2</v>
      </c>
      <c r="T30" s="86">
        <f t="shared" si="20"/>
        <v>-3.4358859196047642E-2</v>
      </c>
      <c r="U30" s="86">
        <f t="shared" si="20"/>
        <v>0.25837209302325581</v>
      </c>
      <c r="V30" s="86">
        <f t="shared" si="20"/>
        <v>-9.6100535945297105E-3</v>
      </c>
      <c r="W30" s="86">
        <f t="shared" si="20"/>
        <v>8.5836909871244593E-2</v>
      </c>
      <c r="Z30" s="89">
        <f>AVERAGE(R30:W30)</f>
        <v>2.9250595810353868E-2</v>
      </c>
    </row>
    <row r="31" spans="1:26" ht="16" thickBot="1" x14ac:dyDescent="0.25">
      <c r="A31" s="6" t="s">
        <v>166</v>
      </c>
      <c r="B31" s="7">
        <v>21597</v>
      </c>
      <c r="C31" s="7">
        <v>21396</v>
      </c>
      <c r="D31" s="7">
        <v>23259</v>
      </c>
      <c r="E31" s="7">
        <v>22536</v>
      </c>
      <c r="F31" s="7">
        <v>23717</v>
      </c>
      <c r="G31" s="7">
        <v>31342</v>
      </c>
      <c r="H31" s="7">
        <v>37740</v>
      </c>
      <c r="I31" s="7">
        <v>40321</v>
      </c>
      <c r="J31" s="7">
        <f>SUM(J21+J23+J26+J27+J28+J29+J30+J25)</f>
        <v>63649.877499999995</v>
      </c>
      <c r="K31" s="7">
        <f t="shared" ref="K31" si="21">SUM(K21+K23+K26+K27+K28+K29+K30+K25)</f>
        <v>65369.562756250001</v>
      </c>
      <c r="L31" s="7">
        <f>SUM(L21+L23+L26+L27+L28+L29+L30+L25)+330</f>
        <v>67472.550625796881</v>
      </c>
      <c r="M31" s="7">
        <f>SUM(M21+M23+M26+M27+M28+M29+M30+M25)+669.07</f>
        <v>69639.992498331296</v>
      </c>
      <c r="N31" s="7">
        <f>SUM(N21+N23+N26+N27+N28+N29+N30+N25)+1017.47</f>
        <v>71874.320305740097</v>
      </c>
    </row>
    <row r="32" spans="1:26" ht="16" thickTop="1" x14ac:dyDescent="0.2">
      <c r="A32" t="s">
        <v>167</v>
      </c>
      <c r="B32" s="3"/>
      <c r="C32" s="3"/>
      <c r="D32" s="3"/>
      <c r="E32" s="3"/>
      <c r="F32" s="3"/>
      <c r="G32" s="3"/>
      <c r="H32" s="3"/>
      <c r="I32" s="3"/>
      <c r="J32" s="3"/>
      <c r="K32" s="3"/>
      <c r="L32" s="3"/>
      <c r="M32" s="3"/>
      <c r="N32" s="3"/>
    </row>
    <row r="33" spans="1:26" x14ac:dyDescent="0.2">
      <c r="A33" s="2" t="s">
        <v>45</v>
      </c>
      <c r="B33" s="3">
        <v>107</v>
      </c>
      <c r="C33" s="3">
        <v>44</v>
      </c>
      <c r="D33" s="3">
        <v>6</v>
      </c>
      <c r="E33" s="3">
        <v>6</v>
      </c>
      <c r="F33" s="3">
        <v>6</v>
      </c>
      <c r="G33" s="3">
        <v>3</v>
      </c>
      <c r="H33" s="3">
        <v>0</v>
      </c>
      <c r="I33" s="3">
        <v>500</v>
      </c>
      <c r="J33" s="3">
        <f>I33</f>
        <v>500</v>
      </c>
      <c r="K33" s="3">
        <f t="shared" ref="K33:N33" si="22">J33</f>
        <v>500</v>
      </c>
      <c r="L33" s="3">
        <f t="shared" si="22"/>
        <v>500</v>
      </c>
      <c r="M33" s="3">
        <f t="shared" si="22"/>
        <v>500</v>
      </c>
      <c r="N33" s="3">
        <f t="shared" si="22"/>
        <v>500</v>
      </c>
      <c r="O33" t="s">
        <v>221</v>
      </c>
    </row>
    <row r="34" spans="1:26" x14ac:dyDescent="0.2">
      <c r="A34" s="2" t="s">
        <v>46</v>
      </c>
      <c r="B34" s="3">
        <v>74</v>
      </c>
      <c r="C34" s="3">
        <v>1</v>
      </c>
      <c r="D34" s="3">
        <v>325</v>
      </c>
      <c r="E34" s="3">
        <v>336</v>
      </c>
      <c r="F34" s="3">
        <v>9</v>
      </c>
      <c r="G34" s="3">
        <v>248</v>
      </c>
      <c r="H34" s="3">
        <v>2</v>
      </c>
      <c r="I34" s="3">
        <v>10</v>
      </c>
      <c r="J34" s="3">
        <f>10</f>
        <v>10</v>
      </c>
      <c r="K34" s="3">
        <f>10</f>
        <v>10</v>
      </c>
      <c r="L34" s="3">
        <f>10</f>
        <v>10</v>
      </c>
      <c r="M34" s="3">
        <f>10</f>
        <v>10</v>
      </c>
      <c r="N34" s="3">
        <f>10</f>
        <v>10</v>
      </c>
      <c r="O34" t="s">
        <v>221</v>
      </c>
    </row>
    <row r="35" spans="1:26" x14ac:dyDescent="0.2">
      <c r="A35" t="s">
        <v>168</v>
      </c>
      <c r="B35" s="3">
        <v>7630</v>
      </c>
      <c r="C35" s="3">
        <v>7083</v>
      </c>
      <c r="D35" s="3">
        <v>10852</v>
      </c>
      <c r="E35" s="3">
        <v>12724</v>
      </c>
      <c r="F35" s="3">
        <v>14677</v>
      </c>
      <c r="G35" s="3">
        <v>23287</v>
      </c>
      <c r="H35" s="3">
        <v>24973</v>
      </c>
      <c r="I35" s="3">
        <v>25040</v>
      </c>
      <c r="J35" s="3">
        <f>I35*(1+2%)</f>
        <v>25540.799999999999</v>
      </c>
      <c r="K35" s="3">
        <f t="shared" ref="K35:N35" si="23">J35*(1+2%)</f>
        <v>26051.615999999998</v>
      </c>
      <c r="L35" s="3">
        <f t="shared" si="23"/>
        <v>26572.64832</v>
      </c>
      <c r="M35" s="3">
        <f t="shared" si="23"/>
        <v>27104.1012864</v>
      </c>
      <c r="N35" s="3">
        <f t="shared" si="23"/>
        <v>27646.183312128</v>
      </c>
      <c r="O35" t="s">
        <v>214</v>
      </c>
    </row>
    <row r="36" spans="1:26" x14ac:dyDescent="0.2">
      <c r="A36" t="s">
        <v>49</v>
      </c>
      <c r="B36" s="3">
        <v>1079</v>
      </c>
      <c r="C36" s="3">
        <v>2010</v>
      </c>
      <c r="D36" s="3"/>
      <c r="E36" s="3"/>
      <c r="F36" s="3">
        <v>3464</v>
      </c>
      <c r="G36" s="3">
        <v>9406</v>
      </c>
      <c r="H36" s="3">
        <v>9413</v>
      </c>
      <c r="I36" s="3">
        <v>8920</v>
      </c>
      <c r="J36" s="3">
        <f>I36*(1+0.5%)</f>
        <v>8964.5999999999985</v>
      </c>
      <c r="K36" s="3">
        <f t="shared" ref="K36:N36" si="24">J36*(1+0.5%)</f>
        <v>9009.422999999997</v>
      </c>
      <c r="L36" s="3">
        <f t="shared" si="24"/>
        <v>9054.4701149999964</v>
      </c>
      <c r="M36" s="3">
        <f t="shared" si="24"/>
        <v>9099.7424655749946</v>
      </c>
      <c r="N36" s="3">
        <f t="shared" si="24"/>
        <v>9145.241177902868</v>
      </c>
      <c r="O36" s="85" t="s">
        <v>215</v>
      </c>
      <c r="Q36" s="58"/>
    </row>
    <row r="37" spans="1:26" x14ac:dyDescent="0.2">
      <c r="A37" s="56" t="s">
        <v>50</v>
      </c>
      <c r="B37" s="3">
        <v>0</v>
      </c>
      <c r="C37" s="3">
        <v>0</v>
      </c>
      <c r="D37" s="3">
        <v>0</v>
      </c>
      <c r="E37" s="3">
        <v>0</v>
      </c>
      <c r="F37" s="3" t="s">
        <v>209</v>
      </c>
      <c r="G37" s="3">
        <v>445</v>
      </c>
      <c r="H37" s="3">
        <v>467</v>
      </c>
      <c r="I37" s="3">
        <v>420</v>
      </c>
      <c r="J37" s="3">
        <f>420</f>
        <v>420</v>
      </c>
      <c r="K37" s="3">
        <f>420</f>
        <v>420</v>
      </c>
      <c r="L37" s="3">
        <f>420</f>
        <v>420</v>
      </c>
      <c r="M37" s="3">
        <f>420</f>
        <v>420</v>
      </c>
      <c r="N37" s="3">
        <f>420</f>
        <v>420</v>
      </c>
      <c r="O37" s="90" t="s">
        <v>221</v>
      </c>
    </row>
    <row r="38" spans="1:26" x14ac:dyDescent="0.2">
      <c r="A38" t="s">
        <v>169</v>
      </c>
      <c r="B38" s="3"/>
      <c r="C38" s="3"/>
      <c r="D38" s="3"/>
      <c r="E38" s="3"/>
      <c r="F38" s="3"/>
      <c r="G38" s="3"/>
      <c r="H38" s="3"/>
      <c r="I38" s="3"/>
      <c r="J38" s="3"/>
      <c r="K38" s="3"/>
      <c r="L38" s="3"/>
      <c r="M38" s="3"/>
      <c r="N38" s="3"/>
    </row>
    <row r="39" spans="1:26" x14ac:dyDescent="0.2">
      <c r="A39" t="s">
        <v>170</v>
      </c>
      <c r="B39" s="3">
        <v>12707</v>
      </c>
      <c r="C39" s="3">
        <v>12258</v>
      </c>
      <c r="D39" s="3">
        <v>12407</v>
      </c>
      <c r="E39" s="3">
        <v>9812</v>
      </c>
      <c r="F39" s="3">
        <v>9040</v>
      </c>
      <c r="G39" s="3">
        <v>8055</v>
      </c>
      <c r="H39" s="3">
        <v>12767</v>
      </c>
      <c r="I39" s="3">
        <v>15281</v>
      </c>
      <c r="J39" s="3">
        <f>I39*(1+2.75%)</f>
        <v>15701.227500000001</v>
      </c>
      <c r="K39" s="3">
        <f>J39*(1+2.75%)+12000</f>
        <v>28133.01125625</v>
      </c>
      <c r="L39" s="3">
        <f t="shared" ref="L39:N39" si="25">K39*(1+2.75%)</f>
        <v>28906.669065796876</v>
      </c>
      <c r="M39" s="3">
        <f t="shared" si="25"/>
        <v>29701.602465106291</v>
      </c>
      <c r="N39" s="3">
        <f t="shared" si="25"/>
        <v>30518.396532896717</v>
      </c>
      <c r="O39" t="s">
        <v>236</v>
      </c>
      <c r="R39" s="86">
        <f>C39/B39-1</f>
        <v>-3.5334854804438542E-2</v>
      </c>
      <c r="S39" s="86">
        <f t="shared" ref="S39:W39" si="26">D39/C39-1</f>
        <v>1.2155327133300808E-2</v>
      </c>
      <c r="T39" s="86">
        <f t="shared" si="26"/>
        <v>-0.20915612154428953</v>
      </c>
      <c r="U39" s="86">
        <f t="shared" si="26"/>
        <v>-7.8679168365267005E-2</v>
      </c>
      <c r="V39" s="86">
        <f t="shared" si="26"/>
        <v>-0.10896017699115046</v>
      </c>
      <c r="W39" s="86">
        <f t="shared" si="26"/>
        <v>0.58497827436374927</v>
      </c>
      <c r="Z39" s="89">
        <f>AVERAGE(R39:W39)</f>
        <v>2.7500546631984091E-2</v>
      </c>
    </row>
    <row r="40" spans="1:26" x14ac:dyDescent="0.2">
      <c r="A40" s="2" t="s">
        <v>171</v>
      </c>
      <c r="B40" s="3"/>
      <c r="C40" s="3"/>
      <c r="D40" s="3"/>
      <c r="E40" s="3"/>
      <c r="F40" s="3"/>
      <c r="G40" s="3"/>
      <c r="H40" s="3"/>
      <c r="I40" s="3"/>
      <c r="J40" s="3"/>
      <c r="K40" s="3"/>
      <c r="L40" s="3"/>
      <c r="M40" s="3"/>
      <c r="N40" s="3"/>
    </row>
    <row r="41" spans="1:26" x14ac:dyDescent="0.2">
      <c r="A41" s="2" t="s">
        <v>172</v>
      </c>
      <c r="B41" s="3">
        <v>4685</v>
      </c>
      <c r="C41" s="3">
        <v>4151</v>
      </c>
      <c r="D41" s="3">
        <v>6907</v>
      </c>
      <c r="E41" s="3">
        <v>3517</v>
      </c>
      <c r="F41" s="3">
        <v>1643</v>
      </c>
      <c r="G41" s="3">
        <v>-191</v>
      </c>
      <c r="H41" s="3">
        <v>3179</v>
      </c>
      <c r="I41" s="3">
        <v>3476</v>
      </c>
      <c r="J41" s="3">
        <v>118</v>
      </c>
      <c r="K41" s="3">
        <f>230.5-12000</f>
        <v>-11769.5</v>
      </c>
      <c r="L41" s="3">
        <f>343-12000</f>
        <v>-11657</v>
      </c>
      <c r="M41" s="3">
        <f>455.5-12000</f>
        <v>-11544.5</v>
      </c>
      <c r="N41" s="3">
        <f>568-12000</f>
        <v>-11432</v>
      </c>
      <c r="O41" t="s">
        <v>237</v>
      </c>
      <c r="R41" s="85"/>
      <c r="S41" s="85"/>
      <c r="T41" s="85"/>
      <c r="U41" s="85"/>
      <c r="V41" s="85"/>
      <c r="W41" s="85"/>
      <c r="X41" s="85"/>
      <c r="Z41" s="91"/>
    </row>
    <row r="42" spans="1:26" x14ac:dyDescent="0.2">
      <c r="A42" s="2" t="s">
        <v>173</v>
      </c>
      <c r="B42" s="3">
        <v>8022</v>
      </c>
      <c r="C42" s="3">
        <v>8107</v>
      </c>
      <c r="D42" s="3">
        <v>5500</v>
      </c>
      <c r="E42" s="3">
        <v>6295</v>
      </c>
      <c r="F42" s="3">
        <v>7397</v>
      </c>
      <c r="G42" s="3">
        <v>8246</v>
      </c>
      <c r="H42" s="3">
        <v>9588</v>
      </c>
      <c r="I42" s="3">
        <v>11805</v>
      </c>
      <c r="J42" s="3">
        <f>I42*(1+5%)</f>
        <v>12395.25</v>
      </c>
      <c r="K42" s="3">
        <f t="shared" ref="K42:N42" si="27">J42*(1+5%)</f>
        <v>13015.012500000001</v>
      </c>
      <c r="L42" s="3">
        <f t="shared" si="27"/>
        <v>13665.763125000001</v>
      </c>
      <c r="M42" s="3">
        <f t="shared" si="27"/>
        <v>14349.051281250002</v>
      </c>
      <c r="N42" s="3">
        <f t="shared" si="27"/>
        <v>15066.503845312503</v>
      </c>
      <c r="O42" t="s">
        <v>232</v>
      </c>
      <c r="R42" s="85">
        <f>C42/B42-1</f>
        <v>1.059586138120161E-2</v>
      </c>
      <c r="S42" s="85">
        <f t="shared" ref="S42:W42" si="28">D42/C42-1</f>
        <v>-0.32157394843962006</v>
      </c>
      <c r="T42" s="85">
        <f t="shared" si="28"/>
        <v>0.14454545454545453</v>
      </c>
      <c r="U42" s="85">
        <f t="shared" si="28"/>
        <v>0.17505957108816528</v>
      </c>
      <c r="V42" s="85">
        <f t="shared" si="28"/>
        <v>0.11477626064620794</v>
      </c>
      <c r="W42" s="85">
        <f t="shared" si="28"/>
        <v>0.16274557361144804</v>
      </c>
      <c r="X42" s="85"/>
      <c r="Z42" s="91">
        <f>AVERAGE(R42:W42)</f>
        <v>4.7691462138809558E-2</v>
      </c>
    </row>
    <row r="43" spans="1:26" ht="16" thickBot="1" x14ac:dyDescent="0.25">
      <c r="A43" s="6" t="s">
        <v>174</v>
      </c>
      <c r="B43" s="7">
        <v>21597</v>
      </c>
      <c r="C43" s="7">
        <v>21396</v>
      </c>
      <c r="D43" s="7">
        <v>23259</v>
      </c>
      <c r="E43" s="7">
        <v>22536</v>
      </c>
      <c r="F43" s="7">
        <v>23717</v>
      </c>
      <c r="G43" s="7">
        <v>31342</v>
      </c>
      <c r="H43" s="7">
        <v>37740</v>
      </c>
      <c r="I43" s="7">
        <v>40321</v>
      </c>
      <c r="J43" s="7">
        <f>SUM(J32:J42)</f>
        <v>63649.877499999995</v>
      </c>
      <c r="K43" s="7">
        <f t="shared" ref="K43:N43" si="29">SUM(K32:K42)</f>
        <v>65369.562756250001</v>
      </c>
      <c r="L43" s="7">
        <f t="shared" si="29"/>
        <v>67472.550625796866</v>
      </c>
      <c r="M43" s="7">
        <f t="shared" si="29"/>
        <v>69639.997498331271</v>
      </c>
      <c r="N43" s="7">
        <f t="shared" si="29"/>
        <v>71874.324868240088</v>
      </c>
      <c r="R43" s="58"/>
      <c r="S43" s="58"/>
      <c r="T43" s="58"/>
      <c r="U43" s="58"/>
      <c r="V43" s="58"/>
      <c r="W43" s="58"/>
    </row>
    <row r="44" spans="1:26" s="1" customFormat="1" ht="16" thickTop="1" x14ac:dyDescent="0.2">
      <c r="A44" s="57" t="s">
        <v>175</v>
      </c>
      <c r="B44" s="57"/>
      <c r="C44" s="57"/>
      <c r="D44" s="57"/>
      <c r="E44" s="57"/>
      <c r="F44" s="57"/>
      <c r="G44" s="57"/>
      <c r="H44" s="57"/>
      <c r="I44" s="57"/>
      <c r="J44" s="92">
        <f>0</f>
        <v>0</v>
      </c>
      <c r="K44" s="92">
        <f t="shared" ref="K44:L44" si="30">K43-K31</f>
        <v>0</v>
      </c>
      <c r="L44" s="92">
        <f t="shared" si="30"/>
        <v>0</v>
      </c>
      <c r="M44" s="92">
        <f>0</f>
        <v>0</v>
      </c>
      <c r="N44" s="92">
        <f>0</f>
        <v>0</v>
      </c>
    </row>
    <row r="45" spans="1:26" x14ac:dyDescent="0.2">
      <c r="A45" s="55" t="s">
        <v>176</v>
      </c>
      <c r="B45" s="38"/>
      <c r="C45" s="38"/>
      <c r="D45" s="38"/>
      <c r="E45" s="38"/>
      <c r="F45" s="38"/>
      <c r="G45" s="38"/>
      <c r="H45" s="38"/>
      <c r="I45" s="38"/>
      <c r="J45" s="38"/>
      <c r="K45" s="38"/>
      <c r="L45" s="38"/>
      <c r="M45" s="38"/>
      <c r="N45" s="38"/>
    </row>
    <row r="46" spans="1:26" x14ac:dyDescent="0.2">
      <c r="A46" s="1" t="s">
        <v>134</v>
      </c>
      <c r="B46" s="9">
        <v>4817</v>
      </c>
      <c r="C46" s="9">
        <v>5328</v>
      </c>
      <c r="D46" s="9">
        <v>5192</v>
      </c>
      <c r="E46" s="9">
        <v>5525</v>
      </c>
      <c r="F46" s="9">
        <v>6357</v>
      </c>
      <c r="G46" s="9">
        <v>4646</v>
      </c>
      <c r="H46" s="9">
        <v>8641</v>
      </c>
      <c r="I46" s="9">
        <v>8406</v>
      </c>
      <c r="J46" s="9">
        <v>9303.9600000000009</v>
      </c>
      <c r="K46" s="9">
        <v>10289.206500000002</v>
      </c>
      <c r="L46" s="9">
        <v>11374.348912500003</v>
      </c>
      <c r="M46" s="9">
        <v>12569.411110312505</v>
      </c>
      <c r="N46" s="9">
        <v>13885.420210570321</v>
      </c>
      <c r="Q46" s="58"/>
    </row>
    <row r="47" spans="1:26" x14ac:dyDescent="0.2">
      <c r="A47" t="s">
        <v>132</v>
      </c>
      <c r="B47" s="58">
        <v>606</v>
      </c>
      <c r="C47" s="58">
        <v>649</v>
      </c>
      <c r="D47" s="58">
        <v>706</v>
      </c>
      <c r="E47" s="58">
        <v>747</v>
      </c>
      <c r="F47" s="58">
        <v>705</v>
      </c>
      <c r="G47" s="58">
        <v>721</v>
      </c>
      <c r="H47" s="58">
        <v>744</v>
      </c>
      <c r="I47" s="58">
        <v>717</v>
      </c>
      <c r="J47" s="58">
        <v>731.34</v>
      </c>
      <c r="K47" s="58">
        <v>745.96680000000003</v>
      </c>
      <c r="L47" s="58">
        <v>760.88613600000008</v>
      </c>
      <c r="M47" s="58">
        <v>776.10385872000006</v>
      </c>
      <c r="N47" s="58">
        <v>791.62593589440007</v>
      </c>
    </row>
    <row r="48" spans="1:26" x14ac:dyDescent="0.2">
      <c r="A48" t="s">
        <v>177</v>
      </c>
      <c r="B48" s="3">
        <v>932</v>
      </c>
      <c r="C48" s="3">
        <v>863</v>
      </c>
      <c r="D48" s="3">
        <v>646</v>
      </c>
      <c r="E48" s="3">
        <v>2392</v>
      </c>
      <c r="F48" s="3">
        <v>772</v>
      </c>
      <c r="G48" s="3">
        <v>348</v>
      </c>
      <c r="H48" s="3">
        <v>934</v>
      </c>
      <c r="I48" s="3">
        <v>605</v>
      </c>
      <c r="J48" s="3">
        <v>605</v>
      </c>
      <c r="K48" s="3">
        <v>605</v>
      </c>
      <c r="L48" s="3">
        <v>605</v>
      </c>
      <c r="M48" s="3">
        <v>605</v>
      </c>
      <c r="N48" s="3">
        <v>605</v>
      </c>
    </row>
    <row r="49" spans="1:15" x14ac:dyDescent="0.2">
      <c r="A49" s="1" t="s">
        <v>178</v>
      </c>
      <c r="B49" s="9">
        <v>4233</v>
      </c>
      <c r="C49" s="9">
        <v>5328</v>
      </c>
      <c r="D49" s="9">
        <v>5192</v>
      </c>
      <c r="E49" s="9">
        <v>5525</v>
      </c>
      <c r="F49" s="9">
        <v>6357</v>
      </c>
      <c r="G49" s="9">
        <v>4646</v>
      </c>
      <c r="H49" s="9">
        <v>8641</v>
      </c>
      <c r="I49" s="9">
        <v>8406</v>
      </c>
      <c r="J49" s="9">
        <v>8406</v>
      </c>
      <c r="K49" s="9">
        <v>8406</v>
      </c>
      <c r="L49" s="9">
        <v>8406</v>
      </c>
      <c r="M49" s="9">
        <v>8406</v>
      </c>
      <c r="N49" s="9">
        <v>8406</v>
      </c>
    </row>
    <row r="50" spans="1:15" x14ac:dyDescent="0.2">
      <c r="A50" t="s">
        <v>179</v>
      </c>
      <c r="B50" s="3">
        <v>28</v>
      </c>
      <c r="C50" s="3">
        <v>19</v>
      </c>
      <c r="D50" s="3">
        <v>59</v>
      </c>
      <c r="E50" s="3">
        <v>54</v>
      </c>
      <c r="F50" s="3">
        <v>49</v>
      </c>
      <c r="G50" s="3">
        <v>89</v>
      </c>
      <c r="H50" s="3">
        <v>262</v>
      </c>
      <c r="I50" s="3">
        <v>205</v>
      </c>
      <c r="J50" s="3">
        <v>207.27550000000002</v>
      </c>
      <c r="K50" s="3">
        <v>209.57625805000004</v>
      </c>
      <c r="L50" s="3">
        <v>211.90255451435505</v>
      </c>
      <c r="M50" s="3">
        <v>214.2546728694644</v>
      </c>
      <c r="N50" s="3">
        <v>216.63289973831547</v>
      </c>
    </row>
    <row r="51" spans="1:15" x14ac:dyDescent="0.2">
      <c r="A51" t="s">
        <v>180</v>
      </c>
      <c r="B51" s="3">
        <v>964</v>
      </c>
      <c r="C51" s="3">
        <v>412</v>
      </c>
      <c r="D51" s="3">
        <v>920</v>
      </c>
      <c r="E51" s="3">
        <v>-1493</v>
      </c>
      <c r="F51" s="3">
        <v>-435</v>
      </c>
      <c r="G51" s="3">
        <v>3613</v>
      </c>
      <c r="H51" s="3">
        <v>4345</v>
      </c>
      <c r="I51" s="3">
        <v>866</v>
      </c>
      <c r="J51" s="3">
        <v>5367.280999999999</v>
      </c>
      <c r="K51" s="3">
        <v>7015.0362669999995</v>
      </c>
      <c r="L51" s="3">
        <v>9168.6524009689965</v>
      </c>
      <c r="M51" s="3">
        <v>11983.42868806648</v>
      </c>
      <c r="N51" s="3">
        <v>15662.341295302882</v>
      </c>
    </row>
    <row r="52" spans="1:15" x14ac:dyDescent="0.2">
      <c r="A52" t="s">
        <v>135</v>
      </c>
      <c r="B52" s="3">
        <v>121</v>
      </c>
      <c r="C52" s="3">
        <v>133</v>
      </c>
      <c r="D52" s="3">
        <v>140</v>
      </c>
      <c r="E52" s="3">
        <v>160</v>
      </c>
      <c r="F52" s="3">
        <v>149</v>
      </c>
      <c r="G52" s="3">
        <v>148</v>
      </c>
      <c r="H52" s="3">
        <v>130</v>
      </c>
      <c r="I52" s="3">
        <v>124</v>
      </c>
      <c r="J52" s="3">
        <v>129.57999999999998</v>
      </c>
      <c r="K52" s="3">
        <v>135.41109999999998</v>
      </c>
      <c r="L52" s="3">
        <v>141.50459949999996</v>
      </c>
      <c r="M52" s="3">
        <v>147.87230647749993</v>
      </c>
      <c r="N52" s="3">
        <v>154.52656026898742</v>
      </c>
    </row>
    <row r="53" spans="1:15" x14ac:dyDescent="0.2">
      <c r="A53" s="1" t="s">
        <v>181</v>
      </c>
      <c r="B53" s="9">
        <v>-4537</v>
      </c>
      <c r="C53" s="9">
        <v>-3823</v>
      </c>
      <c r="D53" s="9">
        <v>-4829</v>
      </c>
      <c r="E53" s="9">
        <v>-2982</v>
      </c>
      <c r="F53" s="9">
        <v>-1746</v>
      </c>
      <c r="G53" s="9">
        <v>-7053</v>
      </c>
      <c r="H53" s="9">
        <v>-7362</v>
      </c>
      <c r="I53" s="9">
        <v>-8484</v>
      </c>
      <c r="J53" s="9">
        <v>-8484</v>
      </c>
      <c r="K53" s="9">
        <v>-8484</v>
      </c>
      <c r="L53" s="9">
        <v>-8484</v>
      </c>
      <c r="M53" s="9">
        <v>-8484</v>
      </c>
      <c r="N53" s="9">
        <v>-8484</v>
      </c>
    </row>
    <row r="54" spans="1:15" x14ac:dyDescent="0.2">
      <c r="A54" t="s">
        <v>182</v>
      </c>
      <c r="B54" s="3"/>
      <c r="C54" s="3"/>
      <c r="D54" s="3"/>
      <c r="E54" s="3"/>
      <c r="F54" s="3"/>
      <c r="G54" s="3"/>
      <c r="H54" s="3"/>
      <c r="I54" s="3"/>
      <c r="J54" s="3"/>
      <c r="K54" s="3"/>
      <c r="L54" s="3"/>
      <c r="M54" s="3"/>
      <c r="N54" s="3"/>
    </row>
    <row r="55" spans="1:15" x14ac:dyDescent="0.2">
      <c r="A55" s="26" t="s">
        <v>183</v>
      </c>
      <c r="B55" s="25">
        <v>4237</v>
      </c>
      <c r="C55" s="25">
        <v>4172</v>
      </c>
      <c r="D55" s="25">
        <v>5160</v>
      </c>
      <c r="E55" s="25">
        <v>440</v>
      </c>
      <c r="F55" s="25">
        <v>3594</v>
      </c>
      <c r="G55" s="25">
        <v>6152</v>
      </c>
      <c r="H55" s="25">
        <v>10072</v>
      </c>
      <c r="I55" s="25">
        <v>6912</v>
      </c>
      <c r="J55" s="25">
        <v>6912</v>
      </c>
      <c r="K55" s="25">
        <v>6912</v>
      </c>
      <c r="L55" s="25">
        <v>6912</v>
      </c>
      <c r="M55" s="25">
        <v>6912</v>
      </c>
      <c r="N55" s="25">
        <v>6912</v>
      </c>
    </row>
    <row r="56" spans="1:15" x14ac:dyDescent="0.2">
      <c r="A56" t="s">
        <v>184</v>
      </c>
      <c r="B56" s="3"/>
      <c r="C56" s="3"/>
      <c r="D56" s="3"/>
      <c r="E56" s="3"/>
      <c r="F56" s="3"/>
      <c r="G56" s="3"/>
      <c r="H56" s="3"/>
      <c r="I56" s="3"/>
      <c r="J56" s="3"/>
      <c r="K56" s="3"/>
      <c r="L56" s="3"/>
      <c r="M56" s="3"/>
      <c r="N56" s="3"/>
    </row>
    <row r="57" spans="1:15" x14ac:dyDescent="0.2">
      <c r="A57" t="s">
        <v>185</v>
      </c>
      <c r="B57" s="3"/>
      <c r="C57" s="3"/>
      <c r="D57" s="3"/>
      <c r="E57" s="3"/>
      <c r="F57" s="3"/>
      <c r="G57" s="3"/>
      <c r="H57" s="3"/>
      <c r="I57" s="3"/>
      <c r="J57" s="3"/>
      <c r="K57" s="3"/>
      <c r="L57" s="3"/>
      <c r="M57" s="3"/>
      <c r="N57" s="3"/>
    </row>
    <row r="58" spans="1:15" x14ac:dyDescent="0.2">
      <c r="A58" s="26" t="s">
        <v>186</v>
      </c>
      <c r="B58" s="25">
        <v>-7031</v>
      </c>
      <c r="C58" s="25">
        <v>-7620</v>
      </c>
      <c r="D58" s="25">
        <v>-8211</v>
      </c>
      <c r="E58" s="25">
        <v>-7119</v>
      </c>
      <c r="F58" s="25">
        <v>-4860</v>
      </c>
      <c r="G58" s="25">
        <v>-4657</v>
      </c>
      <c r="H58" s="25">
        <v>-12280</v>
      </c>
      <c r="I58" s="25">
        <v>-16756</v>
      </c>
      <c r="J58" s="25">
        <v>-16756</v>
      </c>
      <c r="K58" s="25">
        <v>-16756</v>
      </c>
      <c r="L58" s="25">
        <v>-16756</v>
      </c>
      <c r="M58" s="25">
        <v>-16756</v>
      </c>
      <c r="N58" s="25">
        <v>-16756</v>
      </c>
    </row>
    <row r="59" spans="1:15" x14ac:dyDescent="0.2">
      <c r="A59" t="s">
        <v>187</v>
      </c>
      <c r="B59" s="3">
        <v>-63</v>
      </c>
      <c r="C59" s="3">
        <v>-67</v>
      </c>
      <c r="D59" s="3">
        <v>327</v>
      </c>
      <c r="E59" s="3">
        <v>13</v>
      </c>
      <c r="F59" s="3">
        <v>0</v>
      </c>
      <c r="G59" s="3">
        <v>6134</v>
      </c>
      <c r="H59" s="3">
        <v>-608</v>
      </c>
      <c r="I59" s="3">
        <v>-4014</v>
      </c>
      <c r="J59" s="3">
        <v>-4014</v>
      </c>
      <c r="K59" s="61">
        <v>-4014</v>
      </c>
      <c r="L59" s="61">
        <v>-4014</v>
      </c>
      <c r="M59" s="61">
        <v>-4014</v>
      </c>
      <c r="N59" s="61">
        <v>-4014</v>
      </c>
    </row>
    <row r="60" spans="1:15" x14ac:dyDescent="0.2">
      <c r="A60" s="51" t="s">
        <v>129</v>
      </c>
      <c r="B60" s="52"/>
      <c r="C60" s="52"/>
      <c r="D60" s="52"/>
      <c r="E60" s="52"/>
      <c r="F60" s="52"/>
      <c r="G60" s="52"/>
      <c r="H60" s="52"/>
      <c r="I60" s="52"/>
      <c r="J60" s="52"/>
      <c r="K60" s="59"/>
      <c r="L60" s="59"/>
      <c r="M60" s="60"/>
      <c r="N60" s="60"/>
    </row>
    <row r="61" spans="1:15" x14ac:dyDescent="0.2">
      <c r="A61" t="s">
        <v>188</v>
      </c>
      <c r="B61" s="3">
        <v>-19</v>
      </c>
      <c r="C61" s="3">
        <v>0</v>
      </c>
      <c r="D61" s="3">
        <v>0</v>
      </c>
      <c r="E61" s="3">
        <v>13</v>
      </c>
      <c r="F61" s="3">
        <v>-325</v>
      </c>
      <c r="G61" s="3">
        <v>49</v>
      </c>
      <c r="H61" s="3">
        <v>-1638</v>
      </c>
      <c r="I61" s="3">
        <v>-1837</v>
      </c>
      <c r="J61" s="3">
        <v>5928</v>
      </c>
      <c r="K61" s="3">
        <f>-12000</f>
        <v>-12000</v>
      </c>
      <c r="L61" s="3">
        <f>0</f>
        <v>0</v>
      </c>
      <c r="M61" s="3">
        <f>0</f>
        <v>0</v>
      </c>
      <c r="N61" s="3">
        <f>0</f>
        <v>0</v>
      </c>
      <c r="O61" t="s">
        <v>231</v>
      </c>
    </row>
    <row r="62" spans="1:15" x14ac:dyDescent="0.2">
      <c r="A62" t="s">
        <v>189</v>
      </c>
      <c r="B62" s="3"/>
      <c r="C62" s="3"/>
      <c r="D62" s="3"/>
      <c r="E62" s="3"/>
      <c r="F62" s="3"/>
      <c r="G62" s="3"/>
      <c r="H62" s="3"/>
      <c r="I62" s="3"/>
      <c r="J62" s="3"/>
      <c r="K62" s="3"/>
      <c r="L62" s="3"/>
      <c r="M62" s="3"/>
      <c r="N62" s="3"/>
    </row>
    <row r="63" spans="1:15" x14ac:dyDescent="0.2">
      <c r="A63" t="s">
        <v>190</v>
      </c>
      <c r="B63" s="3"/>
      <c r="C63" s="3"/>
      <c r="D63" s="3"/>
      <c r="E63" s="3"/>
      <c r="F63" s="3"/>
      <c r="G63" s="3"/>
      <c r="H63" s="3"/>
      <c r="I63" s="3"/>
      <c r="J63" s="3"/>
      <c r="K63" s="3"/>
      <c r="L63" s="3"/>
      <c r="M63" s="3"/>
      <c r="N63" s="3"/>
    </row>
    <row r="64" spans="1:15" x14ac:dyDescent="0.2">
      <c r="A64" s="26" t="s">
        <v>191</v>
      </c>
      <c r="B64" s="25">
        <v>-201</v>
      </c>
      <c r="C64" s="25">
        <v>-2121</v>
      </c>
      <c r="D64" s="25">
        <v>-2534</v>
      </c>
      <c r="E64" s="25">
        <v>286</v>
      </c>
      <c r="F64" s="25">
        <v>-589</v>
      </c>
      <c r="G64" s="25">
        <v>-979</v>
      </c>
      <c r="H64" s="25">
        <v>-269</v>
      </c>
      <c r="I64" s="25">
        <v>-686</v>
      </c>
      <c r="J64" s="25"/>
      <c r="K64" s="25"/>
      <c r="L64" s="25"/>
      <c r="M64" s="25"/>
      <c r="N64" s="25"/>
    </row>
    <row r="65" spans="1:15" x14ac:dyDescent="0.2">
      <c r="A65" t="s">
        <v>192</v>
      </c>
      <c r="B65" s="3"/>
      <c r="C65" s="3"/>
      <c r="D65" s="3"/>
      <c r="E65" s="3"/>
      <c r="F65" s="3"/>
      <c r="G65" s="3"/>
      <c r="H65" s="3"/>
      <c r="I65" s="3"/>
      <c r="J65" s="3"/>
      <c r="K65" s="3"/>
      <c r="L65" s="3"/>
      <c r="M65" s="3"/>
      <c r="N65" s="3"/>
    </row>
    <row r="66" spans="1:15" x14ac:dyDescent="0.2">
      <c r="A66" s="26" t="s">
        <v>193</v>
      </c>
      <c r="B66" s="25">
        <v>-2995</v>
      </c>
      <c r="C66" s="25">
        <v>-5569</v>
      </c>
      <c r="D66" s="25">
        <v>-5585</v>
      </c>
      <c r="E66" s="25">
        <v>-6393</v>
      </c>
      <c r="F66" s="25">
        <v>-1855</v>
      </c>
      <c r="G66" s="25">
        <v>516</v>
      </c>
      <c r="H66" s="25">
        <v>-2477</v>
      </c>
      <c r="I66" s="25">
        <v>-10530</v>
      </c>
      <c r="J66" s="25">
        <v>-10530</v>
      </c>
      <c r="K66" s="25">
        <v>-10530</v>
      </c>
      <c r="L66" s="25">
        <v>-10530</v>
      </c>
      <c r="M66" s="25">
        <v>-10530</v>
      </c>
      <c r="N66" s="25">
        <v>-10530</v>
      </c>
    </row>
    <row r="67" spans="1:15" x14ac:dyDescent="0.2">
      <c r="A67" t="s">
        <v>194</v>
      </c>
      <c r="B67" s="3">
        <v>-3008</v>
      </c>
      <c r="C67" s="3">
        <v>-2945</v>
      </c>
      <c r="D67" s="3">
        <v>-2591</v>
      </c>
      <c r="E67" s="3">
        <v>-4828</v>
      </c>
      <c r="F67" s="3">
        <v>-5293</v>
      </c>
      <c r="G67" s="3">
        <v>2491</v>
      </c>
      <c r="H67" s="3">
        <v>8348</v>
      </c>
      <c r="I67" s="3">
        <v>9889</v>
      </c>
      <c r="J67" s="3"/>
      <c r="K67" s="3">
        <v>9889</v>
      </c>
      <c r="L67" s="3">
        <v>9889</v>
      </c>
      <c r="M67" s="3">
        <v>9889</v>
      </c>
      <c r="N67" s="3">
        <v>9889</v>
      </c>
    </row>
    <row r="68" spans="1:15" ht="16" thickBot="1" x14ac:dyDescent="0.25">
      <c r="A68" s="6" t="s">
        <v>195</v>
      </c>
      <c r="B68" s="7">
        <v>-83</v>
      </c>
      <c r="C68" s="7">
        <v>-105</v>
      </c>
      <c r="D68" s="7">
        <v>-20</v>
      </c>
      <c r="E68" s="7">
        <v>45</v>
      </c>
      <c r="F68" s="7">
        <v>-129</v>
      </c>
      <c r="G68" s="7">
        <v>-66</v>
      </c>
      <c r="H68" s="7">
        <v>9889</v>
      </c>
      <c r="I68" s="7">
        <f>I53+I55+I64</f>
        <v>-2258</v>
      </c>
      <c r="J68" s="7">
        <f>J53+J55+J58</f>
        <v>-18328</v>
      </c>
      <c r="K68" s="7">
        <f>K53+K55+K58</f>
        <v>-18328</v>
      </c>
      <c r="L68" s="7">
        <f t="shared" ref="L68:N68" si="31">L53+L55+L58</f>
        <v>-18328</v>
      </c>
      <c r="M68" s="7">
        <f t="shared" si="31"/>
        <v>-18328</v>
      </c>
      <c r="N68" s="7">
        <f t="shared" si="31"/>
        <v>-18328</v>
      </c>
      <c r="O68" t="s">
        <v>233</v>
      </c>
    </row>
    <row r="69" spans="1:15" ht="16" thickTop="1" x14ac:dyDescent="0.2">
      <c r="A69" s="57" t="s">
        <v>175</v>
      </c>
      <c r="B69" s="39">
        <v>-3091</v>
      </c>
      <c r="C69" s="39">
        <v>-3050</v>
      </c>
      <c r="D69" s="39">
        <v>-2611</v>
      </c>
      <c r="E69" s="39">
        <v>-4783</v>
      </c>
      <c r="F69" s="39">
        <v>-5422</v>
      </c>
      <c r="G69" s="39">
        <v>2425</v>
      </c>
      <c r="H69" s="39">
        <v>18237</v>
      </c>
      <c r="I69" s="39"/>
      <c r="J69" s="93">
        <f>0</f>
        <v>0</v>
      </c>
      <c r="K69" s="93">
        <f t="shared" ref="K69:N69" si="32">K68-K21</f>
        <v>0</v>
      </c>
      <c r="L69" s="93">
        <f t="shared" si="32"/>
        <v>0</v>
      </c>
      <c r="M69" s="93">
        <f t="shared" si="32"/>
        <v>0</v>
      </c>
      <c r="N69" s="93">
        <f t="shared" si="32"/>
        <v>0</v>
      </c>
      <c r="O69" t="s">
        <v>234</v>
      </c>
    </row>
    <row r="70" spans="1:15" x14ac:dyDescent="0.2">
      <c r="A70" s="1" t="s">
        <v>196</v>
      </c>
      <c r="B70" s="46">
        <v>4857</v>
      </c>
      <c r="C70" s="46">
        <v>5955</v>
      </c>
      <c r="D70" s="46">
        <v>7044</v>
      </c>
      <c r="E70" s="46">
        <v>8475</v>
      </c>
      <c r="F70" s="46">
        <v>13675</v>
      </c>
      <c r="G70" s="46">
        <v>24345</v>
      </c>
      <c r="H70" s="46">
        <v>24497</v>
      </c>
      <c r="I70" s="46"/>
      <c r="J70" s="94">
        <f>J21-J43</f>
        <v>-81977.877500000002</v>
      </c>
      <c r="K70" s="94">
        <f t="shared" ref="K70:N70" si="33">K21-K43</f>
        <v>-83697.562756250001</v>
      </c>
      <c r="L70" s="94">
        <f t="shared" si="33"/>
        <v>-85800.550625796866</v>
      </c>
      <c r="M70" s="94">
        <f t="shared" si="33"/>
        <v>-87967.997498331271</v>
      </c>
      <c r="N70" s="94">
        <f t="shared" si="33"/>
        <v>-90202.324868240088</v>
      </c>
    </row>
    <row r="72" spans="1:15" x14ac:dyDescent="0.2">
      <c r="B72" s="63"/>
    </row>
    <row r="78" spans="1:15" x14ac:dyDescent="0.2">
      <c r="A78" t="s">
        <v>274</v>
      </c>
    </row>
    <row r="79" spans="1:15" x14ac:dyDescent="0.2">
      <c r="A79" s="58">
        <f>B43-B39</f>
        <v>8890</v>
      </c>
      <c r="B79" s="58">
        <f t="shared" ref="B79:N79" si="34">C43-C39</f>
        <v>9138</v>
      </c>
      <c r="C79" s="58">
        <f t="shared" si="34"/>
        <v>10852</v>
      </c>
      <c r="D79" s="58">
        <f t="shared" si="34"/>
        <v>12724</v>
      </c>
      <c r="E79" s="58">
        <f t="shared" si="34"/>
        <v>14677</v>
      </c>
      <c r="F79" s="58">
        <f t="shared" si="34"/>
        <v>23287</v>
      </c>
      <c r="G79" s="58">
        <f t="shared" si="34"/>
        <v>24973</v>
      </c>
      <c r="H79" s="58">
        <f t="shared" si="34"/>
        <v>25040</v>
      </c>
      <c r="I79" s="58">
        <f t="shared" si="34"/>
        <v>47948.649999999994</v>
      </c>
      <c r="J79" s="58">
        <f t="shared" si="34"/>
        <v>37236.551500000001</v>
      </c>
      <c r="K79" s="58">
        <f t="shared" si="34"/>
        <v>38565.881559999994</v>
      </c>
      <c r="L79" s="58">
        <f t="shared" si="34"/>
        <v>39938.395033224981</v>
      </c>
      <c r="M79" s="58">
        <f t="shared" si="34"/>
        <v>41355.928335343371</v>
      </c>
      <c r="N79" s="58" t="e">
        <f t="shared" si="34"/>
        <v>#VALUE!</v>
      </c>
    </row>
    <row r="85" spans="2:6" x14ac:dyDescent="0.2">
      <c r="B85" t="s">
        <v>282</v>
      </c>
    </row>
    <row r="86" spans="2:6" x14ac:dyDescent="0.2">
      <c r="B86">
        <v>2023</v>
      </c>
      <c r="C86">
        <v>2024</v>
      </c>
      <c r="D86">
        <f>2025</f>
        <v>2025</v>
      </c>
      <c r="E86">
        <v>2026</v>
      </c>
      <c r="F86">
        <v>2027</v>
      </c>
    </row>
    <row r="87" spans="2:6" x14ac:dyDescent="0.2">
      <c r="B87">
        <f>J7/I7-1</f>
        <v>0.1068236973590293</v>
      </c>
      <c r="C87">
        <f>K7/J7-1</f>
        <v>0.10589539292946237</v>
      </c>
      <c r="D87">
        <f t="shared" ref="D87:F87" si="35">L7/K7-1</f>
        <v>0.10546414949491023</v>
      </c>
      <c r="E87">
        <f t="shared" si="35"/>
        <v>0.10506642683513712</v>
      </c>
      <c r="F87">
        <f t="shared" si="35"/>
        <v>0.10469934420221993</v>
      </c>
    </row>
    <row r="89" spans="2:6" x14ac:dyDescent="0.2">
      <c r="B89">
        <v>2028</v>
      </c>
      <c r="C89">
        <f>2029</f>
        <v>2029</v>
      </c>
      <c r="D89">
        <v>2030</v>
      </c>
      <c r="E89">
        <v>2031</v>
      </c>
      <c r="F89">
        <f>2032</f>
        <v>2032</v>
      </c>
    </row>
    <row r="90" spans="2:6" x14ac:dyDescent="0.2">
      <c r="B90">
        <f>10%</f>
        <v>0.1</v>
      </c>
      <c r="C90">
        <f>10%</f>
        <v>0.1</v>
      </c>
      <c r="D90">
        <f>10%</f>
        <v>0.1</v>
      </c>
      <c r="E90">
        <f>10%</f>
        <v>0.1</v>
      </c>
      <c r="F90">
        <f>10%</f>
        <v>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4F813-223D-594D-AB74-729D892960E9}">
  <dimension ref="A1:A9"/>
  <sheetViews>
    <sheetView workbookViewId="0">
      <selection activeCell="E16" sqref="E16"/>
    </sheetView>
  </sheetViews>
  <sheetFormatPr baseColWidth="10" defaultRowHeight="15" x14ac:dyDescent="0.2"/>
  <sheetData>
    <row r="1" spans="1:1" x14ac:dyDescent="0.2">
      <c r="A1" t="s">
        <v>238</v>
      </c>
    </row>
    <row r="2" spans="1:1" x14ac:dyDescent="0.2">
      <c r="A2" t="s">
        <v>239</v>
      </c>
    </row>
    <row r="4" spans="1:1" x14ac:dyDescent="0.2">
      <c r="A4" t="s">
        <v>20</v>
      </c>
    </row>
    <row r="5" spans="1:1" x14ac:dyDescent="0.2">
      <c r="A5" t="s">
        <v>240</v>
      </c>
    </row>
    <row r="6" spans="1:1" x14ac:dyDescent="0.2">
      <c r="A6" t="s">
        <v>241</v>
      </c>
    </row>
    <row r="7" spans="1:1" x14ac:dyDescent="0.2">
      <c r="A7" t="s">
        <v>242</v>
      </c>
    </row>
    <row r="8" spans="1:1" x14ac:dyDescent="0.2">
      <c r="A8" t="s">
        <v>243</v>
      </c>
    </row>
    <row r="9" spans="1:1" x14ac:dyDescent="0.2">
      <c r="A9" t="s">
        <v>244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39808-77BB-A846-B174-0D550A9F3CB3}">
  <dimension ref="A1:V67"/>
  <sheetViews>
    <sheetView tabSelected="1" workbookViewId="0">
      <selection activeCell="T26" sqref="T26"/>
    </sheetView>
  </sheetViews>
  <sheetFormatPr baseColWidth="10" defaultColWidth="8.83203125" defaultRowHeight="15" x14ac:dyDescent="0.2"/>
  <cols>
    <col min="1" max="1" width="42.6640625" customWidth="1"/>
    <col min="2" max="8" width="10.5" customWidth="1"/>
    <col min="9" max="9" width="12.1640625" customWidth="1"/>
    <col min="10" max="10" width="42.6640625" customWidth="1"/>
    <col min="11" max="11" width="11.5" bestFit="1" customWidth="1"/>
    <col min="12" max="13" width="11.1640625" bestFit="1" customWidth="1"/>
    <col min="14" max="15" width="11.6640625" bestFit="1" customWidth="1"/>
    <col min="16" max="16" width="21.5" bestFit="1" customWidth="1"/>
    <col min="17" max="21" width="11.6640625" bestFit="1" customWidth="1"/>
  </cols>
  <sheetData>
    <row r="1" spans="1:21" ht="48" x14ac:dyDescent="0.2">
      <c r="A1" s="95" t="s">
        <v>245</v>
      </c>
      <c r="B1" s="16">
        <v>2015</v>
      </c>
      <c r="C1" s="16">
        <f t="shared" ref="C1:T1" si="0">+B1+1</f>
        <v>2016</v>
      </c>
      <c r="D1" s="16">
        <f t="shared" si="0"/>
        <v>2017</v>
      </c>
      <c r="E1" s="16">
        <f>+D1+1</f>
        <v>2018</v>
      </c>
      <c r="F1" s="16">
        <f t="shared" si="0"/>
        <v>2019</v>
      </c>
      <c r="G1" s="16">
        <f t="shared" si="0"/>
        <v>2020</v>
      </c>
      <c r="H1" s="16">
        <f t="shared" si="0"/>
        <v>2021</v>
      </c>
      <c r="I1" s="16">
        <f t="shared" si="0"/>
        <v>2022</v>
      </c>
      <c r="J1" s="96" t="s">
        <v>20</v>
      </c>
      <c r="K1" s="97">
        <f>+I1+1</f>
        <v>2023</v>
      </c>
      <c r="L1" s="97">
        <f t="shared" si="0"/>
        <v>2024</v>
      </c>
      <c r="M1" s="97">
        <f t="shared" si="0"/>
        <v>2025</v>
      </c>
      <c r="N1" s="97">
        <f t="shared" si="0"/>
        <v>2026</v>
      </c>
      <c r="O1" s="97">
        <f t="shared" si="0"/>
        <v>2027</v>
      </c>
      <c r="P1" s="97">
        <f t="shared" si="0"/>
        <v>2028</v>
      </c>
      <c r="Q1" s="97">
        <f t="shared" si="0"/>
        <v>2029</v>
      </c>
      <c r="R1" s="97">
        <f t="shared" si="0"/>
        <v>2030</v>
      </c>
      <c r="S1" s="97">
        <f t="shared" si="0"/>
        <v>2031</v>
      </c>
      <c r="T1" s="97">
        <f t="shared" si="0"/>
        <v>2032</v>
      </c>
      <c r="U1" s="98" t="s">
        <v>246</v>
      </c>
    </row>
    <row r="2" spans="1:21" x14ac:dyDescent="0.2">
      <c r="A2" s="14" t="s">
        <v>247</v>
      </c>
      <c r="B2" s="14"/>
      <c r="C2" s="14"/>
      <c r="D2" s="14"/>
      <c r="E2" s="14"/>
      <c r="F2" s="14"/>
      <c r="G2" s="14"/>
      <c r="H2" s="14"/>
      <c r="I2" s="14"/>
      <c r="J2" s="14"/>
      <c r="K2" s="14"/>
      <c r="L2" s="14"/>
      <c r="M2" s="14"/>
      <c r="N2" s="14"/>
      <c r="O2" s="14"/>
      <c r="P2" s="99"/>
      <c r="Q2" s="99"/>
      <c r="R2" s="99"/>
      <c r="S2" s="99"/>
      <c r="T2" s="99"/>
      <c r="U2" s="99"/>
    </row>
    <row r="3" spans="1:21" x14ac:dyDescent="0.2">
      <c r="A3" t="s">
        <v>248</v>
      </c>
      <c r="B3" s="63">
        <f>55.6</f>
        <v>55.6</v>
      </c>
      <c r="C3" s="63">
        <f>55.94</f>
        <v>55.94</v>
      </c>
      <c r="D3" s="63">
        <f>56.24</f>
        <v>56.24</v>
      </c>
      <c r="E3" s="63">
        <f>74.47</f>
        <v>74.47</v>
      </c>
      <c r="F3" s="63">
        <f>87.46</f>
        <v>87.46</v>
      </c>
      <c r="G3" s="63">
        <f>106.96</f>
        <v>106.96</v>
      </c>
      <c r="H3" s="63">
        <f>150.46</f>
        <v>150.46</v>
      </c>
      <c r="I3" s="63">
        <f>115.73</f>
        <v>115.73</v>
      </c>
      <c r="K3" s="63">
        <f>111.7</f>
        <v>111.7</v>
      </c>
      <c r="L3" s="63">
        <f>86.69</f>
        <v>86.69</v>
      </c>
      <c r="M3" s="100">
        <f>73.31</f>
        <v>73.31</v>
      </c>
      <c r="N3" s="63">
        <f>111.7</f>
        <v>111.7</v>
      </c>
      <c r="O3" s="63">
        <f>86.69</f>
        <v>86.69</v>
      </c>
      <c r="P3">
        <f>O3*(1+10%)</f>
        <v>95.359000000000009</v>
      </c>
      <c r="Q3">
        <f t="shared" ref="Q3:U3" si="1">P3*(1+10%)</f>
        <v>104.89490000000002</v>
      </c>
      <c r="R3">
        <f t="shared" si="1"/>
        <v>115.38439000000004</v>
      </c>
      <c r="S3">
        <f t="shared" si="1"/>
        <v>126.92282900000005</v>
      </c>
      <c r="T3">
        <f t="shared" si="1"/>
        <v>139.61511190000007</v>
      </c>
      <c r="U3">
        <f t="shared" si="1"/>
        <v>153.57662309000008</v>
      </c>
    </row>
    <row r="4" spans="1:21" x14ac:dyDescent="0.2">
      <c r="A4" t="s">
        <v>249</v>
      </c>
      <c r="B4" s="3">
        <f>(B3*Historicals!B18)+(Historicals!B46+Historicals!B45)-(Historicals!B25)</f>
        <v>101859.8</v>
      </c>
      <c r="C4" s="3">
        <f>(C3*Historicals!C18)+(Historicals!C46+Historicals!C45)-(Historicals!C25)</f>
        <v>101705.45</v>
      </c>
      <c r="D4" s="3">
        <f>(D3*Historicals!D18)+(Historicals!D45)-Historicals!D25</f>
        <v>96824.08</v>
      </c>
      <c r="E4" s="3">
        <f>(E3*Historicals!E18)+(Historicals!E45)-Historicals!E25</f>
        <v>125344.177</v>
      </c>
      <c r="F4" s="3">
        <f>(F3*Historicals!F18)+(Historicals!F46+Historicals!F45)-(Historicals!F25)</f>
        <v>148409.264</v>
      </c>
      <c r="G4" s="3">
        <f>(G3*Historicals!G18)+(Historicals!G46+Historicals!G45)-(Historicals!G25)</f>
        <v>179579.53599999999</v>
      </c>
      <c r="H4" s="3">
        <f>(H3*Historicals!H18)+(Historicals!H46+Historicals!H45)-(Historicals!H25)</f>
        <v>251348.32400000002</v>
      </c>
      <c r="I4" s="3">
        <f>(I3*Historicals!I18)+(Historicals!I46+Historicals!I45)-(Historicals!I25)</f>
        <v>197493.88399999999</v>
      </c>
      <c r="J4" s="3"/>
      <c r="K4" s="3">
        <f>(K3*1600)+('Three Statements'!J36+'Three Statements'!J35)+'Three Statements'!J21</f>
        <v>194897.4</v>
      </c>
      <c r="L4" s="3">
        <f>(L3*1600)+('Three Statements'!K36+'Three Statements'!K35)+'Three Statements'!K21</f>
        <v>155437.03899999999</v>
      </c>
      <c r="M4" s="3">
        <f>(M3*1600)+('Three Statements'!L36+'Three Statements'!L35)+'Three Statements'!L21</f>
        <v>134595.11843500001</v>
      </c>
      <c r="N4" s="3">
        <f>(N3*1600)+('Three Statements'!M36+'Three Statements'!M35)+'Three Statements'!M21</f>
        <v>196595.84375197499</v>
      </c>
      <c r="O4" s="3">
        <f>(O3*1600)+('Three Statements'!N36+'Three Statements'!N35)+'Three Statements'!N21</f>
        <v>157167.42449003085</v>
      </c>
      <c r="P4" s="3">
        <f>O4*(1+10%)</f>
        <v>172884.16693903395</v>
      </c>
      <c r="Q4" s="3">
        <f t="shared" ref="Q4:U4" si="2">P4*(1+10%)</f>
        <v>190172.58363293737</v>
      </c>
      <c r="R4" s="3">
        <f t="shared" si="2"/>
        <v>209189.84199623112</v>
      </c>
      <c r="S4" s="3">
        <f t="shared" si="2"/>
        <v>230108.82619585426</v>
      </c>
      <c r="T4" s="3">
        <f t="shared" si="2"/>
        <v>253119.70881543969</v>
      </c>
      <c r="U4">
        <f t="shared" si="2"/>
        <v>278431.67969698366</v>
      </c>
    </row>
    <row r="5" spans="1:21" x14ac:dyDescent="0.2">
      <c r="A5" t="s">
        <v>250</v>
      </c>
      <c r="B5" s="54">
        <f>B3/Historicals!B14</f>
        <v>29.263157894736842</v>
      </c>
      <c r="C5" s="54">
        <f>C3/Historicals!C14</f>
        <v>25.312217194570135</v>
      </c>
      <c r="D5" s="54">
        <f>D3/Historicals!D14</f>
        <v>21.96875</v>
      </c>
      <c r="E5" s="54">
        <f>E3/Historicals!E14</f>
        <v>62.579831932773111</v>
      </c>
      <c r="F5" s="54">
        <f>F3/Historicals!F14</f>
        <v>34.298039215686273</v>
      </c>
      <c r="G5" s="54">
        <f>G3/Historicals!G14</f>
        <v>65.619631901840492</v>
      </c>
      <c r="H5" s="54">
        <f>H3/Historicals!H14</f>
        <v>41.335164835164839</v>
      </c>
      <c r="I5" s="54">
        <f>I3/Historicals!I14</f>
        <v>30.216710182767624</v>
      </c>
      <c r="K5" s="108">
        <f>K3/'Three Statements'!J16</f>
        <v>29.164490861618798</v>
      </c>
      <c r="L5" s="108">
        <f>L3/'Three Statements'!K16</f>
        <v>22.634464751958223</v>
      </c>
      <c r="M5" s="108">
        <f>M3/'Three Statements'!L16</f>
        <v>19.140992167101828</v>
      </c>
      <c r="N5" s="108">
        <f>N3/'Three Statements'!M16</f>
        <v>29.164490861618798</v>
      </c>
      <c r="O5" s="108">
        <f>O3/'Three Statements'!N16</f>
        <v>22.634464751958223</v>
      </c>
      <c r="P5" s="108">
        <f>O5*(1+10%)</f>
        <v>24.897911227154047</v>
      </c>
      <c r="Q5" s="108">
        <f t="shared" ref="Q5:U5" si="3">P5*(1+10%)</f>
        <v>27.387702349869453</v>
      </c>
      <c r="R5" s="108">
        <f t="shared" si="3"/>
        <v>30.126472584856401</v>
      </c>
      <c r="S5" s="108">
        <f t="shared" si="3"/>
        <v>33.139119843342044</v>
      </c>
      <c r="T5" s="108">
        <f t="shared" si="3"/>
        <v>36.453031827676249</v>
      </c>
      <c r="U5">
        <f t="shared" si="3"/>
        <v>40.098335010443876</v>
      </c>
    </row>
    <row r="6" spans="1:21" x14ac:dyDescent="0.2">
      <c r="A6" t="s">
        <v>251</v>
      </c>
      <c r="B6" s="86">
        <f>B3/(Historicals!B36-Historicals!B33-Historicals!B45)</f>
        <v>3.7106246663107315E-3</v>
      </c>
      <c r="C6" s="86">
        <f>C3/(Historicals!C36-Historicals!C33-Historicals!C45)</f>
        <v>3.5501681792219331E-3</v>
      </c>
      <c r="D6" s="86">
        <f>D3/(Historicals!D36-Historicals!D33-Historicals!D45)</f>
        <v>3.2133470460518798E-3</v>
      </c>
      <c r="E6" s="86">
        <f>E3/(Historicals!E36-Historicals!E33-Historicals!E45)</f>
        <v>4.5937943371784588E-3</v>
      </c>
      <c r="F6" s="86">
        <f>F3/(Historicals!F36-Historicals!F33-Historicals!F45)</f>
        <v>5.6179342240493318E-3</v>
      </c>
      <c r="G6" s="86">
        <f>G3/(Historicals!G36-Historicals!G33-Historicals!G45)</f>
        <v>4.6945224719101121E-3</v>
      </c>
      <c r="H6" s="86">
        <f>H3/(Historicals!H36-Historicals!H33-Historicals!H45)</f>
        <v>5.4128143324819224E-3</v>
      </c>
      <c r="I6" s="86">
        <f>I3/(Historicals!I36-Historicals!I33-Historicals!I45)</f>
        <v>3.9491554342262411E-3</v>
      </c>
      <c r="J6" s="86"/>
      <c r="K6" s="86">
        <f>K3/('Three Statements'!J31-'Three Statements'!J27-'Three Statements'!J35)</f>
        <v>2.9533351237541945E-3</v>
      </c>
      <c r="L6" s="86">
        <f>L3/('Three Statements'!K31-'Three Statements'!K27-'Three Statements'!K35)</f>
        <v>2.2211643439861623E-3</v>
      </c>
      <c r="M6" s="86">
        <f>M3/('Three Statements'!L31-'Three Statements'!L27-'Three Statements'!L35)</f>
        <v>1.8052385783658427E-3</v>
      </c>
      <c r="N6" s="86">
        <f>N3/('Three Statements'!M31-'Three Statements'!M27-'Three Statements'!M35)</f>
        <v>2.6441544622199851E-3</v>
      </c>
      <c r="O6" s="86">
        <f>O3/('Three Statements'!N31-'Three Statements'!N27-'Three Statements'!N35)</f>
        <v>1.9731459531262601E-3</v>
      </c>
      <c r="P6" s="86">
        <f>O6*(1+10%)</f>
        <v>2.1704605484388862E-3</v>
      </c>
      <c r="Q6" s="86">
        <f t="shared" ref="Q6:U6" si="4">P6*(1+10%)</f>
        <v>2.387506603282775E-3</v>
      </c>
      <c r="R6" s="86">
        <f t="shared" si="4"/>
        <v>2.6262572636110526E-3</v>
      </c>
      <c r="S6" s="86">
        <f t="shared" si="4"/>
        <v>2.8888829899721582E-3</v>
      </c>
      <c r="T6" s="86">
        <f t="shared" si="4"/>
        <v>3.1777712889693743E-3</v>
      </c>
      <c r="U6">
        <f t="shared" si="4"/>
        <v>3.4955484178663121E-3</v>
      </c>
    </row>
    <row r="7" spans="1:21" x14ac:dyDescent="0.2">
      <c r="A7" t="s">
        <v>252</v>
      </c>
      <c r="B7" s="54">
        <f>B4/'Segmental forecast'!B5</f>
        <v>18.782924580490505</v>
      </c>
      <c r="C7" s="54">
        <f>C4/'Segmental forecast'!C5</f>
        <v>17.016136857955495</v>
      </c>
      <c r="D7" s="54">
        <f>D4/'Segmental forecast'!D5</f>
        <v>16.416425907087149</v>
      </c>
      <c r="E7" s="54">
        <f>E4/'Segmental forecast'!E5</f>
        <v>19.984722098214284</v>
      </c>
      <c r="F7" s="54">
        <f>F4/'Segmental forecast'!F5</f>
        <v>21.015188898329086</v>
      </c>
      <c r="G7" s="54">
        <f>G4/'Segmental forecast'!G5</f>
        <v>33.459947084032045</v>
      </c>
      <c r="H7" s="54">
        <f>H4/'Segmental forecast'!H5</f>
        <v>26.781920511454452</v>
      </c>
      <c r="I7" s="54">
        <f>I4/'Segmental forecast'!I5</f>
        <v>21.647910117285978</v>
      </c>
      <c r="J7" s="54"/>
      <c r="K7" s="54">
        <f>K4/'Segmental forecast'!K5</f>
        <v>19.942870587919657</v>
      </c>
      <c r="L7" s="54">
        <f>L4/'Segmental forecast'!L5</f>
        <v>15.367237040083955</v>
      </c>
      <c r="M7" s="54">
        <f>M4/'Segmental forecast'!M5</f>
        <v>12.856721456357516</v>
      </c>
      <c r="N7" s="54">
        <f>N4/'Segmental forecast'!N5</f>
        <v>18.144078171114106</v>
      </c>
      <c r="O7" s="117">
        <f>19.5</f>
        <v>19.5</v>
      </c>
      <c r="P7">
        <f>O7*(1+10%)</f>
        <v>21.450000000000003</v>
      </c>
      <c r="Q7">
        <f t="shared" ref="Q7:U7" si="5">P7*(1+10%)</f>
        <v>23.595000000000006</v>
      </c>
      <c r="R7">
        <f t="shared" si="5"/>
        <v>25.95450000000001</v>
      </c>
      <c r="S7">
        <f t="shared" si="5"/>
        <v>28.549950000000013</v>
      </c>
      <c r="T7">
        <f t="shared" si="5"/>
        <v>31.404945000000016</v>
      </c>
      <c r="U7">
        <f t="shared" si="5"/>
        <v>34.545439500000022</v>
      </c>
    </row>
    <row r="8" spans="1:21" x14ac:dyDescent="0.2">
      <c r="A8" t="s">
        <v>253</v>
      </c>
      <c r="B8" s="54">
        <f>B4/B12</f>
        <v>-22.736562500000002</v>
      </c>
      <c r="C8" s="54">
        <f t="shared" ref="C8:T8" si="6">C4/C12</f>
        <v>-24.691781985918912</v>
      </c>
      <c r="D8" s="54">
        <f t="shared" si="6"/>
        <v>-19.820691914022518</v>
      </c>
      <c r="E8" s="54">
        <f t="shared" si="6"/>
        <v>-31.86176334519573</v>
      </c>
      <c r="F8" s="54">
        <f t="shared" si="6"/>
        <v>-77.256254034357099</v>
      </c>
      <c r="G8" s="54">
        <f t="shared" si="6"/>
        <v>-27.016629456897849</v>
      </c>
      <c r="H8" s="54">
        <f t="shared" si="6"/>
        <v>-31.3636541053157</v>
      </c>
      <c r="I8" s="54">
        <f t="shared" si="6"/>
        <v>-22.031892458723782</v>
      </c>
      <c r="J8" s="54"/>
      <c r="K8" s="54">
        <f t="shared" si="6"/>
        <v>-24.029249744785989</v>
      </c>
      <c r="L8" s="54">
        <f t="shared" si="6"/>
        <v>-14.474182930357689</v>
      </c>
      <c r="M8" s="54">
        <f t="shared" si="6"/>
        <v>-13.925998435656345</v>
      </c>
      <c r="N8" s="54">
        <f t="shared" si="6"/>
        <v>-22.601062475206621</v>
      </c>
      <c r="O8" s="54">
        <f t="shared" si="6"/>
        <v>-20.075878129662318</v>
      </c>
      <c r="P8" s="54">
        <f t="shared" si="6"/>
        <v>-24.537184380698392</v>
      </c>
      <c r="Q8" s="54">
        <f t="shared" si="6"/>
        <v>-29.989892020853592</v>
      </c>
      <c r="R8" s="54">
        <f t="shared" si="6"/>
        <v>-36.654312469932172</v>
      </c>
      <c r="S8" s="54">
        <f t="shared" si="6"/>
        <v>-44.799715241028217</v>
      </c>
      <c r="T8" s="54">
        <f t="shared" si="6"/>
        <v>-54.75520751681227</v>
      </c>
      <c r="U8">
        <f t="shared" ref="U8" si="7">T8*(1+10%)</f>
        <v>-60.2307282684935</v>
      </c>
    </row>
    <row r="9" spans="1:21" x14ac:dyDescent="0.2">
      <c r="A9" t="s">
        <v>254</v>
      </c>
      <c r="B9" s="101">
        <f>Historicals!N46/Historicals!B58</f>
        <v>0.69961438577162194</v>
      </c>
      <c r="C9" s="101">
        <f>Historicals!O46/Historicals!C58</f>
        <v>0.74547234459128731</v>
      </c>
      <c r="D9" s="101">
        <f>Historicals!P46/Historicals!D58</f>
        <v>0.87466752639638912</v>
      </c>
      <c r="E9" s="101">
        <f>Historicals!Q46/Historicals!E58</f>
        <v>1.2967794537301265</v>
      </c>
      <c r="F9" s="101">
        <f>Historicals!R46/Historicals!F58</f>
        <v>1.6235619469026548</v>
      </c>
      <c r="G9" s="101">
        <f>Historicals!S46/Historicals!G58</f>
        <v>2.8909993792675355</v>
      </c>
      <c r="H9" s="101">
        <f>Historicals!T46/Historicals!H58</f>
        <v>1.9560585885486019</v>
      </c>
      <c r="I9" s="101">
        <f>Historicals!U46/Historicals!I58</f>
        <v>1.6386362149074014</v>
      </c>
      <c r="J9" s="101"/>
      <c r="K9" s="101">
        <f>'Three Statements'!J79/'Three Statements'!J39</f>
        <v>2.371569452133599</v>
      </c>
      <c r="L9" s="101">
        <f>'Three Statements'!K79/'Three Statements'!K39</f>
        <v>1.3708408676455579</v>
      </c>
      <c r="M9" s="101">
        <f>'Three Statements'!L79/'Three Statements'!L39</f>
        <v>1.3816325548377046</v>
      </c>
      <c r="N9" s="101">
        <f>'Three Statements'!M79/'Three Statements'!M39</f>
        <v>1.3923803735481508</v>
      </c>
      <c r="O9" s="101">
        <f>140%</f>
        <v>1.4</v>
      </c>
      <c r="P9" s="101">
        <f>O9*(1+10%)</f>
        <v>1.54</v>
      </c>
      <c r="Q9" s="101">
        <f t="shared" ref="Q9:U9" si="8">P9*(1+10%)</f>
        <v>1.6940000000000002</v>
      </c>
      <c r="R9" s="101">
        <f t="shared" si="8"/>
        <v>1.8634000000000004</v>
      </c>
      <c r="S9" s="101">
        <f t="shared" si="8"/>
        <v>2.0497400000000008</v>
      </c>
      <c r="T9" s="101">
        <f t="shared" si="8"/>
        <v>2.2547140000000012</v>
      </c>
      <c r="U9">
        <f t="shared" si="8"/>
        <v>2.4801854000000016</v>
      </c>
    </row>
    <row r="10" spans="1:21" x14ac:dyDescent="0.2">
      <c r="A10" t="s">
        <v>255</v>
      </c>
      <c r="B10" s="101">
        <f>Historicals!O29/(Historicals!O29+Historicals!B58)</f>
        <v>0.36837657818868674</v>
      </c>
      <c r="C10" s="101">
        <f>Historicals!P29/(Historicals!P29+Historicals!C58)</f>
        <v>0.37542036074594926</v>
      </c>
      <c r="D10" s="101">
        <f>Historicals!Q29/(Historicals!Q29+Historicals!D58)</f>
        <v>0.30613500363514345</v>
      </c>
      <c r="E10" s="101">
        <f>Historicals!R29/(Historicals!R29+Historicals!E58)</f>
        <v>0.38102447640676257</v>
      </c>
      <c r="F10" s="101">
        <f>Historicals!S29/(Historicals!S29+Historicals!F58)</f>
        <v>0.55621011291114386</v>
      </c>
      <c r="G10" s="101">
        <f>Historicals!T29/(Historicals!T29+Historicals!G58)</f>
        <v>0.68712371334239664</v>
      </c>
      <c r="H10" s="101">
        <f>Historicals!U29/(Historicals!U29+Historicals!H58)</f>
        <v>0.59920261191687074</v>
      </c>
      <c r="I10" s="101">
        <f>Historicals!V29/(Historicals!V29+Historicals!I58)</f>
        <v>0.56253757407460425</v>
      </c>
      <c r="K10" s="86">
        <f>('Three Statements'!J36+'Three Statements'!J35)/('Three Statements'!J36+'Three Statements'!J35+'Three Statements'!J39)</f>
        <v>0.68726783132366331</v>
      </c>
      <c r="L10" s="86">
        <f>('Three Statements'!K36+'Three Statements'!K35)/('Three Statements'!K36+'Three Statements'!K35+'Three Statements'!K39)</f>
        <v>0.55481550648879963</v>
      </c>
      <c r="M10" s="86">
        <f>('Three Statements'!L36+'Three Statements'!L35)/('Three Statements'!L36+'Three Statements'!L35+'Three Statements'!L39)</f>
        <v>0.55206923093674098</v>
      </c>
      <c r="N10" s="86">
        <f>('Three Statements'!M36+'Three Statements'!M35)/('Three Statements'!M36+'Three Statements'!M35+'Three Statements'!M39)</f>
        <v>0.54933007558625302</v>
      </c>
      <c r="O10" s="86">
        <f>('Three Statements'!N36+'Three Statements'!N35)/('Three Statements'!N36+'Three Statements'!N35+'Three Statements'!N39)</f>
        <v>0.54659816251032212</v>
      </c>
      <c r="P10" s="86">
        <f>O10*(1+10%)</f>
        <v>0.60125797876135434</v>
      </c>
      <c r="Q10" s="86">
        <f t="shared" ref="Q10:U10" si="9">P10*(1+10%)</f>
        <v>0.66138377663748982</v>
      </c>
      <c r="R10" s="86">
        <f t="shared" si="9"/>
        <v>0.7275221543012389</v>
      </c>
      <c r="S10" s="86">
        <f t="shared" si="9"/>
        <v>0.8002743697313629</v>
      </c>
      <c r="T10" s="86">
        <f t="shared" si="9"/>
        <v>0.88030180670449931</v>
      </c>
      <c r="U10">
        <f t="shared" si="9"/>
        <v>0.9683319873749493</v>
      </c>
    </row>
    <row r="11" spans="1:21" x14ac:dyDescent="0.2">
      <c r="A11" t="s">
        <v>256</v>
      </c>
      <c r="B11" s="101">
        <f>Historicals!B12/Historicals!B58</f>
        <v>0.25757456520028332</v>
      </c>
      <c r="C11" s="101">
        <f>Historicals!C12/Historicals!C58</f>
        <v>0.3067384565181922</v>
      </c>
      <c r="D11" s="101">
        <f>Historicals!D12/Historicals!D58</f>
        <v>0.34174256468122832</v>
      </c>
      <c r="E11" s="101">
        <f>Historicals!E12/Historicals!E58</f>
        <v>0.19700366897676314</v>
      </c>
      <c r="F11" s="101">
        <f>Historicals!F12/Historicals!F58</f>
        <v>0.44568584070796458</v>
      </c>
      <c r="G11" s="101">
        <f>Historicals!G12/Historicals!G58</f>
        <v>0.31520794537554314</v>
      </c>
      <c r="H11" s="101">
        <f>Historicals!H12/Historicals!H58</f>
        <v>0.44857836610010182</v>
      </c>
      <c r="I11" s="101">
        <f>Historicals!I12/Historicals!I58</f>
        <v>0.3956547346377855</v>
      </c>
      <c r="K11" s="86">
        <f>'Three Statements'!J14/'Three Statements'!J39</f>
        <v>0.54082933961691848</v>
      </c>
      <c r="L11" s="86">
        <f>'Three Statements'!K14/'Three Statements'!K39</f>
        <v>0.33677981200271012</v>
      </c>
      <c r="M11" s="86">
        <f>'Three Statements'!L14/'Three Statements'!L39</f>
        <v>0.36522528188754522</v>
      </c>
      <c r="N11" s="86">
        <f>'Three Statements'!M14/'Three Statements'!M39</f>
        <v>0.39560681788961483</v>
      </c>
      <c r="O11" s="86">
        <f>'Three Statements'!N14/'Three Statements'!N39</f>
        <v>0.42806270299129734</v>
      </c>
      <c r="P11" s="86">
        <f>O11*(1+10%)</f>
        <v>0.4708689732904271</v>
      </c>
      <c r="Q11" s="86">
        <f t="shared" ref="Q11:U11" si="10">P11*(1+10%)</f>
        <v>0.51795587061946979</v>
      </c>
      <c r="R11" s="86">
        <f t="shared" si="10"/>
        <v>0.56975145768141677</v>
      </c>
      <c r="S11" s="86">
        <f t="shared" si="10"/>
        <v>0.62672660344955855</v>
      </c>
      <c r="T11" s="86">
        <f t="shared" si="10"/>
        <v>0.68939926379451444</v>
      </c>
      <c r="U11">
        <f t="shared" si="10"/>
        <v>0.75833919017396589</v>
      </c>
    </row>
    <row r="12" spans="1:21" x14ac:dyDescent="0.2">
      <c r="A12" t="s">
        <v>276</v>
      </c>
      <c r="B12">
        <f>'Three Statements'!B49+'Three Statements'!B47-Historicals!N52-'Segmental forecast'!B14</f>
        <v>-4480</v>
      </c>
      <c r="C12">
        <f>'Three Statements'!C49+'Three Statements'!C47-Historicals!O52-'Segmental forecast'!C14</f>
        <v>-4119</v>
      </c>
      <c r="D12">
        <f>'Three Statements'!D49+'Three Statements'!D47-Historicals!P52-'Segmental forecast'!D14</f>
        <v>-4885</v>
      </c>
      <c r="E12">
        <f>'Three Statements'!E49+'Three Statements'!E47-Historicals!Q52-'Segmental forecast'!E14</f>
        <v>-3934</v>
      </c>
      <c r="F12">
        <f>'Three Statements'!F49+'Three Statements'!F47-Historicals!R52-'Segmental forecast'!F14</f>
        <v>-1921</v>
      </c>
      <c r="G12">
        <f>'Three Statements'!G49+'Three Statements'!G47-Historicals!S52-'Segmental forecast'!G14</f>
        <v>-6647</v>
      </c>
      <c r="H12">
        <f>'Three Statements'!H49+'Three Statements'!H47-Historicals!T52-'Segmental forecast'!H14</f>
        <v>-8014</v>
      </c>
      <c r="I12">
        <f>'Three Statements'!I49+'Three Statements'!I47-Historicals!U52-'Segmental forecast'!I14</f>
        <v>-8964</v>
      </c>
      <c r="K12">
        <f>'Three Statements'!J49+'Three Statements'!J47-'Segmental forecast'!J14-Historicals!T52</f>
        <v>-8110.84</v>
      </c>
      <c r="L12">
        <f>'Three Statements'!K49+'Three Statements'!K47-'Segmental forecast'!K14-Historicals!U52*(1+10%)</f>
        <v>-10738.916300000003</v>
      </c>
      <c r="M12">
        <f>L12*(1-10%)</f>
        <v>-9665.0246700000025</v>
      </c>
      <c r="N12">
        <f t="shared" ref="N12:T12" si="11">M12*(1-10%)</f>
        <v>-8698.5222030000023</v>
      </c>
      <c r="O12">
        <f t="shared" si="11"/>
        <v>-7828.669982700002</v>
      </c>
      <c r="P12">
        <f t="shared" si="11"/>
        <v>-7045.8029844300017</v>
      </c>
      <c r="Q12">
        <f t="shared" si="11"/>
        <v>-6341.2226859870016</v>
      </c>
      <c r="R12">
        <f t="shared" si="11"/>
        <v>-5707.1004173883011</v>
      </c>
      <c r="S12">
        <f t="shared" si="11"/>
        <v>-5136.390375649471</v>
      </c>
      <c r="T12">
        <f t="shared" si="11"/>
        <v>-4622.7513380845239</v>
      </c>
      <c r="U12">
        <f>A48</f>
        <v>-34785.252442431745</v>
      </c>
    </row>
    <row r="15" spans="1:21" x14ac:dyDescent="0.2">
      <c r="A15" t="s">
        <v>257</v>
      </c>
      <c r="B15" s="3">
        <f>B12*(1-10%)</f>
        <v>-4032</v>
      </c>
      <c r="C15" s="3">
        <f t="shared" ref="C15:T15" si="12">C12*(1-10%)</f>
        <v>-3707.1</v>
      </c>
      <c r="D15" s="3">
        <f t="shared" si="12"/>
        <v>-4396.5</v>
      </c>
      <c r="E15" s="3">
        <f t="shared" si="12"/>
        <v>-3540.6</v>
      </c>
      <c r="F15" s="3">
        <f t="shared" si="12"/>
        <v>-1728.9</v>
      </c>
      <c r="G15" s="3">
        <f t="shared" si="12"/>
        <v>-5982.3</v>
      </c>
      <c r="H15" s="3">
        <f t="shared" si="12"/>
        <v>-7212.6</v>
      </c>
      <c r="I15" s="3">
        <f t="shared" si="12"/>
        <v>-8067.6</v>
      </c>
      <c r="J15" s="116">
        <f>J12*(1-10%)</f>
        <v>0</v>
      </c>
      <c r="K15" s="3">
        <f t="shared" si="12"/>
        <v>-7299.7560000000003</v>
      </c>
      <c r="L15" s="3">
        <f t="shared" si="12"/>
        <v>-9665.0246700000025</v>
      </c>
      <c r="M15" s="3">
        <f t="shared" si="12"/>
        <v>-8698.5222030000023</v>
      </c>
      <c r="N15" s="3">
        <f t="shared" si="12"/>
        <v>-7828.669982700002</v>
      </c>
      <c r="O15" s="3">
        <f t="shared" si="12"/>
        <v>-7045.8029844300017</v>
      </c>
      <c r="P15" s="3">
        <f t="shared" si="12"/>
        <v>-6341.2226859870016</v>
      </c>
      <c r="Q15" s="3">
        <f t="shared" si="12"/>
        <v>-5707.1004173883011</v>
      </c>
      <c r="R15" s="3">
        <f t="shared" si="12"/>
        <v>-5136.390375649471</v>
      </c>
      <c r="S15" s="3">
        <f t="shared" si="12"/>
        <v>-4622.7513380845239</v>
      </c>
      <c r="T15" s="3">
        <f t="shared" si="12"/>
        <v>-4160.4762042760713</v>
      </c>
      <c r="U15" s="108">
        <f>T15*(1+10%)</f>
        <v>-4576.5238247036787</v>
      </c>
    </row>
    <row r="16" spans="1:21" s="123" customFormat="1" x14ac:dyDescent="0.2">
      <c r="A16" s="119" t="s">
        <v>129</v>
      </c>
      <c r="B16" s="120">
        <f>10%</f>
        <v>0.1</v>
      </c>
      <c r="C16" s="120">
        <f>10%</f>
        <v>0.1</v>
      </c>
      <c r="D16" s="120">
        <f>10%</f>
        <v>0.1</v>
      </c>
      <c r="E16" s="120">
        <f>10%</f>
        <v>0.1</v>
      </c>
      <c r="F16" s="120">
        <f>10%</f>
        <v>0.1</v>
      </c>
      <c r="G16" s="120">
        <f>10%</f>
        <v>0.1</v>
      </c>
      <c r="H16" s="120">
        <f>10%</f>
        <v>0.1</v>
      </c>
      <c r="I16" s="120">
        <f>10%</f>
        <v>0.1</v>
      </c>
      <c r="J16" s="121">
        <f>10%</f>
        <v>0.1</v>
      </c>
      <c r="K16" s="120">
        <f>10%</f>
        <v>0.1</v>
      </c>
      <c r="L16" s="120">
        <f>10%</f>
        <v>0.1</v>
      </c>
      <c r="M16" s="120">
        <f>10%</f>
        <v>0.1</v>
      </c>
      <c r="N16" s="120">
        <f>10%</f>
        <v>0.1</v>
      </c>
      <c r="O16" s="120">
        <f>10%</f>
        <v>0.1</v>
      </c>
      <c r="P16" s="120">
        <f>10%</f>
        <v>0.1</v>
      </c>
      <c r="Q16" s="120">
        <f>10%</f>
        <v>0.1</v>
      </c>
      <c r="R16" s="120">
        <f>10%</f>
        <v>0.1</v>
      </c>
      <c r="S16" s="120">
        <f>10%</f>
        <v>0.1</v>
      </c>
      <c r="T16" s="120">
        <f>10%</f>
        <v>0.1</v>
      </c>
      <c r="U16" s="122">
        <f t="shared" ref="U16:U24" si="13">T16*(1+10%)</f>
        <v>0.11000000000000001</v>
      </c>
    </row>
    <row r="17" spans="1:22" x14ac:dyDescent="0.2">
      <c r="A17" t="s">
        <v>281</v>
      </c>
      <c r="B17" s="89">
        <f>B19+B22</f>
        <v>6.1700000000000005E-2</v>
      </c>
      <c r="C17" s="89">
        <f t="shared" ref="C17:I17" si="14">C19+C22</f>
        <v>0.15040000000000001</v>
      </c>
      <c r="D17" s="89">
        <f t="shared" si="14"/>
        <v>0.27790000000000004</v>
      </c>
      <c r="E17" s="89">
        <f t="shared" si="14"/>
        <v>3.3999999999999996E-2</v>
      </c>
      <c r="F17" s="89">
        <f t="shared" si="14"/>
        <v>0.43010000000000009</v>
      </c>
      <c r="G17" s="89">
        <f t="shared" si="14"/>
        <v>0.23450000000000004</v>
      </c>
      <c r="H17" s="89">
        <f t="shared" si="14"/>
        <v>0.37350000000000005</v>
      </c>
      <c r="I17" s="89">
        <f t="shared" si="14"/>
        <v>-7.400000000000001E-2</v>
      </c>
      <c r="J17" s="113" t="s">
        <v>258</v>
      </c>
      <c r="K17" s="85">
        <f>K19+K22</f>
        <v>0.26449400000000001</v>
      </c>
      <c r="L17" s="87">
        <f>L19+L22</f>
        <v>0.23289399999999999</v>
      </c>
      <c r="M17" s="85">
        <f t="shared" ref="M17:T17" si="15">M19+M22</f>
        <v>9.1999999999999998E-2</v>
      </c>
      <c r="N17" s="87">
        <f t="shared" si="15"/>
        <v>9.1999999999999998E-2</v>
      </c>
      <c r="O17" s="85">
        <f t="shared" si="15"/>
        <v>9.1999999999999998E-2</v>
      </c>
      <c r="P17" s="87">
        <f t="shared" si="15"/>
        <v>9.1999999999999998E-2</v>
      </c>
      <c r="Q17" s="85">
        <f t="shared" si="15"/>
        <v>9.1999999999999998E-2</v>
      </c>
      <c r="R17" s="87">
        <f t="shared" si="15"/>
        <v>9.1999999999999998E-2</v>
      </c>
      <c r="S17" s="85">
        <f t="shared" si="15"/>
        <v>9.1999999999999998E-2</v>
      </c>
      <c r="T17" s="87">
        <f t="shared" si="15"/>
        <v>9.1999999999999998E-2</v>
      </c>
      <c r="U17" s="86">
        <f t="shared" si="13"/>
        <v>0.10120000000000001</v>
      </c>
    </row>
    <row r="18" spans="1:22" x14ac:dyDescent="0.2">
      <c r="A18" s="2" t="s">
        <v>279</v>
      </c>
      <c r="B18">
        <f>0.9</f>
        <v>0.9</v>
      </c>
      <c r="C18">
        <f>0.95</f>
        <v>0.95</v>
      </c>
      <c r="D18">
        <f>1.1</f>
        <v>1.1000000000000001</v>
      </c>
      <c r="E18">
        <f>1</f>
        <v>1</v>
      </c>
      <c r="F18">
        <f>1.3</f>
        <v>1.3</v>
      </c>
      <c r="G18">
        <f>1.3</f>
        <v>1.3</v>
      </c>
      <c r="H18">
        <f>1.1</f>
        <v>1.1000000000000001</v>
      </c>
      <c r="I18">
        <f>0.9</f>
        <v>0.9</v>
      </c>
      <c r="J18" s="114" t="s">
        <v>259</v>
      </c>
      <c r="K18">
        <f>0.86</f>
        <v>0.86</v>
      </c>
      <c r="L18">
        <f>0.74</f>
        <v>0.74</v>
      </c>
      <c r="M18" s="63">
        <v>1.1000000000000001</v>
      </c>
      <c r="N18" s="63">
        <v>1.1000000000000001</v>
      </c>
      <c r="O18" s="63">
        <v>1.1000000000000001</v>
      </c>
      <c r="P18" s="63">
        <v>1.1000000000000001</v>
      </c>
      <c r="Q18" s="63">
        <v>1.1000000000000001</v>
      </c>
      <c r="R18" s="63">
        <v>1.1000000000000001</v>
      </c>
      <c r="S18" s="63">
        <v>1.1000000000000001</v>
      </c>
      <c r="T18" s="63">
        <v>1.1000000000000001</v>
      </c>
      <c r="U18" s="118">
        <f t="shared" si="13"/>
        <v>1.2100000000000002</v>
      </c>
    </row>
    <row r="19" spans="1:22" x14ac:dyDescent="0.2">
      <c r="A19" s="2" t="s">
        <v>260</v>
      </c>
      <c r="B19" s="89">
        <f>B20+B18*(B21--B20)</f>
        <v>3.1700000000000006E-2</v>
      </c>
      <c r="C19" s="89">
        <f t="shared" ref="C19:I19" si="16">C20+C18*(C21--C20)</f>
        <v>0.1234</v>
      </c>
      <c r="D19" s="89">
        <f t="shared" si="16"/>
        <v>0.24890000000000001</v>
      </c>
      <c r="E19" s="89">
        <f t="shared" si="16"/>
        <v>-4.0000000000000036E-3</v>
      </c>
      <c r="F19" s="89">
        <f t="shared" si="16"/>
        <v>0.40310000000000007</v>
      </c>
      <c r="G19" s="89">
        <f t="shared" si="16"/>
        <v>0.21950000000000003</v>
      </c>
      <c r="H19" s="89">
        <f t="shared" si="16"/>
        <v>0.33850000000000008</v>
      </c>
      <c r="I19" s="89">
        <f t="shared" si="16"/>
        <v>-0.11400000000000002</v>
      </c>
      <c r="J19" s="114" t="s">
        <v>261</v>
      </c>
      <c r="K19" s="102">
        <f>K20+K18*(K21-K20)</f>
        <v>0.22739399999999999</v>
      </c>
      <c r="L19" s="102">
        <f>L20+L18*(L21-L20)</f>
        <v>0.18289399999999997</v>
      </c>
      <c r="M19" s="102">
        <f>M20+M18*(M21-M20)</f>
        <v>5.2000000000000005E-2</v>
      </c>
      <c r="N19" s="102">
        <f t="shared" ref="N19:T19" si="17">N20+N18*(N21-N20)</f>
        <v>5.2000000000000005E-2</v>
      </c>
      <c r="O19" s="102">
        <f t="shared" si="17"/>
        <v>5.2000000000000005E-2</v>
      </c>
      <c r="P19" s="102">
        <f t="shared" si="17"/>
        <v>5.2000000000000005E-2</v>
      </c>
      <c r="Q19" s="102">
        <f t="shared" si="17"/>
        <v>5.2000000000000005E-2</v>
      </c>
      <c r="R19" s="102">
        <f t="shared" si="17"/>
        <v>5.2000000000000005E-2</v>
      </c>
      <c r="S19" s="102">
        <f t="shared" si="17"/>
        <v>5.2000000000000005E-2</v>
      </c>
      <c r="T19" s="102">
        <f t="shared" si="17"/>
        <v>5.2000000000000005E-2</v>
      </c>
      <c r="U19" s="101">
        <f t="shared" si="13"/>
        <v>5.7200000000000008E-2</v>
      </c>
    </row>
    <row r="20" spans="1:22" x14ac:dyDescent="0.2">
      <c r="A20" s="2" t="s">
        <v>278</v>
      </c>
      <c r="B20" s="86">
        <f>2%</f>
        <v>0.02</v>
      </c>
      <c r="C20" s="86">
        <f>1.7%</f>
        <v>1.7000000000000001E-2</v>
      </c>
      <c r="D20" s="86">
        <f>1.9%</f>
        <v>1.9E-2</v>
      </c>
      <c r="E20" s="86">
        <f>2.8%</f>
        <v>2.7999999999999997E-2</v>
      </c>
      <c r="F20" s="86">
        <f>1.7%</f>
        <v>1.7000000000000001E-2</v>
      </c>
      <c r="G20" s="86">
        <f>0.5%</f>
        <v>5.0000000000000001E-3</v>
      </c>
      <c r="H20" s="86">
        <f>2.5%</f>
        <v>2.5000000000000001E-2</v>
      </c>
      <c r="I20" s="124">
        <f>3%</f>
        <v>0.03</v>
      </c>
      <c r="J20" s="115" t="s">
        <v>262</v>
      </c>
      <c r="K20" s="102">
        <f>2.71%</f>
        <v>2.7099999999999999E-2</v>
      </c>
      <c r="L20" s="102">
        <v>0.04</v>
      </c>
      <c r="M20" s="102">
        <f>3%</f>
        <v>0.03</v>
      </c>
      <c r="N20" s="102">
        <f>3%</f>
        <v>0.03</v>
      </c>
      <c r="O20" s="102">
        <f>3%</f>
        <v>0.03</v>
      </c>
      <c r="P20" s="102">
        <f>3%</f>
        <v>0.03</v>
      </c>
      <c r="Q20" s="102">
        <f>3%</f>
        <v>0.03</v>
      </c>
      <c r="R20" s="102">
        <f>3%</f>
        <v>0.03</v>
      </c>
      <c r="S20" s="102">
        <f>3%</f>
        <v>0.03</v>
      </c>
      <c r="T20" s="102">
        <f>3%</f>
        <v>0.03</v>
      </c>
      <c r="U20" s="101">
        <f t="shared" si="13"/>
        <v>3.3000000000000002E-2</v>
      </c>
    </row>
    <row r="21" spans="1:22" x14ac:dyDescent="0.2">
      <c r="A21" s="2" t="s">
        <v>285</v>
      </c>
      <c r="B21" s="86">
        <f>-0.7%</f>
        <v>-6.9999999999999993E-3</v>
      </c>
      <c r="C21" s="86">
        <f>9.5%</f>
        <v>9.5000000000000001E-2</v>
      </c>
      <c r="D21" s="86">
        <f>19%</f>
        <v>0.19</v>
      </c>
      <c r="E21" s="86">
        <f>-6%</f>
        <v>-0.06</v>
      </c>
      <c r="F21" s="86">
        <f>28%</f>
        <v>0.28000000000000003</v>
      </c>
      <c r="G21" s="86">
        <f>16%</f>
        <v>0.16</v>
      </c>
      <c r="H21" s="86">
        <f>26%</f>
        <v>0.26</v>
      </c>
      <c r="I21" s="124">
        <f>-19%</f>
        <v>-0.19</v>
      </c>
      <c r="J21" s="114" t="s">
        <v>263</v>
      </c>
      <c r="K21" s="102">
        <f>26%</f>
        <v>0.26</v>
      </c>
      <c r="L21" s="110">
        <f>23.31%</f>
        <v>0.23309999999999997</v>
      </c>
      <c r="M21" s="102">
        <f>5%</f>
        <v>0.05</v>
      </c>
      <c r="N21" s="102">
        <f>5%</f>
        <v>0.05</v>
      </c>
      <c r="O21" s="102">
        <f>5%</f>
        <v>0.05</v>
      </c>
      <c r="P21" s="102">
        <f>5%</f>
        <v>0.05</v>
      </c>
      <c r="Q21" s="102">
        <f>5%</f>
        <v>0.05</v>
      </c>
      <c r="R21" s="102">
        <f>5%</f>
        <v>0.05</v>
      </c>
      <c r="S21" s="102">
        <f>5%</f>
        <v>0.05</v>
      </c>
      <c r="T21" s="102">
        <f>5%</f>
        <v>0.05</v>
      </c>
      <c r="U21" s="101">
        <f t="shared" si="13"/>
        <v>5.5000000000000007E-2</v>
      </c>
    </row>
    <row r="22" spans="1:22" x14ac:dyDescent="0.2">
      <c r="A22" s="2" t="s">
        <v>280</v>
      </c>
      <c r="B22" s="89">
        <f>B20+1%</f>
        <v>0.03</v>
      </c>
      <c r="C22" s="89">
        <f t="shared" ref="C22:I22" si="18">C20+1%</f>
        <v>2.7000000000000003E-2</v>
      </c>
      <c r="D22" s="89">
        <f t="shared" si="18"/>
        <v>2.8999999999999998E-2</v>
      </c>
      <c r="E22" s="89">
        <f t="shared" si="18"/>
        <v>3.7999999999999999E-2</v>
      </c>
      <c r="F22" s="89">
        <f t="shared" si="18"/>
        <v>2.7000000000000003E-2</v>
      </c>
      <c r="G22" s="89">
        <f t="shared" si="18"/>
        <v>1.4999999999999999E-2</v>
      </c>
      <c r="H22" s="89">
        <f t="shared" si="18"/>
        <v>3.5000000000000003E-2</v>
      </c>
      <c r="I22" s="89">
        <f t="shared" si="18"/>
        <v>0.04</v>
      </c>
      <c r="J22" s="113" t="s">
        <v>264</v>
      </c>
      <c r="K22" s="102">
        <f>K20+1%</f>
        <v>3.7100000000000001E-2</v>
      </c>
      <c r="L22" s="102">
        <f>5%</f>
        <v>0.05</v>
      </c>
      <c r="M22" s="102">
        <f>M20+1%</f>
        <v>0.04</v>
      </c>
      <c r="N22" s="102">
        <f t="shared" ref="N22:T22" si="19">N20+1%</f>
        <v>0.04</v>
      </c>
      <c r="O22" s="102">
        <f t="shared" si="19"/>
        <v>0.04</v>
      </c>
      <c r="P22" s="102">
        <f t="shared" si="19"/>
        <v>0.04</v>
      </c>
      <c r="Q22" s="102">
        <f t="shared" si="19"/>
        <v>0.04</v>
      </c>
      <c r="R22" s="102">
        <f t="shared" si="19"/>
        <v>0.04</v>
      </c>
      <c r="S22" s="102">
        <f t="shared" si="19"/>
        <v>0.04</v>
      </c>
      <c r="T22" s="102">
        <f t="shared" si="19"/>
        <v>0.04</v>
      </c>
      <c r="U22" s="101">
        <f t="shared" si="13"/>
        <v>4.4000000000000004E-2</v>
      </c>
    </row>
    <row r="23" spans="1:22" x14ac:dyDescent="0.2">
      <c r="A23" s="2" t="s">
        <v>265</v>
      </c>
      <c r="B23" s="85">
        <f>'Three Statements'!B79/'Three Statements'!B31</f>
        <v>0.42311432143353245</v>
      </c>
      <c r="C23" s="85">
        <f>'Three Statements'!C79/'Three Statements'!C31</f>
        <v>0.50719760702935124</v>
      </c>
      <c r="D23" s="85">
        <f>'Three Statements'!D79/'Three Statements'!D31</f>
        <v>0.54705705318371378</v>
      </c>
      <c r="E23" s="85">
        <f>'Three Statements'!E79/'Three Statements'!E31</f>
        <v>0.65126908058217958</v>
      </c>
      <c r="F23" s="85">
        <f>'Three Statements'!F79/'Three Statements'!F31</f>
        <v>0.98186954505207236</v>
      </c>
      <c r="G23" s="85">
        <f>'Three Statements'!G79/'Three Statements'!G31</f>
        <v>0.79679024950545596</v>
      </c>
      <c r="H23" s="85">
        <f>'Three Statements'!H79/'Three Statements'!H31</f>
        <v>0.66348701642819286</v>
      </c>
      <c r="I23" s="85">
        <f>'Three Statements'!I79/'Three Statements'!I31</f>
        <v>1.1891731355869148</v>
      </c>
      <c r="J23" s="113" t="s">
        <v>264</v>
      </c>
      <c r="K23" s="102">
        <f>'Three Statements'!J79/'Three Statements'!J31</f>
        <v>0.5850215736864538</v>
      </c>
      <c r="L23" s="102">
        <f>'Three Statements'!K79/'Three Statements'!K31</f>
        <v>0.58996694996728738</v>
      </c>
      <c r="M23" s="102">
        <f>L23+L23*10%</f>
        <v>0.64896364496401615</v>
      </c>
      <c r="N23" s="102">
        <f t="shared" ref="N23:T23" si="20">M23+M23*10%</f>
        <v>0.71386000946041772</v>
      </c>
      <c r="O23" s="102">
        <f t="shared" si="20"/>
        <v>0.78524601040645947</v>
      </c>
      <c r="P23" s="102">
        <f t="shared" si="20"/>
        <v>0.86377061144710543</v>
      </c>
      <c r="Q23" s="102">
        <f t="shared" si="20"/>
        <v>0.95014767259181598</v>
      </c>
      <c r="R23" s="102">
        <f t="shared" si="20"/>
        <v>1.0451624398509975</v>
      </c>
      <c r="S23" s="102">
        <f t="shared" si="20"/>
        <v>1.1496786838360973</v>
      </c>
      <c r="T23" s="102">
        <f t="shared" si="20"/>
        <v>1.264646552219707</v>
      </c>
      <c r="U23" s="101">
        <f t="shared" si="13"/>
        <v>1.3911112074416778</v>
      </c>
    </row>
    <row r="24" spans="1:22" x14ac:dyDescent="0.2">
      <c r="A24" t="s">
        <v>266</v>
      </c>
      <c r="I24">
        <f>U12/I54</f>
        <v>-22595.836686218252</v>
      </c>
      <c r="J24" s="113" t="s">
        <v>267</v>
      </c>
      <c r="K24" s="3">
        <f>U12/L54</f>
        <v>-23499.670153666983</v>
      </c>
      <c r="L24" s="3">
        <f>U12/M54</f>
        <v>-24439.656959813659</v>
      </c>
      <c r="M24" s="3">
        <f>U12/N54</f>
        <v>-25417.243238206207</v>
      </c>
      <c r="N24" s="3">
        <f>U12/O54</f>
        <v>-26433.932967734461</v>
      </c>
      <c r="O24" s="3">
        <f>U12/P54</f>
        <v>-27491.290286443837</v>
      </c>
      <c r="P24" s="3">
        <f>U12/Q54</f>
        <v>-27491.290286443837</v>
      </c>
      <c r="Q24" s="3">
        <f>U12/R54</f>
        <v>-28590.94189790159</v>
      </c>
      <c r="R24" s="3">
        <f>U12/S54</f>
        <v>-29734.579573817657</v>
      </c>
      <c r="S24" s="3">
        <f>U12/T54</f>
        <v>-30923.962756770368</v>
      </c>
      <c r="T24" s="3">
        <f>U12/U54</f>
        <v>-32160.92126704118</v>
      </c>
      <c r="U24" s="58">
        <f t="shared" si="13"/>
        <v>-35377.013393745299</v>
      </c>
    </row>
    <row r="25" spans="1:22" ht="16" thickBot="1" x14ac:dyDescent="0.25">
      <c r="K25" s="3"/>
      <c r="L25" s="3"/>
      <c r="M25" s="3"/>
      <c r="N25" s="3"/>
      <c r="O25" s="3"/>
    </row>
    <row r="26" spans="1:22" x14ac:dyDescent="0.2">
      <c r="A26" s="103" t="s">
        <v>268</v>
      </c>
      <c r="B26" s="112">
        <f>B15/I54</f>
        <v>-2619.110316063096</v>
      </c>
      <c r="C26" s="112">
        <f>C15/L54</f>
        <v>-2504.3839302541178</v>
      </c>
      <c r="D26" s="112">
        <f>D15/M54</f>
        <v>-3088.9225829723282</v>
      </c>
      <c r="E26" s="112">
        <f>E15/N54</f>
        <v>-2587.0817398300237</v>
      </c>
      <c r="F26" s="112">
        <f>F15/O54</f>
        <v>-1313.8219072450472</v>
      </c>
      <c r="G26" s="112">
        <f>G15/P54</f>
        <v>-4727.8985872754511</v>
      </c>
      <c r="H26" s="112">
        <f>H15/Q54</f>
        <v>-5700.2225482812491</v>
      </c>
      <c r="I26" s="112">
        <f>I15/R54</f>
        <v>-6630.9791264917449</v>
      </c>
      <c r="J26" s="112">
        <f>J15/S54</f>
        <v>0</v>
      </c>
      <c r="K26" s="112">
        <f>K15/L54</f>
        <v>-4931.4535947711365</v>
      </c>
      <c r="L26" s="112">
        <f>L15/L54</f>
        <v>-6529.3443578693896</v>
      </c>
      <c r="M26" s="112">
        <f t="shared" ref="M26:O26" si="21">M15/N54</f>
        <v>-6355.9249717243792</v>
      </c>
      <c r="N26" s="112">
        <f t="shared" ref="N26:O26" si="22">N15/N54</f>
        <v>-5720.3324745519412</v>
      </c>
      <c r="O26" s="112">
        <f t="shared" ref="O26:P26" si="23">O15/P54</f>
        <v>-5568.4004440278422</v>
      </c>
      <c r="P26" s="112">
        <f t="shared" si="23"/>
        <v>-5011.5603996250575</v>
      </c>
      <c r="Q26" s="112">
        <f t="shared" ref="Q26:U26" si="24">Q15/Q54</f>
        <v>-4510.4043596625515</v>
      </c>
      <c r="R26" s="112">
        <f t="shared" ref="R26:U26" si="25">R15/S54</f>
        <v>-4390.6080198699146</v>
      </c>
      <c r="S26" s="112">
        <f t="shared" ref="S26:U26" si="26">S15/S54</f>
        <v>-3951.5472178829236</v>
      </c>
      <c r="T26" s="112">
        <f t="shared" ref="T26:U26" si="27">T15/U54</f>
        <v>-3846.594123775953</v>
      </c>
      <c r="U26" s="112">
        <f>U15/U54</f>
        <v>-4231.2535361535483</v>
      </c>
    </row>
    <row r="27" spans="1:22" x14ac:dyDescent="0.2">
      <c r="A27" s="104" t="s">
        <v>269</v>
      </c>
      <c r="B27" s="105">
        <f>U12/I54</f>
        <v>-22595.836686218252</v>
      </c>
      <c r="C27" s="105">
        <f>U12/L54</f>
        <v>-23499.670153666983</v>
      </c>
      <c r="D27" s="105">
        <f>U12/M54</f>
        <v>-24439.656959813659</v>
      </c>
      <c r="E27" s="105">
        <f>U12/N54</f>
        <v>-25417.243238206207</v>
      </c>
      <c r="F27" s="105">
        <f>U12/O54</f>
        <v>-26433.932967734461</v>
      </c>
      <c r="G27" s="105">
        <f>U12/P54</f>
        <v>-27491.290286443837</v>
      </c>
      <c r="H27" s="105">
        <f>U12/Q54</f>
        <v>-27491.290286443837</v>
      </c>
      <c r="I27" s="105">
        <f>U12/R54</f>
        <v>-28590.94189790159</v>
      </c>
      <c r="K27" s="3">
        <f>U12/L54</f>
        <v>-23499.670153666983</v>
      </c>
      <c r="L27" s="3">
        <f>U12/L54</f>
        <v>-23499.670153666983</v>
      </c>
      <c r="M27" s="3">
        <f>U12/M54</f>
        <v>-24439.656959813659</v>
      </c>
      <c r="N27" s="3">
        <f>U12/N54</f>
        <v>-25417.243238206207</v>
      </c>
      <c r="O27" s="3">
        <f>U12/O54</f>
        <v>-26433.932967734461</v>
      </c>
      <c r="P27" s="3">
        <f>U12/P54</f>
        <v>-27491.290286443837</v>
      </c>
      <c r="Q27" s="3">
        <f>U12/Q54</f>
        <v>-27491.290286443837</v>
      </c>
      <c r="R27" s="3">
        <f>U12/R54</f>
        <v>-28590.94189790159</v>
      </c>
      <c r="S27" s="3">
        <f>U12/S54</f>
        <v>-29734.579573817657</v>
      </c>
      <c r="T27" s="3">
        <f>U12/T54</f>
        <v>-30923.962756770368</v>
      </c>
      <c r="U27" s="3">
        <f>U12/U54</f>
        <v>-32160.92126704118</v>
      </c>
    </row>
    <row r="28" spans="1:22" x14ac:dyDescent="0.2">
      <c r="A28" s="104" t="s">
        <v>270</v>
      </c>
      <c r="B28" s="111">
        <f>B4</f>
        <v>101859.8</v>
      </c>
      <c r="C28" s="111">
        <f t="shared" ref="C28:U28" si="28">C4</f>
        <v>101705.45</v>
      </c>
      <c r="D28" s="111">
        <f t="shared" si="28"/>
        <v>96824.08</v>
      </c>
      <c r="E28" s="111">
        <f t="shared" si="28"/>
        <v>125344.177</v>
      </c>
      <c r="F28" s="111">
        <f t="shared" si="28"/>
        <v>148409.264</v>
      </c>
      <c r="G28" s="111">
        <f t="shared" si="28"/>
        <v>179579.53599999999</v>
      </c>
      <c r="H28" s="111">
        <f t="shared" si="28"/>
        <v>251348.32400000002</v>
      </c>
      <c r="I28" s="111">
        <f t="shared" si="28"/>
        <v>197493.88399999999</v>
      </c>
      <c r="J28" s="111"/>
      <c r="K28" s="111">
        <f t="shared" si="28"/>
        <v>194897.4</v>
      </c>
      <c r="L28" s="111">
        <f t="shared" si="28"/>
        <v>155437.03899999999</v>
      </c>
      <c r="M28" s="111">
        <f t="shared" si="28"/>
        <v>134595.11843500001</v>
      </c>
      <c r="N28" s="111">
        <f t="shared" si="28"/>
        <v>196595.84375197499</v>
      </c>
      <c r="O28" s="111">
        <f t="shared" si="28"/>
        <v>157167.42449003085</v>
      </c>
      <c r="P28" s="111">
        <f t="shared" si="28"/>
        <v>172884.16693903395</v>
      </c>
      <c r="Q28" s="111">
        <f t="shared" si="28"/>
        <v>190172.58363293737</v>
      </c>
      <c r="R28" s="111">
        <f t="shared" si="28"/>
        <v>209189.84199623112</v>
      </c>
      <c r="S28" s="111">
        <f t="shared" si="28"/>
        <v>230108.82619585426</v>
      </c>
      <c r="T28" s="111">
        <f t="shared" si="28"/>
        <v>253119.70881543969</v>
      </c>
      <c r="U28" s="111">
        <f t="shared" si="28"/>
        <v>278431.67969698366</v>
      </c>
    </row>
    <row r="29" spans="1:22" x14ac:dyDescent="0.2">
      <c r="A29" s="104" t="s">
        <v>271</v>
      </c>
      <c r="B29" s="105">
        <f>Historicals!B46+Historicals!B40+Historicals!B39</f>
        <v>1260</v>
      </c>
      <c r="C29" s="105">
        <f>Historicals!C46+Historicals!C40+Historicals!C39</f>
        <v>2055</v>
      </c>
      <c r="D29" s="105">
        <f>Historicals!D46+Historicals!D40+Historicals!D39</f>
        <v>331</v>
      </c>
      <c r="E29" s="105">
        <f>Historicals!E46+Historicals!E40+Historicals!E39</f>
        <v>342</v>
      </c>
      <c r="F29" s="105">
        <f>Historicals!F46+Historicals!F40+Historicals!F39</f>
        <v>3479</v>
      </c>
      <c r="G29" s="105">
        <f>Historicals!G46+Historicals!G40+Historicals!G39</f>
        <v>9657</v>
      </c>
      <c r="H29" s="105">
        <f>Historicals!H46+Historicals!H40+Historicals!H39</f>
        <v>9415</v>
      </c>
      <c r="I29" s="105">
        <f>Historicals!I46+Historicals!I40+Historicals!I39</f>
        <v>9430</v>
      </c>
      <c r="J29" s="105"/>
      <c r="K29" s="105">
        <f>7500</f>
        <v>7500</v>
      </c>
      <c r="L29" s="105">
        <f>8800</f>
        <v>8800</v>
      </c>
      <c r="M29" s="105">
        <f>9200</f>
        <v>9200</v>
      </c>
      <c r="N29" s="105">
        <f>Historicals!N46+Historicals!N40+Historicals!N39</f>
        <v>8890</v>
      </c>
      <c r="O29" s="105">
        <f>Historicals!O46+Historicals!O40+Historicals!O39</f>
        <v>9138</v>
      </c>
      <c r="P29" s="105">
        <f>Historicals!P46+Historicals!P40+Historicals!P39</f>
        <v>10852</v>
      </c>
      <c r="Q29" s="105">
        <f>Historicals!Q46+Historicals!Q40+Historicals!Q39</f>
        <v>12724</v>
      </c>
      <c r="R29" s="105">
        <f>Historicals!R46+Historicals!R40+Historicals!R39</f>
        <v>14677</v>
      </c>
      <c r="S29" s="105">
        <f>Historicals!S46+Historicals!S40+Historicals!S39</f>
        <v>23287</v>
      </c>
      <c r="T29" s="105">
        <f>Historicals!T46+Historicals!T40+Historicals!T39</f>
        <v>24973</v>
      </c>
      <c r="U29" s="105">
        <f>Historicals!U46+Historicals!U40+Historicals!U39</f>
        <v>25040</v>
      </c>
    </row>
    <row r="30" spans="1:22" ht="16" thickBot="1" x14ac:dyDescent="0.25">
      <c r="A30" s="104" t="s">
        <v>272</v>
      </c>
      <c r="B30" s="107">
        <f>B3*Historicals!B17</f>
        <v>85735.2</v>
      </c>
      <c r="C30" s="107">
        <f>C3*Historicals!C17</f>
        <v>94980.525999999998</v>
      </c>
      <c r="D30" s="107">
        <f>D3*Historicals!D17</f>
        <v>93234.672000000006</v>
      </c>
      <c r="E30" s="107">
        <f>E3*Historicals!E17</f>
        <v>120924.386</v>
      </c>
      <c r="F30" s="107">
        <f>F3*Historicals!F17</f>
        <v>138160.56200000001</v>
      </c>
      <c r="G30" s="107">
        <f>G3*Historicals!G17</f>
        <v>166729.24799999999</v>
      </c>
      <c r="H30" s="107">
        <f>H3*Historicals!H17</f>
        <v>236673.58000000002</v>
      </c>
      <c r="I30" s="107">
        <f>I3*Historicals!I17</f>
        <v>182714.524</v>
      </c>
      <c r="J30" s="107"/>
      <c r="K30" s="107">
        <f>K3*K17</f>
        <v>29.543979800000002</v>
      </c>
      <c r="L30" s="107">
        <f t="shared" ref="L30:U30" si="29">L3*L17</f>
        <v>20.18958086</v>
      </c>
      <c r="M30" s="107">
        <f t="shared" si="29"/>
        <v>6.7445200000000005</v>
      </c>
      <c r="N30" s="107">
        <f t="shared" si="29"/>
        <v>10.276400000000001</v>
      </c>
      <c r="O30" s="107">
        <f t="shared" si="29"/>
        <v>7.9754799999999992</v>
      </c>
      <c r="P30" s="107">
        <f t="shared" si="29"/>
        <v>8.773028</v>
      </c>
      <c r="Q30" s="107">
        <f t="shared" si="29"/>
        <v>9.6503308000000025</v>
      </c>
      <c r="R30" s="107">
        <f t="shared" si="29"/>
        <v>10.615363880000004</v>
      </c>
      <c r="S30" s="107">
        <f t="shared" si="29"/>
        <v>11.676900268000004</v>
      </c>
      <c r="T30" s="107">
        <f t="shared" si="29"/>
        <v>12.844590294800007</v>
      </c>
      <c r="U30" s="107">
        <f t="shared" si="29"/>
        <v>15.54195425670801</v>
      </c>
      <c r="V30" s="107"/>
    </row>
    <row r="31" spans="1:22" ht="16" thickBot="1" x14ac:dyDescent="0.25">
      <c r="A31" s="106" t="s">
        <v>273</v>
      </c>
      <c r="B31" s="58">
        <f>B4-Historicals!O29/Historicals!B18</f>
        <v>101855.60825791856</v>
      </c>
      <c r="C31" s="58">
        <f>C4-Historicals!P29/Historicals!C18</f>
        <v>101701.22159253946</v>
      </c>
      <c r="D31" s="58">
        <f>D4-Historicals!Q29/Historicals!D18</f>
        <v>96820.844775413716</v>
      </c>
      <c r="E31" s="58">
        <f>E4-Historicals!R29/Historicals!E18</f>
        <v>125340.53647200289</v>
      </c>
      <c r="F31" s="58">
        <f>F4-Historicals!S29/Historicals!F18</f>
        <v>148402.26325852695</v>
      </c>
      <c r="G31" s="58">
        <f>G4-Historicals!T29/Historicals!G18</f>
        <v>179568.42139834128</v>
      </c>
      <c r="H31" s="58">
        <f>H4-Historicals!U29/Historicals!H18</f>
        <v>251336.46430073321</v>
      </c>
      <c r="I31" s="58">
        <f>I4-Historicals!V29/Historicals!I18</f>
        <v>197481.68509262477</v>
      </c>
      <c r="K31" s="108">
        <f>K4-Historicals!Q29/Historicals!I18</f>
        <v>194894.00168860194</v>
      </c>
      <c r="L31" s="108">
        <f>L4-Historicals!R29/Historicals!I18</f>
        <v>155433.28931040477</v>
      </c>
      <c r="M31" s="108">
        <f>M4-Historicals!R29/Historicals!I18</f>
        <v>134591.36874540479</v>
      </c>
      <c r="N31" s="126">
        <f>M31*(1+10%)</f>
        <v>148050.5056199453</v>
      </c>
      <c r="O31" s="126">
        <f t="shared" ref="O31:U31" si="30">N31*(1+10%)</f>
        <v>162855.55618193984</v>
      </c>
      <c r="P31" s="126">
        <f t="shared" si="30"/>
        <v>179141.11180013383</v>
      </c>
      <c r="Q31" s="126">
        <f t="shared" si="30"/>
        <v>197055.22298014723</v>
      </c>
      <c r="R31" s="126">
        <f t="shared" si="30"/>
        <v>216760.74527816198</v>
      </c>
      <c r="S31" s="126">
        <f t="shared" si="30"/>
        <v>238436.81980597819</v>
      </c>
      <c r="T31" s="126">
        <f t="shared" si="30"/>
        <v>262280.501786576</v>
      </c>
      <c r="U31" s="126">
        <f t="shared" si="30"/>
        <v>288508.55196523364</v>
      </c>
      <c r="V31" s="108"/>
    </row>
    <row r="37" spans="1:5" x14ac:dyDescent="0.2">
      <c r="A37" t="s">
        <v>282</v>
      </c>
    </row>
    <row r="38" spans="1:5" x14ac:dyDescent="0.2">
      <c r="A38">
        <v>2023</v>
      </c>
      <c r="B38">
        <v>2024</v>
      </c>
      <c r="C38">
        <v>2025</v>
      </c>
      <c r="D38">
        <v>2026</v>
      </c>
      <c r="E38">
        <v>2027</v>
      </c>
    </row>
    <row r="39" spans="1:5" x14ac:dyDescent="0.2">
      <c r="A39" s="85">
        <v>0.1068236973590293</v>
      </c>
      <c r="B39" s="85">
        <v>0.10589539292946237</v>
      </c>
      <c r="C39" s="85">
        <v>0.10546414949491023</v>
      </c>
      <c r="D39" s="85">
        <v>0.10506642683513712</v>
      </c>
      <c r="E39" s="85">
        <v>0.10469934420221993</v>
      </c>
    </row>
    <row r="41" spans="1:5" x14ac:dyDescent="0.2">
      <c r="A41">
        <v>2028</v>
      </c>
      <c r="B41">
        <v>2029</v>
      </c>
      <c r="C41">
        <v>2030</v>
      </c>
      <c r="D41">
        <v>2031</v>
      </c>
      <c r="E41">
        <v>2032</v>
      </c>
    </row>
    <row r="42" spans="1:5" x14ac:dyDescent="0.2">
      <c r="A42" s="85">
        <v>0.1</v>
      </c>
      <c r="B42" s="85">
        <v>0.1</v>
      </c>
      <c r="C42" s="85">
        <v>0.1</v>
      </c>
      <c r="D42" s="85">
        <v>0.1</v>
      </c>
      <c r="E42" s="85">
        <v>0.1</v>
      </c>
    </row>
    <row r="47" spans="1:5" x14ac:dyDescent="0.2">
      <c r="A47" t="s">
        <v>283</v>
      </c>
    </row>
    <row r="48" spans="1:5" x14ac:dyDescent="0.2">
      <c r="A48">
        <f>T12/(L17-10%)</f>
        <v>-34785.252442431745</v>
      </c>
    </row>
    <row r="52" spans="1:21" x14ac:dyDescent="0.2">
      <c r="A52" t="s">
        <v>284</v>
      </c>
      <c r="I52">
        <v>2022</v>
      </c>
      <c r="L52">
        <v>2023</v>
      </c>
      <c r="M52">
        <v>2024</v>
      </c>
      <c r="N52">
        <v>2025</v>
      </c>
      <c r="O52">
        <v>2026</v>
      </c>
      <c r="P52">
        <v>2027</v>
      </c>
      <c r="Q52">
        <v>2028</v>
      </c>
      <c r="R52">
        <v>2029</v>
      </c>
      <c r="S52">
        <v>2030</v>
      </c>
      <c r="T52">
        <v>2031</v>
      </c>
      <c r="U52">
        <v>2032</v>
      </c>
    </row>
    <row r="53" spans="1:21" x14ac:dyDescent="0.2">
      <c r="I53">
        <f>(1+4%)</f>
        <v>1.04</v>
      </c>
      <c r="L53">
        <f t="shared" ref="L53:U53" si="31">(1+4%)</f>
        <v>1.04</v>
      </c>
      <c r="M53">
        <f t="shared" si="31"/>
        <v>1.04</v>
      </c>
      <c r="N53">
        <f t="shared" si="31"/>
        <v>1.04</v>
      </c>
      <c r="O53">
        <f t="shared" si="31"/>
        <v>1.04</v>
      </c>
      <c r="P53">
        <f t="shared" si="31"/>
        <v>1.04</v>
      </c>
      <c r="Q53">
        <f t="shared" si="31"/>
        <v>1.04</v>
      </c>
      <c r="R53">
        <f t="shared" si="31"/>
        <v>1.04</v>
      </c>
      <c r="S53">
        <f t="shared" si="31"/>
        <v>1.04</v>
      </c>
      <c r="T53">
        <f t="shared" si="31"/>
        <v>1.04</v>
      </c>
      <c r="U53">
        <f t="shared" si="31"/>
        <v>1.04</v>
      </c>
    </row>
    <row r="54" spans="1:21" x14ac:dyDescent="0.2">
      <c r="I54">
        <f>POWER(I53,11)</f>
        <v>1.5394540563150783</v>
      </c>
      <c r="L54">
        <f>POWER(L53,10)</f>
        <v>1.4802442849183446</v>
      </c>
      <c r="M54">
        <f>POWER(M53,9)</f>
        <v>1.4233118124214852</v>
      </c>
      <c r="N54">
        <f>POWER(N53,8)</f>
        <v>1.3685690504052741</v>
      </c>
      <c r="O54">
        <f>POWER(O53,7)</f>
        <v>1.3159317792358403</v>
      </c>
      <c r="P54">
        <f>POWER(P53,6)</f>
        <v>1.2653190184960004</v>
      </c>
      <c r="Q54">
        <f t="shared" ref="Q54" si="32">POWER(Q53,6)</f>
        <v>1.2653190184960004</v>
      </c>
      <c r="R54">
        <f>POWER(R53,5)</f>
        <v>1.2166529024000003</v>
      </c>
      <c r="S54">
        <f>POWER(S53,4)</f>
        <v>1.1698585600000002</v>
      </c>
      <c r="T54">
        <f>POWER(T53,3)</f>
        <v>1.1248640000000001</v>
      </c>
      <c r="U54">
        <f>POWER(U53,2)</f>
        <v>1.0816000000000001</v>
      </c>
    </row>
    <row r="59" spans="1:21" x14ac:dyDescent="0.2">
      <c r="A59" s="125"/>
      <c r="B59" s="125"/>
    </row>
    <row r="60" spans="1:21" x14ac:dyDescent="0.2">
      <c r="A60" s="125"/>
      <c r="B60" s="125"/>
    </row>
    <row r="61" spans="1:21" x14ac:dyDescent="0.2">
      <c r="A61" s="125"/>
      <c r="B61" s="125"/>
    </row>
    <row r="62" spans="1:21" x14ac:dyDescent="0.2">
      <c r="A62" s="125" t="s">
        <v>291</v>
      </c>
      <c r="B62" s="125"/>
    </row>
    <row r="63" spans="1:21" x14ac:dyDescent="0.2">
      <c r="A63" s="125" t="s">
        <v>286</v>
      </c>
      <c r="B63" s="125"/>
    </row>
    <row r="64" spans="1:21" x14ac:dyDescent="0.2">
      <c r="A64" s="125" t="s">
        <v>287</v>
      </c>
      <c r="B64" s="125"/>
    </row>
    <row r="65" spans="1:2" x14ac:dyDescent="0.2">
      <c r="A65" s="125" t="s">
        <v>288</v>
      </c>
      <c r="B65" s="125"/>
    </row>
    <row r="66" spans="1:2" x14ac:dyDescent="0.2">
      <c r="A66" s="125" t="s">
        <v>289</v>
      </c>
      <c r="B66" s="125"/>
    </row>
    <row r="67" spans="1:2" x14ac:dyDescent="0.2">
      <c r="A67" s="125" t="s">
        <v>290</v>
      </c>
      <c r="B67" s="125"/>
    </row>
  </sheetData>
  <hyperlinks>
    <hyperlink ref="J20" r:id="rId1" xr:uid="{03C8862F-DA67-614C-BC4E-3C77AF960A0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Three Statements</vt:lpstr>
      <vt:lpstr>Instuction task15</vt:lpstr>
      <vt:lpstr>Schedules task15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Petros Leras</cp:lastModifiedBy>
  <dcterms:created xsi:type="dcterms:W3CDTF">2020-05-20T17:26:08Z</dcterms:created>
  <dcterms:modified xsi:type="dcterms:W3CDTF">2025-01-11T20:34:39Z</dcterms:modified>
</cp:coreProperties>
</file>