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Quill Capital Partners\TASK 15\"/>
    </mc:Choice>
  </mc:AlternateContent>
  <xr:revisionPtr revIDLastSave="0" documentId="13_ncr:1_{F4CBEF9B-E747-4219-8742-1F0E49F5427F}" xr6:coauthVersionLast="47" xr6:coauthVersionMax="47" xr10:uidLastSave="{00000000-0000-0000-0000-000000000000}"/>
  <bookViews>
    <workbookView xWindow="43080" yWindow="5100" windowWidth="29040" windowHeight="15720" activeTab="2" xr2:uid="{00000000-000D-0000-FFFF-FFFF00000000}"/>
  </bookViews>
  <sheets>
    <sheet name="Instructions" sheetId="2" r:id="rId1"/>
    <sheet name="Historicals" sheetId="9" r:id="rId2"/>
    <sheet name="Schedul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8" l="1"/>
  <c r="B4" i="8" s="1"/>
  <c r="F40" i="8"/>
  <c r="G40" i="8"/>
  <c r="H40" i="8"/>
  <c r="I40" i="8"/>
  <c r="I51" i="8" s="1"/>
  <c r="B40" i="8"/>
  <c r="C40" i="8"/>
  <c r="D40" i="8"/>
  <c r="D50" i="8" s="1"/>
  <c r="D57" i="8" s="1"/>
  <c r="D49" i="8"/>
  <c r="D56" i="8" s="1"/>
  <c r="E40" i="8"/>
  <c r="E51" i="8"/>
  <c r="E58" i="8" s="1"/>
  <c r="F51" i="8"/>
  <c r="E43" i="8"/>
  <c r="E23" i="8"/>
  <c r="C19" i="8"/>
  <c r="D19" i="8"/>
  <c r="E19" i="8"/>
  <c r="F19" i="8"/>
  <c r="G19" i="8"/>
  <c r="H19" i="8"/>
  <c r="I19" i="8"/>
  <c r="G57" i="8"/>
  <c r="C58" i="8"/>
  <c r="B56" i="8"/>
  <c r="C49" i="8"/>
  <c r="C56" i="8" s="1"/>
  <c r="E49" i="8"/>
  <c r="E56" i="8" s="1"/>
  <c r="F49" i="8"/>
  <c r="F56" i="8" s="1"/>
  <c r="G49" i="8"/>
  <c r="G56" i="8" s="1"/>
  <c r="H49" i="8"/>
  <c r="C50" i="8"/>
  <c r="E50" i="8"/>
  <c r="F50" i="8"/>
  <c r="F57" i="8" s="1"/>
  <c r="G50" i="8"/>
  <c r="H50" i="8"/>
  <c r="H57" i="8" s="1"/>
  <c r="C51" i="8"/>
  <c r="D51" i="8"/>
  <c r="D58" i="8" s="1"/>
  <c r="G51" i="8"/>
  <c r="H51" i="8"/>
  <c r="C52" i="8"/>
  <c r="C59" i="8" s="1"/>
  <c r="D52" i="8"/>
  <c r="D59" i="8" s="1"/>
  <c r="E52" i="8"/>
  <c r="F52" i="8"/>
  <c r="F59" i="8" s="1"/>
  <c r="G52" i="8"/>
  <c r="G59" i="8" s="1"/>
  <c r="H52" i="8"/>
  <c r="H59" i="8" s="1"/>
  <c r="C53" i="8"/>
  <c r="C26" i="8" s="1"/>
  <c r="D53" i="8"/>
  <c r="D26" i="8" s="1"/>
  <c r="D64" i="8" s="1"/>
  <c r="D27" i="8" s="1"/>
  <c r="E53" i="8"/>
  <c r="E26" i="8" s="1"/>
  <c r="E64" i="8" s="1"/>
  <c r="E27" i="8" s="1"/>
  <c r="G53" i="8"/>
  <c r="H53" i="8"/>
  <c r="B53" i="8"/>
  <c r="B60" i="8" s="1"/>
  <c r="B52" i="8"/>
  <c r="B59" i="8" s="1"/>
  <c r="B51" i="8"/>
  <c r="B58" i="8" s="1"/>
  <c r="B50" i="8"/>
  <c r="B57" i="8" s="1"/>
  <c r="B49" i="8"/>
  <c r="C29" i="8"/>
  <c r="D29" i="8"/>
  <c r="E29" i="8"/>
  <c r="F29" i="8"/>
  <c r="G29" i="8"/>
  <c r="H29" i="8"/>
  <c r="I29" i="8"/>
  <c r="C22" i="8"/>
  <c r="C17" i="8" s="1"/>
  <c r="C57" i="8" s="1"/>
  <c r="D22" i="8"/>
  <c r="E22" i="8"/>
  <c r="F22" i="8"/>
  <c r="G22" i="8"/>
  <c r="H22" i="8"/>
  <c r="I22" i="8"/>
  <c r="C23" i="8"/>
  <c r="D23" i="8"/>
  <c r="F23" i="8"/>
  <c r="G23" i="8"/>
  <c r="H23" i="8"/>
  <c r="I23" i="8"/>
  <c r="D17" i="8"/>
  <c r="E17" i="8"/>
  <c r="F17" i="8"/>
  <c r="G17" i="8"/>
  <c r="H17" i="8"/>
  <c r="H56" i="8" s="1"/>
  <c r="I17" i="8"/>
  <c r="B29" i="8"/>
  <c r="C44" i="8"/>
  <c r="D44" i="8"/>
  <c r="E44" i="8"/>
  <c r="F44" i="8"/>
  <c r="G44" i="8"/>
  <c r="H44" i="8"/>
  <c r="I44" i="8"/>
  <c r="B44" i="8"/>
  <c r="C42" i="8"/>
  <c r="D42" i="8"/>
  <c r="E42" i="8"/>
  <c r="F42" i="8"/>
  <c r="G42" i="8"/>
  <c r="H42" i="8"/>
  <c r="I42" i="8"/>
  <c r="C43" i="8"/>
  <c r="D43" i="8"/>
  <c r="F43" i="8"/>
  <c r="G43" i="8"/>
  <c r="H43" i="8"/>
  <c r="I43" i="8"/>
  <c r="B43" i="8"/>
  <c r="B22" i="8" s="1"/>
  <c r="B42" i="8"/>
  <c r="B19" i="8"/>
  <c r="C11" i="8"/>
  <c r="D11" i="8"/>
  <c r="E11" i="8"/>
  <c r="F11" i="8"/>
  <c r="G11" i="8"/>
  <c r="H11" i="8"/>
  <c r="I11" i="8"/>
  <c r="B11" i="8"/>
  <c r="G10" i="8"/>
  <c r="D9" i="8"/>
  <c r="H9" i="8"/>
  <c r="C39" i="8"/>
  <c r="D39" i="8"/>
  <c r="E39" i="8"/>
  <c r="F39" i="8"/>
  <c r="G39" i="8"/>
  <c r="H39" i="8"/>
  <c r="I39" i="8"/>
  <c r="B39" i="8"/>
  <c r="E6" i="8"/>
  <c r="F6" i="8"/>
  <c r="G6" i="8"/>
  <c r="H6" i="8"/>
  <c r="I6" i="8"/>
  <c r="C38" i="8"/>
  <c r="C6" i="8" s="1"/>
  <c r="D38" i="8"/>
  <c r="D6" i="8" s="1"/>
  <c r="E38" i="8"/>
  <c r="F38" i="8"/>
  <c r="G38" i="8"/>
  <c r="H38" i="8"/>
  <c r="I38" i="8"/>
  <c r="B38" i="8"/>
  <c r="B6" i="8" s="1"/>
  <c r="C5" i="8"/>
  <c r="D5" i="8"/>
  <c r="E5" i="8"/>
  <c r="F5" i="8"/>
  <c r="G5" i="8"/>
  <c r="H5" i="8"/>
  <c r="I5" i="8"/>
  <c r="B5" i="8"/>
  <c r="C36" i="8"/>
  <c r="D36" i="8"/>
  <c r="E36" i="8"/>
  <c r="F36" i="8"/>
  <c r="G36" i="8"/>
  <c r="G4" i="8" s="1"/>
  <c r="H36" i="8"/>
  <c r="H4" i="8" s="1"/>
  <c r="H8" i="8" s="1"/>
  <c r="I36" i="8"/>
  <c r="C37" i="8"/>
  <c r="C10" i="8" s="1"/>
  <c r="D37" i="8"/>
  <c r="D10" i="8" s="1"/>
  <c r="E37" i="8"/>
  <c r="E9" i="8" s="1"/>
  <c r="F37" i="8"/>
  <c r="F10" i="8" s="1"/>
  <c r="G37" i="8"/>
  <c r="G9" i="8" s="1"/>
  <c r="H37" i="8"/>
  <c r="H10" i="8" s="1"/>
  <c r="I37" i="8"/>
  <c r="I10" i="8" s="1"/>
  <c r="B37" i="8"/>
  <c r="B23" i="8" s="1"/>
  <c r="H206" i="9"/>
  <c r="G206" i="9"/>
  <c r="F206" i="9"/>
  <c r="E206" i="9"/>
  <c r="D206" i="9"/>
  <c r="C206" i="9"/>
  <c r="H205" i="9"/>
  <c r="G205" i="9"/>
  <c r="F205" i="9"/>
  <c r="E205" i="9"/>
  <c r="D205" i="9"/>
  <c r="C205" i="9"/>
  <c r="H204" i="9"/>
  <c r="G204" i="9"/>
  <c r="F204" i="9"/>
  <c r="E204" i="9"/>
  <c r="D204" i="9"/>
  <c r="C204" i="9"/>
  <c r="H203" i="9"/>
  <c r="G203" i="9"/>
  <c r="F203" i="9"/>
  <c r="E203" i="9"/>
  <c r="D203" i="9"/>
  <c r="C203" i="9"/>
  <c r="H202" i="9"/>
  <c r="G202" i="9"/>
  <c r="F202" i="9"/>
  <c r="E202" i="9"/>
  <c r="D202" i="9"/>
  <c r="C202" i="9"/>
  <c r="H201" i="9"/>
  <c r="G201" i="9"/>
  <c r="F201" i="9"/>
  <c r="E201" i="9"/>
  <c r="D201" i="9"/>
  <c r="C201" i="9"/>
  <c r="H199" i="9"/>
  <c r="G199" i="9"/>
  <c r="F199" i="9"/>
  <c r="E199" i="9"/>
  <c r="D199" i="9"/>
  <c r="H198" i="9"/>
  <c r="G198" i="9"/>
  <c r="F198" i="9"/>
  <c r="E198" i="9"/>
  <c r="D198" i="9"/>
  <c r="C198" i="9"/>
  <c r="H197" i="9"/>
  <c r="G197" i="9"/>
  <c r="F197" i="9"/>
  <c r="E197" i="9"/>
  <c r="H196" i="9"/>
  <c r="G196" i="9"/>
  <c r="F196" i="9"/>
  <c r="E196" i="9"/>
  <c r="D196" i="9"/>
  <c r="C196" i="9"/>
  <c r="H195" i="9"/>
  <c r="H194" i="9"/>
  <c r="G194" i="9"/>
  <c r="F194" i="9"/>
  <c r="E194" i="9"/>
  <c r="D194" i="9"/>
  <c r="C194" i="9"/>
  <c r="H193" i="9"/>
  <c r="G193" i="9"/>
  <c r="F193" i="9"/>
  <c r="E193" i="9"/>
  <c r="D193" i="9"/>
  <c r="C193" i="9"/>
  <c r="H192" i="9"/>
  <c r="G192" i="9"/>
  <c r="F192" i="9"/>
  <c r="E192" i="9"/>
  <c r="D192" i="9"/>
  <c r="C192" i="9"/>
  <c r="H190" i="9"/>
  <c r="G190" i="9"/>
  <c r="F190" i="9"/>
  <c r="E190" i="9"/>
  <c r="D190" i="9"/>
  <c r="C190" i="9"/>
  <c r="H189" i="9"/>
  <c r="G189" i="9"/>
  <c r="F189" i="9"/>
  <c r="E189" i="9"/>
  <c r="H188" i="9"/>
  <c r="G188" i="9"/>
  <c r="F188" i="9"/>
  <c r="E188" i="9"/>
  <c r="H187" i="9"/>
  <c r="H186" i="9"/>
  <c r="G186" i="9"/>
  <c r="F186" i="9"/>
  <c r="E186" i="9"/>
  <c r="D186" i="9"/>
  <c r="C186" i="9"/>
  <c r="H185" i="9"/>
  <c r="G185" i="9"/>
  <c r="F185" i="9"/>
  <c r="E185" i="9"/>
  <c r="D185" i="9"/>
  <c r="C185" i="9"/>
  <c r="H184" i="9"/>
  <c r="G184" i="9"/>
  <c r="F184" i="9"/>
  <c r="E184" i="9"/>
  <c r="D184" i="9"/>
  <c r="C184" i="9"/>
  <c r="H183" i="9"/>
  <c r="E183" i="9"/>
  <c r="F180" i="9"/>
  <c r="E180" i="9"/>
  <c r="D180" i="9"/>
  <c r="C180" i="9"/>
  <c r="F179" i="9"/>
  <c r="E179" i="9"/>
  <c r="D179" i="9"/>
  <c r="C179" i="9"/>
  <c r="B179" i="9"/>
  <c r="B180" i="9" s="1"/>
  <c r="I176" i="9"/>
  <c r="I179" i="9" s="1"/>
  <c r="I180" i="9" s="1"/>
  <c r="H176" i="9"/>
  <c r="H179" i="9" s="1"/>
  <c r="H180" i="9" s="1"/>
  <c r="G176" i="9"/>
  <c r="G179" i="9" s="1"/>
  <c r="G180" i="9" s="1"/>
  <c r="F176" i="9"/>
  <c r="E176" i="9"/>
  <c r="D176" i="9"/>
  <c r="C176" i="9"/>
  <c r="B176" i="9"/>
  <c r="B168" i="9"/>
  <c r="B169" i="9" s="1"/>
  <c r="I167" i="9"/>
  <c r="H167" i="9"/>
  <c r="G167" i="9"/>
  <c r="B167" i="9"/>
  <c r="I165" i="9"/>
  <c r="I168" i="9" s="1"/>
  <c r="I169" i="9" s="1"/>
  <c r="H165" i="9"/>
  <c r="H168" i="9" s="1"/>
  <c r="H169" i="9" s="1"/>
  <c r="G165" i="9"/>
  <c r="G168" i="9" s="1"/>
  <c r="G169" i="9" s="1"/>
  <c r="F165" i="9"/>
  <c r="F167" i="9" s="1"/>
  <c r="E165" i="9"/>
  <c r="E167" i="9" s="1"/>
  <c r="D165" i="9"/>
  <c r="D167" i="9" s="1"/>
  <c r="C165" i="9"/>
  <c r="C167" i="9" s="1"/>
  <c r="B165" i="9"/>
  <c r="B158" i="9"/>
  <c r="I157" i="9"/>
  <c r="I158" i="9" s="1"/>
  <c r="H157" i="9"/>
  <c r="H158" i="9" s="1"/>
  <c r="G157" i="9"/>
  <c r="G158" i="9" s="1"/>
  <c r="B157" i="9"/>
  <c r="I154" i="9"/>
  <c r="H154" i="9"/>
  <c r="G154" i="9"/>
  <c r="F154" i="9"/>
  <c r="F157" i="9" s="1"/>
  <c r="F158" i="9" s="1"/>
  <c r="E154" i="9"/>
  <c r="E157" i="9" s="1"/>
  <c r="E158" i="9" s="1"/>
  <c r="D154" i="9"/>
  <c r="D157" i="9" s="1"/>
  <c r="D158" i="9" s="1"/>
  <c r="C154" i="9"/>
  <c r="C157" i="9" s="1"/>
  <c r="C158" i="9" s="1"/>
  <c r="B154" i="9"/>
  <c r="I146" i="9"/>
  <c r="I147" i="9" s="1"/>
  <c r="H146" i="9"/>
  <c r="H147" i="9" s="1"/>
  <c r="G146" i="9"/>
  <c r="G147" i="9" s="1"/>
  <c r="I143" i="9"/>
  <c r="H143" i="9"/>
  <c r="G143" i="9"/>
  <c r="F143" i="9"/>
  <c r="F146" i="9" s="1"/>
  <c r="E143" i="9"/>
  <c r="E146" i="9" s="1"/>
  <c r="E147" i="9" s="1"/>
  <c r="D143" i="9"/>
  <c r="D146" i="9" s="1"/>
  <c r="C143" i="9"/>
  <c r="C146" i="9" s="1"/>
  <c r="C141" i="9"/>
  <c r="B141" i="9"/>
  <c r="C140" i="9"/>
  <c r="C139" i="9"/>
  <c r="B139" i="9"/>
  <c r="B143" i="9" s="1"/>
  <c r="B146" i="9" s="1"/>
  <c r="I129" i="9"/>
  <c r="H129" i="9"/>
  <c r="I128" i="9"/>
  <c r="I135" i="9" s="1"/>
  <c r="B136" i="9" s="1"/>
  <c r="B127" i="9"/>
  <c r="C199" i="9" s="1"/>
  <c r="C126" i="9"/>
  <c r="B126" i="9"/>
  <c r="C125" i="9"/>
  <c r="D197" i="9" s="1"/>
  <c r="B125" i="9"/>
  <c r="B123" i="9" s="1"/>
  <c r="C124" i="9"/>
  <c r="B124" i="9"/>
  <c r="I123" i="9"/>
  <c r="H123" i="9"/>
  <c r="G123" i="9"/>
  <c r="G195" i="9" s="1"/>
  <c r="F123" i="9"/>
  <c r="F195" i="9" s="1"/>
  <c r="E123" i="9"/>
  <c r="E195" i="9" s="1"/>
  <c r="D123" i="9"/>
  <c r="I119" i="9"/>
  <c r="H119" i="9"/>
  <c r="H191" i="9" s="1"/>
  <c r="G119" i="9"/>
  <c r="G191" i="9" s="1"/>
  <c r="F119" i="9"/>
  <c r="F191" i="9" s="1"/>
  <c r="E119" i="9"/>
  <c r="E191" i="9" s="1"/>
  <c r="D119" i="9"/>
  <c r="D191" i="9" s="1"/>
  <c r="C119" i="9"/>
  <c r="C191" i="9" s="1"/>
  <c r="B119" i="9"/>
  <c r="C118" i="9"/>
  <c r="B118" i="9"/>
  <c r="C117" i="9"/>
  <c r="D189" i="9" s="1"/>
  <c r="B117" i="9"/>
  <c r="C116" i="9"/>
  <c r="C115" i="9" s="1"/>
  <c r="B116" i="9"/>
  <c r="B115" i="9" s="1"/>
  <c r="I115" i="9"/>
  <c r="H115" i="9"/>
  <c r="G115" i="9"/>
  <c r="G187" i="9" s="1"/>
  <c r="F115" i="9"/>
  <c r="F187" i="9" s="1"/>
  <c r="E115" i="9"/>
  <c r="D115" i="9"/>
  <c r="E187" i="9" s="1"/>
  <c r="I111" i="9"/>
  <c r="H111" i="9"/>
  <c r="H128" i="9" s="1"/>
  <c r="G111" i="9"/>
  <c r="G183" i="9" s="1"/>
  <c r="F111" i="9"/>
  <c r="F183" i="9" s="1"/>
  <c r="E111" i="9"/>
  <c r="E128" i="9" s="1"/>
  <c r="D111" i="9"/>
  <c r="D183" i="9" s="1"/>
  <c r="C111" i="9"/>
  <c r="C183" i="9" s="1"/>
  <c r="B111" i="9"/>
  <c r="I96" i="9"/>
  <c r="H96" i="9"/>
  <c r="G96" i="9"/>
  <c r="F96" i="9"/>
  <c r="E96" i="9"/>
  <c r="D96" i="9"/>
  <c r="C96" i="9"/>
  <c r="B96" i="9"/>
  <c r="I85" i="9"/>
  <c r="H85" i="9"/>
  <c r="G85" i="9"/>
  <c r="F85" i="9"/>
  <c r="E85" i="9"/>
  <c r="D85" i="9"/>
  <c r="C85" i="9"/>
  <c r="B85" i="9"/>
  <c r="G76" i="9"/>
  <c r="G98" i="9" s="1"/>
  <c r="G100" i="9" s="1"/>
  <c r="G101" i="9" s="1"/>
  <c r="F76" i="9"/>
  <c r="F98" i="9" s="1"/>
  <c r="F100" i="9" s="1"/>
  <c r="F101" i="9" s="1"/>
  <c r="E76" i="9"/>
  <c r="E98" i="9" s="1"/>
  <c r="E100" i="9" s="1"/>
  <c r="E101" i="9" s="1"/>
  <c r="D76" i="9"/>
  <c r="D98" i="9" s="1"/>
  <c r="D100" i="9" s="1"/>
  <c r="D101" i="9" s="1"/>
  <c r="C76" i="9"/>
  <c r="C98" i="9" s="1"/>
  <c r="C100" i="9" s="1"/>
  <c r="C101" i="9" s="1"/>
  <c r="B76" i="9"/>
  <c r="B98" i="9" s="1"/>
  <c r="B100" i="9" s="1"/>
  <c r="B101" i="9" s="1"/>
  <c r="D59" i="9"/>
  <c r="D60" i="9" s="1"/>
  <c r="C59" i="9"/>
  <c r="C60" i="9" s="1"/>
  <c r="B59" i="9"/>
  <c r="B60" i="9" s="1"/>
  <c r="I58" i="9"/>
  <c r="I59" i="9" s="1"/>
  <c r="I60" i="9" s="1"/>
  <c r="H58" i="9"/>
  <c r="G58" i="9"/>
  <c r="F58" i="9"/>
  <c r="E58" i="9"/>
  <c r="D58" i="9"/>
  <c r="C58" i="9"/>
  <c r="B58" i="9"/>
  <c r="I45" i="9"/>
  <c r="H45" i="9"/>
  <c r="H59" i="9" s="1"/>
  <c r="H60" i="9" s="1"/>
  <c r="G45" i="9"/>
  <c r="G59" i="9" s="1"/>
  <c r="G60" i="9" s="1"/>
  <c r="F45" i="9"/>
  <c r="F59" i="9" s="1"/>
  <c r="F60" i="9" s="1"/>
  <c r="E45" i="9"/>
  <c r="E59" i="9" s="1"/>
  <c r="E60" i="9" s="1"/>
  <c r="D45" i="9"/>
  <c r="C45" i="9"/>
  <c r="B45" i="9"/>
  <c r="H36" i="9"/>
  <c r="G36" i="9"/>
  <c r="F36" i="9"/>
  <c r="E36" i="9"/>
  <c r="D36" i="9"/>
  <c r="C36" i="9"/>
  <c r="B36" i="9"/>
  <c r="I30" i="9"/>
  <c r="I36" i="9" s="1"/>
  <c r="H30" i="9"/>
  <c r="G30" i="9"/>
  <c r="F30" i="9"/>
  <c r="E30" i="9"/>
  <c r="D30" i="9"/>
  <c r="C30" i="9"/>
  <c r="B30" i="9"/>
  <c r="I10" i="9"/>
  <c r="I12" i="9" s="1"/>
  <c r="I7" i="9"/>
  <c r="H7" i="9"/>
  <c r="G7" i="9"/>
  <c r="F7" i="9"/>
  <c r="E7" i="9"/>
  <c r="D7" i="9"/>
  <c r="C7" i="9"/>
  <c r="B7" i="9"/>
  <c r="I4" i="9"/>
  <c r="H4" i="9"/>
  <c r="H10" i="9" s="1"/>
  <c r="H12" i="9" s="1"/>
  <c r="G4" i="9"/>
  <c r="G10" i="9" s="1"/>
  <c r="G12" i="9" s="1"/>
  <c r="G20" i="9" s="1"/>
  <c r="F4" i="9"/>
  <c r="F10" i="9" s="1"/>
  <c r="F12" i="9" s="1"/>
  <c r="F20" i="9" s="1"/>
  <c r="E4" i="9"/>
  <c r="E10" i="9" s="1"/>
  <c r="E12" i="9" s="1"/>
  <c r="E20" i="9" s="1"/>
  <c r="D4" i="9"/>
  <c r="D10" i="9" s="1"/>
  <c r="D12" i="9" s="1"/>
  <c r="D20" i="9" s="1"/>
  <c r="C4" i="9"/>
  <c r="C10" i="9" s="1"/>
  <c r="C12" i="9" s="1"/>
  <c r="C20" i="9" s="1"/>
  <c r="B4" i="9"/>
  <c r="B10" i="9" s="1"/>
  <c r="B12" i="9" s="1"/>
  <c r="B20" i="9" s="1"/>
  <c r="H1" i="9"/>
  <c r="G1" i="9" s="1"/>
  <c r="F1" i="9" s="1"/>
  <c r="E1" i="9" s="1"/>
  <c r="D1" i="9" s="1"/>
  <c r="C1" i="9" s="1"/>
  <c r="B1" i="9" s="1"/>
  <c r="I60" i="8" l="1"/>
  <c r="I52" i="8"/>
  <c r="I59" i="8" s="1"/>
  <c r="I50" i="8"/>
  <c r="I57" i="8" s="1"/>
  <c r="G60" i="8"/>
  <c r="I53" i="8"/>
  <c r="I49" i="8"/>
  <c r="C60" i="8"/>
  <c r="B26" i="8"/>
  <c r="B64" i="8" s="1"/>
  <c r="B27" i="8" s="1"/>
  <c r="F53" i="8"/>
  <c r="F26" i="8" s="1"/>
  <c r="F64" i="8" s="1"/>
  <c r="F27" i="8" s="1"/>
  <c r="F58" i="8"/>
  <c r="E60" i="8"/>
  <c r="D60" i="8"/>
  <c r="E57" i="8"/>
  <c r="E59" i="8"/>
  <c r="H58" i="8"/>
  <c r="H60" i="8"/>
  <c r="I58" i="8"/>
  <c r="G58" i="8"/>
  <c r="G61" i="8" s="1"/>
  <c r="I56" i="8"/>
  <c r="I26" i="8"/>
  <c r="I64" i="8" s="1"/>
  <c r="I27" i="8" s="1"/>
  <c r="H26" i="8"/>
  <c r="H64" i="8" s="1"/>
  <c r="H27" i="8" s="1"/>
  <c r="G26" i="8"/>
  <c r="G64" i="8" s="1"/>
  <c r="G27" i="8" s="1"/>
  <c r="C64" i="8"/>
  <c r="C27" i="8" s="1"/>
  <c r="C61" i="8"/>
  <c r="C28" i="8" s="1"/>
  <c r="C30" i="8" s="1"/>
  <c r="C31" i="8" s="1"/>
  <c r="D61" i="8"/>
  <c r="D28" i="8" s="1"/>
  <c r="D30" i="8" s="1"/>
  <c r="D31" i="8" s="1"/>
  <c r="H61" i="8"/>
  <c r="B61" i="8"/>
  <c r="B28" i="8" s="1"/>
  <c r="B30" i="8" s="1"/>
  <c r="B31" i="8" s="1"/>
  <c r="G7" i="8"/>
  <c r="G8" i="8"/>
  <c r="C9" i="8"/>
  <c r="I9" i="8"/>
  <c r="B9" i="8"/>
  <c r="B17" i="8"/>
  <c r="I4" i="8"/>
  <c r="B8" i="8"/>
  <c r="B7" i="8"/>
  <c r="I7" i="8"/>
  <c r="I8" i="8"/>
  <c r="F9" i="8"/>
  <c r="F4" i="8"/>
  <c r="E4" i="8"/>
  <c r="D4" i="8"/>
  <c r="C4" i="8"/>
  <c r="H7" i="8"/>
  <c r="E10" i="8"/>
  <c r="B10" i="8"/>
  <c r="B128" i="9"/>
  <c r="B135" i="9" s="1"/>
  <c r="D147" i="9"/>
  <c r="I64" i="9"/>
  <c r="I76" i="9" s="1"/>
  <c r="I98" i="9" s="1"/>
  <c r="I20" i="9"/>
  <c r="E135" i="9"/>
  <c r="C128" i="9"/>
  <c r="C187" i="9"/>
  <c r="D195" i="9"/>
  <c r="F147" i="9"/>
  <c r="H64" i="9"/>
  <c r="H76" i="9" s="1"/>
  <c r="H98" i="9" s="1"/>
  <c r="H100" i="9" s="1"/>
  <c r="H20" i="9"/>
  <c r="H135" i="9"/>
  <c r="H200" i="9"/>
  <c r="C147" i="9"/>
  <c r="B147" i="9"/>
  <c r="C123" i="9"/>
  <c r="C195" i="9" s="1"/>
  <c r="C168" i="9"/>
  <c r="C169" i="9" s="1"/>
  <c r="D168" i="9"/>
  <c r="D169" i="9" s="1"/>
  <c r="E168" i="9"/>
  <c r="E169" i="9" s="1"/>
  <c r="D128" i="9"/>
  <c r="F168" i="9"/>
  <c r="F169" i="9" s="1"/>
  <c r="C189" i="9"/>
  <c r="C197" i="9"/>
  <c r="C188" i="9"/>
  <c r="D188" i="9"/>
  <c r="D187" i="9"/>
  <c r="F128" i="9"/>
  <c r="G128" i="9"/>
  <c r="F61" i="8" l="1"/>
  <c r="F28" i="8" s="1"/>
  <c r="F30" i="8" s="1"/>
  <c r="F31" i="8" s="1"/>
  <c r="G28" i="8"/>
  <c r="G30" i="8" s="1"/>
  <c r="G31" i="8" s="1"/>
  <c r="I61" i="8"/>
  <c r="I28" i="8" s="1"/>
  <c r="I30" i="8" s="1"/>
  <c r="I31" i="8" s="1"/>
  <c r="F60" i="8"/>
  <c r="E61" i="8"/>
  <c r="E28" i="8" s="1"/>
  <c r="E30" i="8" s="1"/>
  <c r="E31" i="8" s="1"/>
  <c r="H28" i="8"/>
  <c r="H30" i="8" s="1"/>
  <c r="H31" i="8" s="1"/>
  <c r="C8" i="8"/>
  <c r="C7" i="8"/>
  <c r="D7" i="8"/>
  <c r="D8" i="8"/>
  <c r="E8" i="8"/>
  <c r="E7" i="8"/>
  <c r="F7" i="8"/>
  <c r="F8" i="8"/>
  <c r="C135" i="9"/>
  <c r="C200" i="9"/>
  <c r="H101" i="9"/>
  <c r="I99" i="9"/>
  <c r="I100" i="9" s="1"/>
  <c r="I101" i="9" s="1"/>
  <c r="D135" i="9"/>
  <c r="D200" i="9"/>
  <c r="E200" i="9"/>
  <c r="G135" i="9"/>
  <c r="G200" i="9"/>
  <c r="E207" i="9"/>
  <c r="E136" i="9"/>
  <c r="F135" i="9"/>
  <c r="F200" i="9"/>
  <c r="H207" i="9"/>
  <c r="H136" i="9"/>
  <c r="C207" i="9" l="1"/>
  <c r="C136" i="9"/>
  <c r="G207" i="9"/>
  <c r="G136" i="9"/>
  <c r="F207" i="9"/>
  <c r="F136" i="9"/>
  <c r="D207" i="9"/>
  <c r="D136" i="9"/>
  <c r="C1" i="8" l="1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913FC86-823D-43FE-B2EC-FD3C6DD57166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<sst xmlns="http://schemas.openxmlformats.org/spreadsheetml/2006/main" count="275" uniqueCount="195">
  <si>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</si>
  <si>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</si>
  <si>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</si>
  <si>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</si>
  <si>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</si>
  <si>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</si>
  <si>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</si>
  <si>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</si>
  <si>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</si>
  <si>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</si>
  <si>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</si>
  <si>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</si>
  <si>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</si>
  <si>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</si>
  <si>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</si>
  <si>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</si>
  <si>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</si>
  <si>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</si>
  <si>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</si>
  <si>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</si>
  <si>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</si>
  <si>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</si>
  <si>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</si>
  <si>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</si>
  <si>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</si>
  <si>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</si>
  <si>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</si>
  <si>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</si>
  <si>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</si>
  <si>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</si>
  <si>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</si>
  <si>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</si>
  <si>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</si>
  <si>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</si>
  <si>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</si>
  <si>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</si>
  <si>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</si>
  <si>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</si>
  <si>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</si>
  <si>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</si>
  <si>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</si>
  <si>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</si>
  <si>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</si>
  <si>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</si>
  <si>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</si>
  <si>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</si>
  <si>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</si>
  <si>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</si>
  <si>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</si>
  <si>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</si>
  <si>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</si>
  <si>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</si>
  <si>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</si>
  <si>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</si>
  <si>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</si>
  <si>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</si>
  <si>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</si>
  <si>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</si>
  <si>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</si>
  <si>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</si>
  <si>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</si>
  <si>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</si>
  <si>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</si>
  <si>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</si>
  <si>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</si>
  <si>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</si>
  <si>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</si>
  <si>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</si>
  <si>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</si>
  <si>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</si>
  <si>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</si>
  <si>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</si>
  <si>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</si>
  <si>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</si>
  <si>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</si>
  <si>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</si>
  <si>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</si>
  <si>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</si>
  <si>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</si>
  <si>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</si>
  <si>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</si>
  <si>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</si>
  <si>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</si>
  <si>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</si>
  <si>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</si>
  <si>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</si>
  <si>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</si>
  <si>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</si>
  <si>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</si>
  <si>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</si>
  <si>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</si>
  <si>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</si>
  <si>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</si>
  <si>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</si>
  <si>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</si>
  <si>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</si>
  <si>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</si>
  <si>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</si>
  <si>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</si>
  <si>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</si>
  <si>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</si>
  <si>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</si>
  <si>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</si>
  <si>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</si>
  <si>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</si>
  <si>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</si>
  <si>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</si>
  <si>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</si>
  <si>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</si>
  <si>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</si>
  <si>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</si>
  <si>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</si>
  <si>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</si>
  <si>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</si>
  <si>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</si>
  <si>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</si>
  <si>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</si>
  <si>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</si>
  <si>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inreversere purchase agreements</t>
  </si>
  <si>
    <t>Additions to property, plant and equipment</t>
  </si>
  <si>
    <t>Disposals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</si>
  <si>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</si>
  <si>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</si>
  <si>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</si>
  <si>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</si>
  <si>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</si>
  <si>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</si>
  <si>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</si>
  <si>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</si>
  <si>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</si>
  <si>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</si>
  <si>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</si>
  <si>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</si>
  <si>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</si>
  <si>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</si>
  <si>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</si>
  <si>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</si>
  <si>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</si>
  <si>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</si>
  <si>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</si>
  <si>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</si>
  <si>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</si>
  <si>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</si>
  <si>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</si>
  <si>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</si>
  <si>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</si>
  <si>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</si>
  <si>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</si>
  <si>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</si>
  <si>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</si>
  <si>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</si>
  <si>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</si>
  <si>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</si>
  <si>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</si>
  <si>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</si>
  <si>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</si>
  <si>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</si>
  <si>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</si>
  <si>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</si>
  <si>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</si>
  <si>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</si>
  <si>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</si>
  <si>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</si>
  <si>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</si>
  <si>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</si>
  <si>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</si>
  <si>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</si>
  <si>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</si>
  <si>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</si>
  <si>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</si>
  <si>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</si>
  <si>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</si>
  <si>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</si>
  <si>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 xml:space="preserve">Additional Calculations: </t>
  </si>
  <si>
    <t>Market Cap</t>
  </si>
  <si>
    <t>Total Debt</t>
  </si>
  <si>
    <t>Book Value</t>
  </si>
  <si>
    <t>EBITDA</t>
  </si>
  <si>
    <t>Income before income taxes (EBIT)</t>
  </si>
  <si>
    <t>FCFF</t>
  </si>
  <si>
    <t>Interest Expense</t>
  </si>
  <si>
    <t>Tax Rate</t>
  </si>
  <si>
    <t>Equity</t>
  </si>
  <si>
    <t>High-Growth Phase FCFF:</t>
  </si>
  <si>
    <t>Year 1</t>
  </si>
  <si>
    <t>Year 2</t>
  </si>
  <si>
    <t>Year 3</t>
  </si>
  <si>
    <t>Year 4</t>
  </si>
  <si>
    <t>Year 5</t>
  </si>
  <si>
    <t>Present Value of High-Growth Phase FCFF</t>
  </si>
  <si>
    <t>FCFF for 5 Years:</t>
  </si>
  <si>
    <t>Total PV of High-Growth FCFF</t>
  </si>
  <si>
    <t>Sustainable Growth Terminal (GDP)</t>
  </si>
  <si>
    <t>Terminal Value</t>
  </si>
  <si>
    <t>Cost of Equity (CAPM)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</si>
</sst>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  <numFmt numFmtId="176" formatCode="0.00&quot; x&quot;"/>
    <numFmt numFmtId="191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sz val="8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0" borderId="0" xfId="0" applyFont="1"/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right" wrapText="1"/>
    </xf>
    <xf numFmtId="0" fontId="0" fillId="6" borderId="0" xfId="0" applyFill="1"/>
    <xf numFmtId="165" fontId="0" fillId="0" borderId="0" xfId="0" applyNumberFormat="1"/>
    <xf numFmtId="167" fontId="0" fillId="0" borderId="0" xfId="2" applyNumberFormat="1" applyFont="1"/>
    <xf numFmtId="0" fontId="6" fillId="4" borderId="0" xfId="0" applyFont="1" applyFill="1"/>
    <xf numFmtId="0" fontId="0" fillId="0" borderId="1" xfId="0" applyBorder="1"/>
    <xf numFmtId="0" fontId="0" fillId="0" borderId="3" xfId="0" applyBorder="1"/>
    <xf numFmtId="0" fontId="0" fillId="0" borderId="5" xfId="0" applyBorder="1"/>
    <xf numFmtId="167" fontId="0" fillId="0" borderId="0" xfId="2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0" fontId="11" fillId="2" borderId="0" xfId="0" applyFont="1" applyFill="1" applyAlignment="1">
      <alignment vertical="center" wrapText="1"/>
    </xf>
    <xf numFmtId="0" fontId="0" fillId="0" borderId="7" xfId="0" applyBorder="1"/>
    <xf numFmtId="166" fontId="0" fillId="0" borderId="7" xfId="1" applyNumberFormat="1" applyFont="1" applyBorder="1"/>
    <xf numFmtId="0" fontId="2" fillId="0" borderId="0" xfId="0" applyFont="1"/>
    <xf numFmtId="166" fontId="2" fillId="0" borderId="0" xfId="1" applyNumberFormat="1" applyFont="1"/>
    <xf numFmtId="0" fontId="0" fillId="0" borderId="0" xfId="0" applyAlignment="1">
      <alignment horizontal="left" indent="2"/>
    </xf>
    <xf numFmtId="0" fontId="0" fillId="0" borderId="8" xfId="0" applyBorder="1" applyAlignment="1">
      <alignment horizontal="left" indent="1"/>
    </xf>
    <xf numFmtId="166" fontId="0" fillId="0" borderId="8" xfId="1" applyNumberFormat="1" applyFont="1" applyBorder="1"/>
    <xf numFmtId="0" fontId="2" fillId="0" borderId="8" xfId="0" applyFont="1" applyBorder="1"/>
    <xf numFmtId="166" fontId="2" fillId="0" borderId="8" xfId="1" applyNumberFormat="1" applyFont="1" applyBorder="1"/>
    <xf numFmtId="0" fontId="2" fillId="0" borderId="9" xfId="0" applyFont="1" applyBorder="1"/>
    <xf numFmtId="166" fontId="2" fillId="0" borderId="9" xfId="1" applyNumberFormat="1" applyFont="1" applyBorder="1"/>
    <xf numFmtId="3" fontId="0" fillId="0" borderId="0" xfId="0" applyNumberFormat="1"/>
    <xf numFmtId="0" fontId="13" fillId="0" borderId="0" xfId="0" applyFont="1"/>
    <xf numFmtId="166" fontId="13" fillId="0" borderId="0" xfId="0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2" fillId="0" borderId="10" xfId="0" applyFont="1" applyBorder="1" applyAlignment="1">
      <alignment horizontal="left"/>
    </xf>
    <xf numFmtId="166" fontId="2" fillId="0" borderId="10" xfId="1" applyNumberFormat="1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167" fontId="14" fillId="0" borderId="0" xfId="2" applyNumberFormat="1" applyFont="1"/>
    <xf numFmtId="0" fontId="15" fillId="0" borderId="0" xfId="0" applyFont="1" applyAlignment="1">
      <alignment horizontal="left" indent="2"/>
    </xf>
    <xf numFmtId="167" fontId="15" fillId="0" borderId="0" xfId="2" applyNumberFormat="1" applyFont="1"/>
    <xf numFmtId="0" fontId="15" fillId="0" borderId="8" xfId="0" applyFont="1" applyBorder="1"/>
    <xf numFmtId="166" fontId="14" fillId="0" borderId="8" xfId="2" applyNumberFormat="1" applyFont="1" applyBorder="1"/>
    <xf numFmtId="167" fontId="14" fillId="0" borderId="8" xfId="2" applyNumberFormat="1" applyFont="1" applyBorder="1"/>
    <xf numFmtId="0" fontId="15" fillId="0" borderId="0" xfId="0" applyFont="1" applyAlignment="1">
      <alignment horizontal="left" indent="1"/>
    </xf>
    <xf numFmtId="0" fontId="14" fillId="0" borderId="9" xfId="0" applyFont="1" applyBorder="1"/>
    <xf numFmtId="166" fontId="14" fillId="0" borderId="9" xfId="2" applyNumberFormat="1" applyFont="1" applyBorder="1"/>
    <xf numFmtId="167" fontId="14" fillId="0" borderId="9" xfId="2" applyNumberFormat="1" applyFont="1" applyBorder="1"/>
    <xf numFmtId="165" fontId="0" fillId="0" borderId="0" xfId="1" applyNumberFormat="1" applyFont="1"/>
    <xf numFmtId="0" fontId="18" fillId="0" borderId="0" xfId="0" applyFont="1"/>
    <xf numFmtId="9" fontId="0" fillId="0" borderId="0" xfId="2" applyFont="1"/>
    <xf numFmtId="10" fontId="0" fillId="0" borderId="0" xfId="2" applyNumberFormat="1" applyFont="1"/>
    <xf numFmtId="176" fontId="0" fillId="0" borderId="0" xfId="1" applyNumberFormat="1" applyFont="1"/>
    <xf numFmtId="9" fontId="0" fillId="0" borderId="0" xfId="2" applyNumberFormat="1" applyFont="1" applyFill="1"/>
    <xf numFmtId="9" fontId="0" fillId="0" borderId="0" xfId="2" applyNumberFormat="1" applyFont="1"/>
    <xf numFmtId="0" fontId="19" fillId="0" borderId="0" xfId="0" applyFont="1"/>
    <xf numFmtId="0" fontId="19" fillId="0" borderId="0" xfId="0" applyFont="1" applyAlignment="1">
      <alignment horizontal="left" vertical="center" indent="1"/>
    </xf>
    <xf numFmtId="191" fontId="0" fillId="0" borderId="0" xfId="0" applyNumberFormat="1"/>
    <xf numFmtId="191" fontId="0" fillId="0" borderId="2" xfId="0" applyNumberFormat="1" applyBorder="1"/>
    <xf numFmtId="191" fontId="0" fillId="0" borderId="4" xfId="0" applyNumberFormat="1" applyBorder="1"/>
    <xf numFmtId="43" fontId="21" fillId="0" borderId="6" xfId="0" applyNumberFormat="1" applyFont="1" applyBorder="1"/>
    <xf numFmtId="166" fontId="0" fillId="0" borderId="4" xfId="0" applyNumberFormat="1" applyBorder="1"/>
  </cellXfs>
  <cellStyles count="8"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 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zoomScale="120" zoomScaleNormal="120" workbookViewId="0">
      <selection activeCell="A7" sqref="A7"/>
    </sheetView>
  </sheetViews>
  <sheetFormatPr defaultColWidth="9.1328125" defaultRowHeight="14.25"/>
  <cols>
    <col min="1" max="1" width="176.1328125" style="4" customWidth="1"/>
  </cols>
  <sheetData>
    <row r="1" spans="1:1" ht="23.25">
      <c r="A1" s="3" t="s">
        <v>0</v>
      </c>
    </row>
    <row r="2" spans="1:1">
      <c r="A2" s="14" t="s">
        <v>36</v>
      </c>
    </row>
    <row r="3" spans="1:1">
      <c r="A3" s="5"/>
    </row>
    <row r="4" spans="1:1" ht="23.25">
      <c r="A4" s="3" t="s">
        <v>1</v>
      </c>
    </row>
    <row r="5" spans="1:1">
      <c r="A5" s="6" t="s">
        <v>30</v>
      </c>
    </row>
    <row r="6" spans="1:1">
      <c r="A6" s="6" t="s">
        <v>40</v>
      </c>
    </row>
    <row r="7" spans="1:1">
      <c r="A7" s="27" t="s">
        <v>41</v>
      </c>
    </row>
    <row r="8" spans="1:1">
      <c r="A8" s="6" t="s">
        <v>39</v>
      </c>
    </row>
    <row r="9" spans="1:1">
      <c r="A9" s="4" t="s">
        <v>29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F622D-47C3-46B0-983B-8C2A011E84CE}">
  <dimension ref="A1:I208"/>
  <sheetViews>
    <sheetView workbookViewId="0">
      <selection activeCell="A15" sqref="A15"/>
    </sheetView>
  </sheetViews>
  <sheetFormatPr defaultRowHeight="14.25"/>
  <cols>
    <col min="1" max="1" width="60.86328125" customWidth="1"/>
    <col min="2" max="2" width="7.3984375" customWidth="1"/>
    <col min="3" max="8" width="7.3984375" bestFit="1" customWidth="1"/>
    <col min="9" max="9" width="8.06640625" customWidth="1"/>
  </cols>
  <sheetData>
    <row r="1" spans="1:9" ht="39.75">
      <c r="A1" s="28" t="s">
        <v>43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</row>
    <row r="2" spans="1:9">
      <c r="A2" t="s">
        <v>44</v>
      </c>
      <c r="B2" s="2">
        <v>30601</v>
      </c>
      <c r="C2" s="2">
        <v>32376</v>
      </c>
      <c r="D2" s="2">
        <v>34350</v>
      </c>
      <c r="E2" s="2">
        <v>36397</v>
      </c>
      <c r="F2" s="2">
        <v>39117</v>
      </c>
      <c r="G2" s="2">
        <v>37403</v>
      </c>
      <c r="H2" s="2">
        <v>44538</v>
      </c>
      <c r="I2" s="2">
        <v>46710</v>
      </c>
    </row>
    <row r="3" spans="1:9">
      <c r="A3" s="29" t="s">
        <v>45</v>
      </c>
      <c r="B3" s="30">
        <v>16534</v>
      </c>
      <c r="C3" s="30">
        <v>17405</v>
      </c>
      <c r="D3" s="30">
        <v>19038</v>
      </c>
      <c r="E3" s="30">
        <v>20441</v>
      </c>
      <c r="F3" s="30">
        <v>21643</v>
      </c>
      <c r="G3" s="30">
        <v>21162</v>
      </c>
      <c r="H3" s="30">
        <v>24576</v>
      </c>
      <c r="I3" s="30">
        <v>25231</v>
      </c>
    </row>
    <row r="4" spans="1:9">
      <c r="A4" s="31" t="s">
        <v>46</v>
      </c>
      <c r="B4" s="32">
        <f t="shared" ref="B4:H4" si="1">+B2-B3</f>
        <v>14067</v>
      </c>
      <c r="C4" s="32">
        <f t="shared" si="1"/>
        <v>14971</v>
      </c>
      <c r="D4" s="32">
        <f t="shared" si="1"/>
        <v>15312</v>
      </c>
      <c r="E4" s="32">
        <f t="shared" si="1"/>
        <v>15956</v>
      </c>
      <c r="F4" s="32">
        <f t="shared" si="1"/>
        <v>17474</v>
      </c>
      <c r="G4" s="32">
        <f t="shared" si="1"/>
        <v>16241</v>
      </c>
      <c r="H4" s="32">
        <f t="shared" si="1"/>
        <v>19962</v>
      </c>
      <c r="I4" s="32">
        <f>+I2-I3</f>
        <v>21479</v>
      </c>
    </row>
    <row r="5" spans="1:9">
      <c r="A5" s="33" t="s">
        <v>47</v>
      </c>
      <c r="B5" s="2">
        <v>3213</v>
      </c>
      <c r="C5" s="2">
        <v>3278</v>
      </c>
      <c r="D5" s="2">
        <v>3341</v>
      </c>
      <c r="E5" s="2">
        <v>3577</v>
      </c>
      <c r="F5" s="2">
        <v>3753</v>
      </c>
      <c r="G5" s="2">
        <v>3592</v>
      </c>
      <c r="H5" s="2">
        <v>3114</v>
      </c>
      <c r="I5" s="2">
        <v>3850</v>
      </c>
    </row>
    <row r="6" spans="1:9">
      <c r="A6" s="33" t="s">
        <v>48</v>
      </c>
      <c r="B6" s="2">
        <v>6679</v>
      </c>
      <c r="C6" s="2">
        <v>7191</v>
      </c>
      <c r="D6" s="2">
        <v>7222</v>
      </c>
      <c r="E6" s="2">
        <v>7934</v>
      </c>
      <c r="F6" s="2">
        <v>8949</v>
      </c>
      <c r="G6" s="2">
        <v>9534</v>
      </c>
      <c r="H6" s="2">
        <v>9911</v>
      </c>
      <c r="I6" s="2">
        <v>10954</v>
      </c>
    </row>
    <row r="7" spans="1:9">
      <c r="A7" s="34" t="s">
        <v>49</v>
      </c>
      <c r="B7" s="35">
        <f t="shared" ref="B7:H7" si="2">+B5+B6</f>
        <v>9892</v>
      </c>
      <c r="C7" s="35">
        <f t="shared" si="2"/>
        <v>10469</v>
      </c>
      <c r="D7" s="35">
        <f t="shared" si="2"/>
        <v>10563</v>
      </c>
      <c r="E7" s="35">
        <f t="shared" si="2"/>
        <v>11511</v>
      </c>
      <c r="F7" s="35">
        <f t="shared" si="2"/>
        <v>12702</v>
      </c>
      <c r="G7" s="35">
        <f t="shared" si="2"/>
        <v>13126</v>
      </c>
      <c r="H7" s="35">
        <f t="shared" si="2"/>
        <v>13025</v>
      </c>
      <c r="I7" s="35">
        <f>+I5+I6</f>
        <v>14804</v>
      </c>
    </row>
    <row r="8" spans="1:9">
      <c r="A8" s="1" t="s">
        <v>50</v>
      </c>
      <c r="B8" s="2">
        <v>28</v>
      </c>
      <c r="C8" s="2">
        <v>19</v>
      </c>
      <c r="D8" s="2">
        <v>59</v>
      </c>
      <c r="E8" s="2">
        <v>54</v>
      </c>
      <c r="F8" s="2">
        <v>49</v>
      </c>
      <c r="G8" s="2">
        <v>89</v>
      </c>
      <c r="H8" s="2">
        <v>262</v>
      </c>
      <c r="I8" s="2">
        <v>205</v>
      </c>
    </row>
    <row r="9" spans="1:9">
      <c r="A9" s="1" t="s">
        <v>51</v>
      </c>
      <c r="B9" s="2">
        <v>-58</v>
      </c>
      <c r="C9" s="2">
        <v>-140</v>
      </c>
      <c r="D9" s="2">
        <v>-196</v>
      </c>
      <c r="E9" s="2">
        <v>66</v>
      </c>
      <c r="F9" s="2">
        <v>-78</v>
      </c>
      <c r="G9" s="2">
        <v>139</v>
      </c>
      <c r="H9" s="2">
        <v>14</v>
      </c>
      <c r="I9" s="2">
        <v>-181</v>
      </c>
    </row>
    <row r="10" spans="1:9">
      <c r="A10" s="36" t="s">
        <v>178</v>
      </c>
      <c r="B10" s="37">
        <f t="shared" ref="B10:H10" si="3">+B4-B7-B8-B9</f>
        <v>4205</v>
      </c>
      <c r="C10" s="37">
        <f t="shared" si="3"/>
        <v>4623</v>
      </c>
      <c r="D10" s="37">
        <f t="shared" si="3"/>
        <v>4886</v>
      </c>
      <c r="E10" s="37">
        <f t="shared" si="3"/>
        <v>4325</v>
      </c>
      <c r="F10" s="37">
        <f t="shared" si="3"/>
        <v>4801</v>
      </c>
      <c r="G10" s="37">
        <f t="shared" si="3"/>
        <v>2887</v>
      </c>
      <c r="H10" s="37">
        <f t="shared" si="3"/>
        <v>6661</v>
      </c>
      <c r="I10" s="37">
        <f>+I4-I7-I8-I9</f>
        <v>6651</v>
      </c>
    </row>
    <row r="11" spans="1:9">
      <c r="A11" s="1" t="s">
        <v>52</v>
      </c>
      <c r="B11" s="2">
        <v>932</v>
      </c>
      <c r="C11" s="2">
        <v>863</v>
      </c>
      <c r="D11" s="2">
        <v>646</v>
      </c>
      <c r="E11" s="2">
        <v>2392</v>
      </c>
      <c r="F11" s="2">
        <v>772</v>
      </c>
      <c r="G11" s="2">
        <v>348</v>
      </c>
      <c r="H11" s="2">
        <v>934</v>
      </c>
      <c r="I11" s="2">
        <v>605</v>
      </c>
    </row>
    <row r="12" spans="1:9" ht="14.65" thickBot="1">
      <c r="A12" s="38" t="s">
        <v>53</v>
      </c>
      <c r="B12" s="39">
        <f t="shared" ref="B12:H12" si="4">+B10-B11</f>
        <v>3273</v>
      </c>
      <c r="C12" s="39">
        <f t="shared" si="4"/>
        <v>3760</v>
      </c>
      <c r="D12" s="39">
        <f t="shared" si="4"/>
        <v>4240</v>
      </c>
      <c r="E12" s="39">
        <f t="shared" si="4"/>
        <v>1933</v>
      </c>
      <c r="F12" s="39">
        <f t="shared" si="4"/>
        <v>4029</v>
      </c>
      <c r="G12" s="39">
        <f t="shared" si="4"/>
        <v>2539</v>
      </c>
      <c r="H12" s="39">
        <f t="shared" si="4"/>
        <v>5727</v>
      </c>
      <c r="I12" s="39">
        <f>+I10-I11</f>
        <v>6046</v>
      </c>
    </row>
    <row r="13" spans="1:9" ht="14.65" thickTop="1">
      <c r="A13" s="31" t="s">
        <v>54</v>
      </c>
    </row>
    <row r="14" spans="1:9">
      <c r="A14" s="1" t="s">
        <v>55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1" t="s">
        <v>56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31" t="s">
        <v>57</v>
      </c>
    </row>
    <row r="17" spans="1:9">
      <c r="A17" s="1" t="s">
        <v>55</v>
      </c>
      <c r="B17" s="40">
        <v>1724</v>
      </c>
      <c r="C17" s="40">
        <v>1697</v>
      </c>
      <c r="D17" s="40">
        <v>1657</v>
      </c>
      <c r="E17" s="40">
        <v>1624</v>
      </c>
      <c r="F17" s="40">
        <v>1580</v>
      </c>
      <c r="G17" s="40">
        <v>1559</v>
      </c>
      <c r="H17" s="40">
        <v>1573</v>
      </c>
      <c r="I17" s="40">
        <v>1578.8</v>
      </c>
    </row>
    <row r="18" spans="1:9">
      <c r="A18" s="1" t="s">
        <v>56</v>
      </c>
      <c r="B18" s="40">
        <v>1769</v>
      </c>
      <c r="C18" s="40">
        <v>1743</v>
      </c>
      <c r="D18" s="40">
        <v>1692</v>
      </c>
      <c r="E18" s="40">
        <v>1659</v>
      </c>
      <c r="F18" s="40">
        <v>1618</v>
      </c>
      <c r="G18" s="40">
        <v>1591</v>
      </c>
      <c r="H18" s="40">
        <v>1609.4</v>
      </c>
      <c r="I18" s="40">
        <v>1610.8</v>
      </c>
    </row>
    <row r="20" spans="1:9">
      <c r="A20" s="41" t="s">
        <v>58</v>
      </c>
      <c r="B20" s="42">
        <f t="shared" ref="B20:H20" si="5">+ROUND(((B12/B18)-B15),2)</f>
        <v>0</v>
      </c>
      <c r="C20" s="42">
        <f t="shared" si="5"/>
        <v>0</v>
      </c>
      <c r="D20" s="42">
        <f t="shared" si="5"/>
        <v>0</v>
      </c>
      <c r="E20" s="42">
        <f t="shared" si="5"/>
        <v>0</v>
      </c>
      <c r="F20" s="42">
        <f t="shared" si="5"/>
        <v>0</v>
      </c>
      <c r="G20" s="42">
        <f t="shared" si="5"/>
        <v>0</v>
      </c>
      <c r="H20" s="42">
        <f t="shared" si="5"/>
        <v>0</v>
      </c>
      <c r="I20" s="42">
        <f>+ROUND(((I12/I18)-I15),2)</f>
        <v>0</v>
      </c>
    </row>
    <row r="22" spans="1:9">
      <c r="A22" s="8" t="s">
        <v>59</v>
      </c>
      <c r="B22" s="8"/>
      <c r="C22" s="8"/>
      <c r="D22" s="8"/>
      <c r="E22" s="8"/>
      <c r="F22" s="8"/>
      <c r="G22" s="8"/>
      <c r="H22" s="8"/>
      <c r="I22" s="8"/>
    </row>
    <row r="23" spans="1:9">
      <c r="A23" s="31" t="s">
        <v>60</v>
      </c>
    </row>
    <row r="24" spans="1:9">
      <c r="A24" s="43" t="s">
        <v>61</v>
      </c>
      <c r="B24" s="2"/>
      <c r="C24" s="2"/>
      <c r="D24" s="2"/>
      <c r="E24" s="2"/>
      <c r="F24" s="2"/>
      <c r="G24" s="2"/>
      <c r="H24" s="2"/>
      <c r="I24" s="2"/>
    </row>
    <row r="25" spans="1:9">
      <c r="A25" s="33" t="s">
        <v>62</v>
      </c>
      <c r="B25" s="2">
        <v>3852</v>
      </c>
      <c r="C25" s="2">
        <v>3138</v>
      </c>
      <c r="D25" s="2">
        <v>3808</v>
      </c>
      <c r="E25" s="2">
        <v>4249</v>
      </c>
      <c r="F25" s="2">
        <v>4466</v>
      </c>
      <c r="G25" s="2">
        <v>8348</v>
      </c>
      <c r="H25" s="2">
        <v>9889</v>
      </c>
      <c r="I25" s="2">
        <v>8574</v>
      </c>
    </row>
    <row r="26" spans="1:9">
      <c r="A26" s="33" t="s">
        <v>63</v>
      </c>
      <c r="B26" s="2">
        <v>2072</v>
      </c>
      <c r="C26" s="2">
        <v>2319</v>
      </c>
      <c r="D26" s="2">
        <v>2371</v>
      </c>
      <c r="E26" s="2">
        <v>996</v>
      </c>
      <c r="F26" s="2">
        <v>197</v>
      </c>
      <c r="G26" s="2">
        <v>439</v>
      </c>
      <c r="H26" s="2">
        <v>3587</v>
      </c>
      <c r="I26" s="2">
        <v>4423</v>
      </c>
    </row>
    <row r="27" spans="1:9">
      <c r="A27" s="33" t="s">
        <v>64</v>
      </c>
      <c r="B27" s="2">
        <v>3358</v>
      </c>
      <c r="C27" s="2">
        <v>3241</v>
      </c>
      <c r="D27" s="2">
        <v>3677</v>
      </c>
      <c r="E27" s="2">
        <v>3498</v>
      </c>
      <c r="F27" s="2">
        <v>4272</v>
      </c>
      <c r="G27" s="2">
        <v>2749</v>
      </c>
      <c r="H27" s="2">
        <v>4463</v>
      </c>
      <c r="I27" s="2">
        <v>4667</v>
      </c>
    </row>
    <row r="28" spans="1:9">
      <c r="A28" s="33" t="s">
        <v>65</v>
      </c>
      <c r="B28" s="2">
        <v>4337</v>
      </c>
      <c r="C28" s="2">
        <v>4838</v>
      </c>
      <c r="D28" s="2">
        <v>5055</v>
      </c>
      <c r="E28" s="2">
        <v>5261</v>
      </c>
      <c r="F28" s="2">
        <v>5622</v>
      </c>
      <c r="G28" s="2">
        <v>7367</v>
      </c>
      <c r="H28" s="2">
        <v>6854</v>
      </c>
      <c r="I28" s="2">
        <v>8420</v>
      </c>
    </row>
    <row r="29" spans="1:9">
      <c r="A29" s="33" t="s">
        <v>66</v>
      </c>
      <c r="B29" s="2">
        <v>1968</v>
      </c>
      <c r="C29" s="2">
        <v>1489</v>
      </c>
      <c r="D29" s="2">
        <v>1150</v>
      </c>
      <c r="E29" s="2">
        <v>1130</v>
      </c>
      <c r="F29" s="2">
        <v>1968</v>
      </c>
      <c r="G29" s="2">
        <v>1653</v>
      </c>
      <c r="H29" s="2">
        <v>1498</v>
      </c>
      <c r="I29" s="2">
        <v>2129</v>
      </c>
    </row>
    <row r="30" spans="1:9">
      <c r="A30" s="36" t="s">
        <v>67</v>
      </c>
      <c r="B30" s="37">
        <f t="shared" ref="B30:G30" si="6">+SUM(B25:B29)</f>
        <v>15587</v>
      </c>
      <c r="C30" s="37">
        <f t="shared" si="6"/>
        <v>15025</v>
      </c>
      <c r="D30" s="37">
        <f t="shared" si="6"/>
        <v>16061</v>
      </c>
      <c r="E30" s="37">
        <f t="shared" si="6"/>
        <v>15134</v>
      </c>
      <c r="F30" s="37">
        <f t="shared" si="6"/>
        <v>16525</v>
      </c>
      <c r="G30" s="37">
        <f t="shared" si="6"/>
        <v>20556</v>
      </c>
      <c r="H30" s="37">
        <f t="shared" ref="H30" si="7">+SUM(H25:H29)</f>
        <v>26291</v>
      </c>
      <c r="I30" s="37">
        <f>+SUM(I25:I29)</f>
        <v>28213</v>
      </c>
    </row>
    <row r="31" spans="1:9">
      <c r="A31" s="1" t="s">
        <v>68</v>
      </c>
      <c r="B31" s="2">
        <v>3011</v>
      </c>
      <c r="C31" s="2">
        <v>3520</v>
      </c>
      <c r="D31" s="2">
        <v>3989</v>
      </c>
      <c r="E31" s="2">
        <v>4454</v>
      </c>
      <c r="F31" s="2">
        <v>4744</v>
      </c>
      <c r="G31" s="2">
        <v>4866</v>
      </c>
      <c r="H31" s="2">
        <v>4904</v>
      </c>
      <c r="I31" s="2">
        <v>4791</v>
      </c>
    </row>
    <row r="32" spans="1:9">
      <c r="A32" s="1" t="s">
        <v>69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3097</v>
      </c>
      <c r="H32" s="2">
        <v>3113</v>
      </c>
      <c r="I32" s="2">
        <v>2926</v>
      </c>
    </row>
    <row r="33" spans="1:9">
      <c r="A33" s="1" t="s">
        <v>70</v>
      </c>
      <c r="B33" s="2">
        <v>281</v>
      </c>
      <c r="C33" s="2">
        <v>281</v>
      </c>
      <c r="D33" s="2">
        <v>283</v>
      </c>
      <c r="E33" s="2">
        <v>285</v>
      </c>
      <c r="F33" s="2">
        <v>283</v>
      </c>
      <c r="G33" s="2">
        <v>274</v>
      </c>
      <c r="H33" s="2">
        <v>269</v>
      </c>
      <c r="I33" s="2">
        <v>286</v>
      </c>
    </row>
    <row r="34" spans="1:9">
      <c r="A34" s="1" t="s">
        <v>71</v>
      </c>
      <c r="B34" s="2">
        <v>131</v>
      </c>
      <c r="C34" s="2">
        <v>131</v>
      </c>
      <c r="D34" s="2">
        <v>139</v>
      </c>
      <c r="E34" s="2">
        <v>154</v>
      </c>
      <c r="F34" s="2">
        <v>154</v>
      </c>
      <c r="G34" s="2">
        <v>223</v>
      </c>
      <c r="H34" s="2">
        <v>242</v>
      </c>
      <c r="I34" s="2">
        <v>284</v>
      </c>
    </row>
    <row r="35" spans="1:9">
      <c r="A35" s="1" t="s">
        <v>72</v>
      </c>
      <c r="B35" s="2">
        <v>2587</v>
      </c>
      <c r="C35" s="2">
        <v>2422</v>
      </c>
      <c r="D35" s="2">
        <v>2787</v>
      </c>
      <c r="E35" s="2">
        <v>2509</v>
      </c>
      <c r="F35" s="2">
        <v>2011</v>
      </c>
      <c r="G35" s="2">
        <v>2326</v>
      </c>
      <c r="H35" s="2">
        <v>2921</v>
      </c>
      <c r="I35" s="2">
        <v>3821</v>
      </c>
    </row>
    <row r="36" spans="1:9" ht="14.65" thickBot="1">
      <c r="A36" s="38" t="s">
        <v>73</v>
      </c>
      <c r="B36" s="39">
        <f t="shared" ref="B36:H36" si="8">+SUM(B30:B35)</f>
        <v>21597</v>
      </c>
      <c r="C36" s="39">
        <f t="shared" si="8"/>
        <v>21379</v>
      </c>
      <c r="D36" s="39">
        <f t="shared" si="8"/>
        <v>23259</v>
      </c>
      <c r="E36" s="39">
        <f t="shared" si="8"/>
        <v>22536</v>
      </c>
      <c r="F36" s="39">
        <f t="shared" si="8"/>
        <v>23717</v>
      </c>
      <c r="G36" s="39">
        <f t="shared" si="8"/>
        <v>31342</v>
      </c>
      <c r="H36" s="39">
        <f t="shared" si="8"/>
        <v>37740</v>
      </c>
      <c r="I36" s="39">
        <f>+SUM(I30:I35)</f>
        <v>40321</v>
      </c>
    </row>
    <row r="37" spans="1:9" ht="14.65" thickTop="1">
      <c r="A37" s="31" t="s">
        <v>74</v>
      </c>
      <c r="B37" s="2"/>
      <c r="C37" s="2"/>
      <c r="D37" s="2"/>
      <c r="E37" s="2"/>
      <c r="F37" s="2"/>
      <c r="G37" s="2"/>
      <c r="H37" s="2"/>
      <c r="I37" s="2"/>
    </row>
    <row r="38" spans="1:9">
      <c r="A38" s="1" t="s">
        <v>75</v>
      </c>
      <c r="B38" s="2"/>
      <c r="C38" s="2"/>
      <c r="D38" s="2"/>
      <c r="E38" s="2"/>
      <c r="F38" s="2"/>
      <c r="G38" s="2"/>
      <c r="H38" s="2"/>
      <c r="I38" s="2"/>
    </row>
    <row r="39" spans="1:9">
      <c r="A39" s="33" t="s">
        <v>76</v>
      </c>
      <c r="B39" s="2">
        <v>107</v>
      </c>
      <c r="C39" s="2">
        <v>44</v>
      </c>
      <c r="D39" s="2">
        <v>6</v>
      </c>
      <c r="E39" s="2">
        <v>6</v>
      </c>
      <c r="F39" s="2">
        <v>6</v>
      </c>
      <c r="G39" s="2">
        <v>3</v>
      </c>
      <c r="H39" s="2">
        <v>0</v>
      </c>
      <c r="I39" s="2">
        <v>500</v>
      </c>
    </row>
    <row r="40" spans="1:9">
      <c r="A40" s="33" t="s">
        <v>77</v>
      </c>
      <c r="B40" s="2">
        <v>74</v>
      </c>
      <c r="C40" s="2">
        <v>1</v>
      </c>
      <c r="D40" s="2">
        <v>325</v>
      </c>
      <c r="E40" s="2">
        <v>336</v>
      </c>
      <c r="F40" s="2">
        <v>9</v>
      </c>
      <c r="G40" s="2">
        <v>248</v>
      </c>
      <c r="H40" s="2">
        <v>2</v>
      </c>
      <c r="I40" s="2">
        <v>10</v>
      </c>
    </row>
    <row r="41" spans="1:9">
      <c r="A41" s="33" t="s">
        <v>78</v>
      </c>
      <c r="B41" s="2">
        <v>2131</v>
      </c>
      <c r="C41" s="2">
        <v>2191</v>
      </c>
      <c r="D41" s="2">
        <v>2048</v>
      </c>
      <c r="E41" s="2">
        <v>2279</v>
      </c>
      <c r="F41" s="2">
        <v>2612</v>
      </c>
      <c r="G41" s="2">
        <v>2248</v>
      </c>
      <c r="H41" s="2">
        <v>2836</v>
      </c>
      <c r="I41" s="2">
        <v>3358</v>
      </c>
    </row>
    <row r="42" spans="1:9">
      <c r="A42" s="33" t="s">
        <v>79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445</v>
      </c>
      <c r="H42" s="2">
        <v>467</v>
      </c>
      <c r="I42" s="2">
        <v>420</v>
      </c>
    </row>
    <row r="43" spans="1:9">
      <c r="A43" s="33" t="s">
        <v>80</v>
      </c>
      <c r="B43" s="2">
        <v>3949</v>
      </c>
      <c r="C43" s="2">
        <v>3037</v>
      </c>
      <c r="D43" s="2">
        <v>3011</v>
      </c>
      <c r="E43" s="2">
        <v>3269</v>
      </c>
      <c r="F43" s="2">
        <v>5010</v>
      </c>
      <c r="G43" s="2">
        <v>5184</v>
      </c>
      <c r="H43" s="2">
        <v>6063</v>
      </c>
      <c r="I43" s="2">
        <v>6220</v>
      </c>
    </row>
    <row r="44" spans="1:9">
      <c r="A44" s="33" t="s">
        <v>81</v>
      </c>
      <c r="B44" s="2">
        <v>71</v>
      </c>
      <c r="C44" s="2">
        <v>85</v>
      </c>
      <c r="D44" s="2">
        <v>84</v>
      </c>
      <c r="E44" s="2">
        <v>150</v>
      </c>
      <c r="F44" s="2">
        <v>229</v>
      </c>
      <c r="G44" s="2">
        <v>156</v>
      </c>
      <c r="H44" s="2">
        <v>306</v>
      </c>
      <c r="I44" s="2">
        <v>222</v>
      </c>
    </row>
    <row r="45" spans="1:9">
      <c r="A45" s="36" t="s">
        <v>82</v>
      </c>
      <c r="B45" s="37">
        <f t="shared" ref="B45:H45" si="9">+SUM(B39:B44)</f>
        <v>6332</v>
      </c>
      <c r="C45" s="37">
        <f t="shared" si="9"/>
        <v>5358</v>
      </c>
      <c r="D45" s="37">
        <f t="shared" si="9"/>
        <v>5474</v>
      </c>
      <c r="E45" s="37">
        <f t="shared" si="9"/>
        <v>6040</v>
      </c>
      <c r="F45" s="37">
        <f>+SUM(F39:F44)</f>
        <v>7866</v>
      </c>
      <c r="G45" s="37">
        <f t="shared" si="9"/>
        <v>8284</v>
      </c>
      <c r="H45" s="37">
        <f t="shared" si="9"/>
        <v>9674</v>
      </c>
      <c r="I45" s="37">
        <f>+SUM(I39:I44)</f>
        <v>10730</v>
      </c>
    </row>
    <row r="46" spans="1:9">
      <c r="A46" s="1" t="s">
        <v>83</v>
      </c>
      <c r="B46" s="2">
        <v>1079</v>
      </c>
      <c r="C46" s="2">
        <v>1993</v>
      </c>
      <c r="D46" s="2">
        <v>3471</v>
      </c>
      <c r="E46" s="2">
        <v>3468</v>
      </c>
      <c r="F46" s="2">
        <v>3464</v>
      </c>
      <c r="G46" s="2">
        <v>9406</v>
      </c>
      <c r="H46" s="2">
        <v>9413</v>
      </c>
      <c r="I46" s="2">
        <v>8920</v>
      </c>
    </row>
    <row r="47" spans="1:9">
      <c r="A47" s="1" t="s">
        <v>84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2913</v>
      </c>
      <c r="H47" s="2">
        <v>2931</v>
      </c>
      <c r="I47" s="2">
        <v>2777</v>
      </c>
    </row>
    <row r="48" spans="1:9">
      <c r="A48" s="1" t="s">
        <v>85</v>
      </c>
      <c r="B48" s="2">
        <v>1479</v>
      </c>
      <c r="C48" s="2">
        <v>1770</v>
      </c>
      <c r="D48" s="2">
        <v>1907</v>
      </c>
      <c r="E48" s="2">
        <v>3216</v>
      </c>
      <c r="F48" s="2">
        <v>3347</v>
      </c>
      <c r="G48" s="2">
        <v>2684</v>
      </c>
      <c r="H48" s="2">
        <v>2955</v>
      </c>
      <c r="I48" s="2">
        <v>2613</v>
      </c>
    </row>
    <row r="49" spans="1:9">
      <c r="A49" s="1" t="s">
        <v>86</v>
      </c>
      <c r="B49" s="2"/>
      <c r="C49" s="2"/>
      <c r="D49" s="2"/>
      <c r="E49" s="2"/>
      <c r="F49" s="2"/>
      <c r="G49" s="2"/>
      <c r="H49" s="2"/>
      <c r="I49" s="2"/>
    </row>
    <row r="50" spans="1:9">
      <c r="A50" s="33" t="s">
        <v>87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>
      <c r="A51" s="1" t="s">
        <v>88</v>
      </c>
      <c r="B51" s="2"/>
      <c r="C51" s="2"/>
      <c r="D51" s="2"/>
      <c r="E51" s="2"/>
      <c r="F51" s="2"/>
      <c r="G51" s="2"/>
      <c r="H51" s="2"/>
      <c r="I51" s="2"/>
    </row>
    <row r="52" spans="1:9">
      <c r="A52" s="33" t="s">
        <v>89</v>
      </c>
      <c r="B52" s="2"/>
      <c r="C52" s="2"/>
      <c r="D52" s="2"/>
      <c r="E52" s="2"/>
      <c r="F52" s="2"/>
      <c r="G52" s="2"/>
      <c r="H52" s="2"/>
      <c r="I52" s="2"/>
    </row>
    <row r="53" spans="1:9">
      <c r="A53" s="44" t="s">
        <v>90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/>
      <c r="I53" s="2"/>
    </row>
    <row r="54" spans="1:9">
      <c r="A54" s="44" t="s">
        <v>91</v>
      </c>
      <c r="B54" s="2">
        <v>3</v>
      </c>
      <c r="C54" s="2">
        <v>3</v>
      </c>
      <c r="D54" s="2">
        <v>3</v>
      </c>
      <c r="E54" s="2">
        <v>3</v>
      </c>
      <c r="F54" s="2">
        <v>3</v>
      </c>
      <c r="G54" s="2">
        <v>3</v>
      </c>
      <c r="H54" s="2">
        <v>3</v>
      </c>
      <c r="I54" s="2">
        <v>3</v>
      </c>
    </row>
    <row r="55" spans="1:9">
      <c r="A55" s="44" t="s">
        <v>92</v>
      </c>
      <c r="B55" s="2">
        <v>6773</v>
      </c>
      <c r="C55" s="2">
        <v>7786</v>
      </c>
      <c r="D55" s="2">
        <v>5710</v>
      </c>
      <c r="E55" s="2">
        <v>6384</v>
      </c>
      <c r="F55" s="2">
        <v>7163</v>
      </c>
      <c r="G55" s="2">
        <v>8299</v>
      </c>
      <c r="H55" s="2">
        <v>9965</v>
      </c>
      <c r="I55" s="2">
        <v>11484</v>
      </c>
    </row>
    <row r="56" spans="1:9">
      <c r="A56" s="44" t="s">
        <v>93</v>
      </c>
      <c r="B56" s="2">
        <v>1246</v>
      </c>
      <c r="C56" s="2">
        <v>318</v>
      </c>
      <c r="D56" s="2">
        <v>-213</v>
      </c>
      <c r="E56" s="2">
        <v>-92</v>
      </c>
      <c r="F56" s="2">
        <v>231</v>
      </c>
      <c r="G56" s="2">
        <v>-56</v>
      </c>
      <c r="H56" s="2">
        <v>-380</v>
      </c>
      <c r="I56" s="2">
        <v>318</v>
      </c>
    </row>
    <row r="57" spans="1:9">
      <c r="A57" s="44" t="s">
        <v>94</v>
      </c>
      <c r="B57" s="2">
        <v>4685</v>
      </c>
      <c r="C57" s="2">
        <v>4151</v>
      </c>
      <c r="D57" s="2">
        <v>6907</v>
      </c>
      <c r="E57" s="2">
        <v>3517</v>
      </c>
      <c r="F57" s="2">
        <v>1643</v>
      </c>
      <c r="G57" s="2">
        <v>-191</v>
      </c>
      <c r="H57" s="2">
        <v>3179</v>
      </c>
      <c r="I57" s="2">
        <v>3476</v>
      </c>
    </row>
    <row r="58" spans="1:9">
      <c r="A58" s="36" t="s">
        <v>95</v>
      </c>
      <c r="B58" s="37">
        <f t="shared" ref="B58:H58" si="10">+SUM(B53:B57)</f>
        <v>12707</v>
      </c>
      <c r="C58" s="37">
        <f t="shared" si="10"/>
        <v>12258</v>
      </c>
      <c r="D58" s="37">
        <f t="shared" si="10"/>
        <v>12407</v>
      </c>
      <c r="E58" s="37">
        <f t="shared" si="10"/>
        <v>9812</v>
      </c>
      <c r="F58" s="37">
        <f t="shared" si="10"/>
        <v>9040</v>
      </c>
      <c r="G58" s="37">
        <f t="shared" si="10"/>
        <v>8055</v>
      </c>
      <c r="H58" s="37">
        <f t="shared" si="10"/>
        <v>12767</v>
      </c>
      <c r="I58" s="37">
        <f>+SUM(I53:I57)</f>
        <v>15281</v>
      </c>
    </row>
    <row r="59" spans="1:9" ht="14.65" thickBot="1">
      <c r="A59" s="38" t="s">
        <v>96</v>
      </c>
      <c r="B59" s="39">
        <f t="shared" ref="B59:H59" si="11">+SUM(B45:B50)+B58</f>
        <v>21597</v>
      </c>
      <c r="C59" s="39">
        <f t="shared" si="11"/>
        <v>21379</v>
      </c>
      <c r="D59" s="39">
        <f t="shared" si="11"/>
        <v>23259</v>
      </c>
      <c r="E59" s="39">
        <f t="shared" si="11"/>
        <v>22536</v>
      </c>
      <c r="F59" s="39">
        <f t="shared" si="11"/>
        <v>23717</v>
      </c>
      <c r="G59" s="39">
        <f t="shared" si="11"/>
        <v>31342</v>
      </c>
      <c r="H59" s="39">
        <f t="shared" si="11"/>
        <v>37740</v>
      </c>
      <c r="I59" s="39">
        <f>+SUM(I45:I50)+I58</f>
        <v>40321</v>
      </c>
    </row>
    <row r="60" spans="1:9" ht="14.65" thickTop="1">
      <c r="A60" s="41" t="s">
        <v>97</v>
      </c>
      <c r="B60" s="42">
        <f t="shared" ref="B60:H60" si="12">+B59-B36</f>
        <v>0</v>
      </c>
      <c r="C60" s="42">
        <f t="shared" si="12"/>
        <v>0</v>
      </c>
      <c r="D60" s="42">
        <f t="shared" si="12"/>
        <v>0</v>
      </c>
      <c r="E60" s="42">
        <f t="shared" si="12"/>
        <v>0</v>
      </c>
      <c r="F60" s="42">
        <f t="shared" si="12"/>
        <v>0</v>
      </c>
      <c r="G60" s="42">
        <f t="shared" si="12"/>
        <v>0</v>
      </c>
      <c r="H60" s="42">
        <f t="shared" si="12"/>
        <v>0</v>
      </c>
      <c r="I60" s="42">
        <f>+I59-I36</f>
        <v>0</v>
      </c>
    </row>
    <row r="61" spans="1:9">
      <c r="A61" s="8" t="s">
        <v>98</v>
      </c>
      <c r="B61" s="8"/>
      <c r="C61" s="8"/>
      <c r="D61" s="8"/>
      <c r="E61" s="8"/>
      <c r="F61" s="8"/>
      <c r="G61" s="8"/>
      <c r="H61" s="8"/>
      <c r="I61" s="8"/>
    </row>
    <row r="62" spans="1:9">
      <c r="A62" t="s">
        <v>99</v>
      </c>
    </row>
    <row r="63" spans="1:9">
      <c r="A63" s="31" t="s">
        <v>100</v>
      </c>
    </row>
    <row r="64" spans="1:9">
      <c r="A64" s="43" t="s">
        <v>101</v>
      </c>
      <c r="B64" s="32">
        <v>3273</v>
      </c>
      <c r="C64" s="32">
        <v>3760</v>
      </c>
      <c r="D64" s="32">
        <v>4240</v>
      </c>
      <c r="E64" s="32">
        <v>1933</v>
      </c>
      <c r="F64" s="32">
        <v>4029</v>
      </c>
      <c r="G64" s="32">
        <v>2539</v>
      </c>
      <c r="H64" s="32">
        <f>+H12</f>
        <v>5727</v>
      </c>
      <c r="I64" s="32">
        <f>+I12</f>
        <v>6046</v>
      </c>
    </row>
    <row r="65" spans="1:9">
      <c r="A65" s="1" t="s">
        <v>102</v>
      </c>
      <c r="B65" s="2"/>
      <c r="C65" s="2"/>
      <c r="D65" s="2"/>
      <c r="E65" s="2"/>
      <c r="F65" s="2"/>
      <c r="G65" s="2"/>
      <c r="H65" s="2"/>
      <c r="I65" s="2"/>
    </row>
    <row r="66" spans="1:9">
      <c r="A66" s="33" t="s">
        <v>103</v>
      </c>
      <c r="B66" s="2">
        <v>606</v>
      </c>
      <c r="C66" s="2">
        <v>649</v>
      </c>
      <c r="D66" s="2">
        <v>706</v>
      </c>
      <c r="E66" s="2">
        <v>747</v>
      </c>
      <c r="F66" s="2">
        <v>705</v>
      </c>
      <c r="G66" s="2">
        <v>721</v>
      </c>
      <c r="H66" s="2">
        <v>744</v>
      </c>
      <c r="I66" s="2">
        <v>717</v>
      </c>
    </row>
    <row r="67" spans="1:9">
      <c r="A67" s="33" t="s">
        <v>104</v>
      </c>
      <c r="B67" s="2">
        <v>-113</v>
      </c>
      <c r="C67" s="2">
        <v>-80</v>
      </c>
      <c r="D67" s="2">
        <v>-273</v>
      </c>
      <c r="E67" s="2">
        <v>647</v>
      </c>
      <c r="F67" s="2">
        <v>34</v>
      </c>
      <c r="G67" s="2">
        <v>-380</v>
      </c>
      <c r="H67" s="2">
        <v>-385</v>
      </c>
      <c r="I67" s="2">
        <v>-650</v>
      </c>
    </row>
    <row r="68" spans="1:9">
      <c r="A68" s="33" t="s">
        <v>105</v>
      </c>
      <c r="B68" s="2">
        <v>191</v>
      </c>
      <c r="C68" s="2">
        <v>236</v>
      </c>
      <c r="D68" s="2">
        <v>215</v>
      </c>
      <c r="E68" s="2">
        <v>218</v>
      </c>
      <c r="F68" s="2">
        <v>325</v>
      </c>
      <c r="G68" s="2">
        <v>429</v>
      </c>
      <c r="H68" s="2">
        <v>611</v>
      </c>
      <c r="I68" s="2">
        <v>638</v>
      </c>
    </row>
    <row r="69" spans="1:9">
      <c r="A69" s="33" t="s">
        <v>106</v>
      </c>
      <c r="B69" s="2">
        <v>43</v>
      </c>
      <c r="C69" s="2">
        <v>13</v>
      </c>
      <c r="D69" s="2">
        <v>10</v>
      </c>
      <c r="E69" s="2">
        <v>27</v>
      </c>
      <c r="F69" s="2">
        <v>15</v>
      </c>
      <c r="G69" s="2">
        <v>398</v>
      </c>
      <c r="H69" s="2">
        <v>53</v>
      </c>
      <c r="I69" s="2">
        <v>123</v>
      </c>
    </row>
    <row r="70" spans="1:9">
      <c r="A70" s="33" t="s">
        <v>107</v>
      </c>
      <c r="B70" s="2">
        <v>424</v>
      </c>
      <c r="C70" s="2">
        <v>98</v>
      </c>
      <c r="D70" s="2">
        <v>-117</v>
      </c>
      <c r="E70" s="2">
        <v>-99</v>
      </c>
      <c r="F70" s="2">
        <v>233</v>
      </c>
      <c r="G70" s="2">
        <v>23</v>
      </c>
      <c r="H70" s="2">
        <v>-138</v>
      </c>
      <c r="I70" s="2">
        <v>-26</v>
      </c>
    </row>
    <row r="71" spans="1:9">
      <c r="A71" s="1" t="s">
        <v>108</v>
      </c>
      <c r="B71" s="2"/>
      <c r="C71" s="2"/>
      <c r="D71" s="2"/>
      <c r="E71" s="2"/>
      <c r="F71" s="2"/>
      <c r="G71" s="2"/>
      <c r="H71" s="2"/>
      <c r="I71" s="2"/>
    </row>
    <row r="72" spans="1:9">
      <c r="A72" s="33" t="s">
        <v>109</v>
      </c>
      <c r="B72" s="2">
        <v>-216</v>
      </c>
      <c r="C72" s="2">
        <v>60</v>
      </c>
      <c r="D72" s="2">
        <v>-426</v>
      </c>
      <c r="E72" s="2">
        <v>187</v>
      </c>
      <c r="F72" s="2">
        <v>-270</v>
      </c>
      <c r="G72" s="2">
        <v>1239</v>
      </c>
      <c r="H72" s="2">
        <v>-1606</v>
      </c>
      <c r="I72" s="2">
        <v>-504</v>
      </c>
    </row>
    <row r="73" spans="1:9">
      <c r="A73" s="33" t="s">
        <v>110</v>
      </c>
      <c r="B73" s="2">
        <v>-621</v>
      </c>
      <c r="C73" s="2">
        <v>-590</v>
      </c>
      <c r="D73" s="2">
        <v>-231</v>
      </c>
      <c r="E73" s="2">
        <v>-255</v>
      </c>
      <c r="F73" s="2">
        <v>-490</v>
      </c>
      <c r="G73" s="2">
        <v>-1854</v>
      </c>
      <c r="H73" s="2">
        <v>507</v>
      </c>
      <c r="I73" s="2">
        <v>-1676</v>
      </c>
    </row>
    <row r="74" spans="1:9">
      <c r="A74" s="33" t="s">
        <v>111</v>
      </c>
      <c r="B74" s="2">
        <v>-144</v>
      </c>
      <c r="C74" s="2">
        <v>-161</v>
      </c>
      <c r="D74" s="2">
        <v>-120</v>
      </c>
      <c r="E74" s="2">
        <v>35</v>
      </c>
      <c r="F74" s="2">
        <v>-203</v>
      </c>
      <c r="G74" s="2">
        <v>-654</v>
      </c>
      <c r="H74" s="2">
        <v>-182</v>
      </c>
      <c r="I74" s="2">
        <v>-845</v>
      </c>
    </row>
    <row r="75" spans="1:9">
      <c r="A75" s="33" t="s">
        <v>112</v>
      </c>
      <c r="B75" s="2">
        <v>1237</v>
      </c>
      <c r="C75" s="2">
        <v>-889</v>
      </c>
      <c r="D75" s="2">
        <v>-158</v>
      </c>
      <c r="E75" s="2">
        <v>1515</v>
      </c>
      <c r="F75" s="2">
        <v>1525</v>
      </c>
      <c r="G75" s="2">
        <v>24</v>
      </c>
      <c r="H75" s="2">
        <v>1326</v>
      </c>
      <c r="I75" s="2">
        <v>1365</v>
      </c>
    </row>
    <row r="76" spans="1:9">
      <c r="A76" s="45" t="s">
        <v>113</v>
      </c>
      <c r="B76" s="46">
        <f t="shared" ref="B76:H76" si="13">+SUM(B64:B75)</f>
        <v>4680</v>
      </c>
      <c r="C76" s="46">
        <f t="shared" si="13"/>
        <v>3096</v>
      </c>
      <c r="D76" s="46">
        <f t="shared" si="13"/>
        <v>3846</v>
      </c>
      <c r="E76" s="46">
        <f t="shared" si="13"/>
        <v>4955</v>
      </c>
      <c r="F76" s="46">
        <f t="shared" si="13"/>
        <v>5903</v>
      </c>
      <c r="G76" s="46">
        <f t="shared" si="13"/>
        <v>2485</v>
      </c>
      <c r="H76" s="46">
        <f t="shared" si="13"/>
        <v>6657</v>
      </c>
      <c r="I76" s="46">
        <f>+SUM(I64:I75)</f>
        <v>5188</v>
      </c>
    </row>
    <row r="77" spans="1:9">
      <c r="A77" s="31" t="s">
        <v>114</v>
      </c>
      <c r="B77" s="2"/>
      <c r="C77" s="2"/>
      <c r="D77" s="2"/>
      <c r="E77" s="2"/>
      <c r="F77" s="2"/>
      <c r="G77" s="2"/>
      <c r="H77" s="2"/>
      <c r="I77" s="2"/>
    </row>
    <row r="78" spans="1:9">
      <c r="A78" s="1" t="s">
        <v>115</v>
      </c>
      <c r="B78" s="2">
        <v>-4936</v>
      </c>
      <c r="C78" s="2">
        <v>-5367</v>
      </c>
      <c r="D78" s="2">
        <v>-5928</v>
      </c>
      <c r="E78" s="2">
        <v>-4783</v>
      </c>
      <c r="F78" s="2">
        <v>-2937</v>
      </c>
      <c r="G78" s="2">
        <v>-2426</v>
      </c>
      <c r="H78" s="2">
        <v>-9961</v>
      </c>
      <c r="I78" s="2">
        <v>-12913</v>
      </c>
    </row>
    <row r="79" spans="1:9">
      <c r="A79" s="1" t="s">
        <v>116</v>
      </c>
      <c r="B79" s="2">
        <v>3655</v>
      </c>
      <c r="C79" s="2">
        <v>2924</v>
      </c>
      <c r="D79" s="2">
        <v>3623</v>
      </c>
      <c r="E79" s="2">
        <v>3613</v>
      </c>
      <c r="F79" s="2">
        <v>1715</v>
      </c>
      <c r="G79" s="2">
        <v>74</v>
      </c>
      <c r="H79" s="2">
        <v>4236</v>
      </c>
      <c r="I79" s="2">
        <v>8199</v>
      </c>
    </row>
    <row r="80" spans="1:9">
      <c r="A80" s="1" t="s">
        <v>117</v>
      </c>
      <c r="B80" s="2">
        <v>2216</v>
      </c>
      <c r="C80" s="2">
        <v>2386</v>
      </c>
      <c r="D80" s="2">
        <v>2423</v>
      </c>
      <c r="E80" s="2">
        <v>2496</v>
      </c>
      <c r="F80" s="2">
        <v>2072</v>
      </c>
      <c r="G80" s="2">
        <v>2379</v>
      </c>
      <c r="H80" s="2">
        <v>2449</v>
      </c>
      <c r="I80" s="2">
        <v>3967</v>
      </c>
    </row>
    <row r="81" spans="1:9">
      <c r="A81" s="1" t="s">
        <v>118</v>
      </c>
      <c r="B81" s="2">
        <v>-150</v>
      </c>
      <c r="C81" s="2">
        <v>150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>
      <c r="A82" s="1" t="s">
        <v>119</v>
      </c>
      <c r="B82" s="2">
        <v>-963</v>
      </c>
      <c r="C82" s="2">
        <v>-1143</v>
      </c>
      <c r="D82" s="2">
        <v>-1105</v>
      </c>
      <c r="E82" s="2">
        <v>-1028</v>
      </c>
      <c r="F82" s="2">
        <v>-1119</v>
      </c>
      <c r="G82" s="2">
        <v>-1086</v>
      </c>
      <c r="H82" s="2">
        <v>-695</v>
      </c>
      <c r="I82" s="2">
        <v>-758</v>
      </c>
    </row>
    <row r="83" spans="1:9">
      <c r="A83" s="1" t="s">
        <v>120</v>
      </c>
      <c r="B83" s="2">
        <v>3</v>
      </c>
      <c r="C83" s="2">
        <v>10</v>
      </c>
      <c r="D83" s="2">
        <v>13</v>
      </c>
      <c r="E83" s="2">
        <v>3</v>
      </c>
      <c r="F83" s="2">
        <v>5</v>
      </c>
      <c r="G83" s="2">
        <v>0</v>
      </c>
      <c r="H83" s="2"/>
      <c r="I83" s="2"/>
    </row>
    <row r="84" spans="1:9">
      <c r="A84" s="1" t="s">
        <v>121</v>
      </c>
      <c r="B84" s="2">
        <v>0</v>
      </c>
      <c r="C84" s="2">
        <v>6</v>
      </c>
      <c r="D84" s="2">
        <v>-34</v>
      </c>
      <c r="E84" s="2">
        <v>-25</v>
      </c>
      <c r="F84" s="2">
        <v>0</v>
      </c>
      <c r="G84" s="2">
        <v>31</v>
      </c>
      <c r="H84" s="2">
        <v>171</v>
      </c>
      <c r="I84" s="2">
        <v>-19</v>
      </c>
    </row>
    <row r="85" spans="1:9">
      <c r="A85" s="47" t="s">
        <v>122</v>
      </c>
      <c r="B85" s="46">
        <f t="shared" ref="B85:H85" si="14">+SUM(B78:B84)</f>
        <v>-175</v>
      </c>
      <c r="C85" s="46">
        <f t="shared" si="14"/>
        <v>-1034</v>
      </c>
      <c r="D85" s="46">
        <f t="shared" si="14"/>
        <v>-1008</v>
      </c>
      <c r="E85" s="46">
        <f t="shared" si="14"/>
        <v>276</v>
      </c>
      <c r="F85" s="46">
        <f t="shared" si="14"/>
        <v>-264</v>
      </c>
      <c r="G85" s="46">
        <f t="shared" si="14"/>
        <v>-1028</v>
      </c>
      <c r="H85" s="46">
        <f t="shared" si="14"/>
        <v>-3800</v>
      </c>
      <c r="I85" s="46">
        <f>+SUM(I78:I84)</f>
        <v>-1524</v>
      </c>
    </row>
    <row r="86" spans="1:9">
      <c r="A86" s="31" t="s">
        <v>123</v>
      </c>
      <c r="B86" s="2"/>
      <c r="C86" s="2"/>
      <c r="D86" s="2"/>
      <c r="E86" s="2"/>
      <c r="F86" s="2"/>
      <c r="G86" s="2"/>
      <c r="H86" s="2"/>
      <c r="I86" s="2"/>
    </row>
    <row r="87" spans="1:9">
      <c r="A87" s="1" t="s">
        <v>124</v>
      </c>
      <c r="B87" s="2">
        <v>0</v>
      </c>
      <c r="C87" s="2">
        <v>981</v>
      </c>
      <c r="D87" s="2">
        <v>1482</v>
      </c>
      <c r="E87" s="2">
        <v>0</v>
      </c>
      <c r="F87" s="2">
        <v>0</v>
      </c>
      <c r="G87" s="2">
        <v>6134</v>
      </c>
      <c r="H87" s="2">
        <v>0</v>
      </c>
      <c r="I87" s="2">
        <v>0</v>
      </c>
    </row>
    <row r="88" spans="1:9">
      <c r="A88" s="1" t="s">
        <v>125</v>
      </c>
      <c r="B88" s="2">
        <v>-7</v>
      </c>
      <c r="C88" s="2">
        <v>-106</v>
      </c>
      <c r="D88" s="2">
        <v>-44</v>
      </c>
      <c r="E88" s="2">
        <v>-6</v>
      </c>
      <c r="F88" s="2">
        <v>-6</v>
      </c>
      <c r="G88" s="2">
        <v>0</v>
      </c>
      <c r="H88" s="2">
        <v>0</v>
      </c>
      <c r="I88" s="2">
        <v>0</v>
      </c>
    </row>
    <row r="89" spans="1:9">
      <c r="A89" s="1" t="s">
        <v>126</v>
      </c>
      <c r="B89" s="2">
        <v>-63</v>
      </c>
      <c r="C89" s="2">
        <v>-67</v>
      </c>
      <c r="D89" s="2">
        <v>327</v>
      </c>
      <c r="E89" s="2">
        <v>13</v>
      </c>
      <c r="F89" s="2">
        <v>-325</v>
      </c>
      <c r="G89" s="2">
        <v>49</v>
      </c>
      <c r="H89" s="2">
        <v>-52</v>
      </c>
      <c r="I89" s="2">
        <v>15</v>
      </c>
    </row>
    <row r="90" spans="1:9">
      <c r="A90" s="1" t="s">
        <v>127</v>
      </c>
      <c r="B90" s="2">
        <v>-19</v>
      </c>
      <c r="C90" s="2">
        <v>-7</v>
      </c>
      <c r="D90" s="2">
        <v>-17</v>
      </c>
      <c r="E90" s="2">
        <v>-23</v>
      </c>
      <c r="F90" s="2">
        <v>-27</v>
      </c>
      <c r="G90" s="2">
        <v>-6</v>
      </c>
      <c r="H90" s="2">
        <v>-197</v>
      </c>
      <c r="I90" s="2">
        <v>0</v>
      </c>
    </row>
    <row r="91" spans="1:9">
      <c r="A91" s="1" t="s">
        <v>128</v>
      </c>
      <c r="B91" s="2">
        <v>514</v>
      </c>
      <c r="C91" s="2">
        <v>507</v>
      </c>
      <c r="D91" s="2">
        <v>489</v>
      </c>
      <c r="E91" s="2">
        <v>733</v>
      </c>
      <c r="F91" s="2">
        <v>700</v>
      </c>
      <c r="G91" s="2">
        <v>885</v>
      </c>
      <c r="H91" s="2">
        <v>1172</v>
      </c>
      <c r="I91" s="2">
        <v>1151</v>
      </c>
    </row>
    <row r="92" spans="1:9">
      <c r="A92" s="1" t="s">
        <v>129</v>
      </c>
      <c r="B92" s="2">
        <v>218</v>
      </c>
      <c r="C92" s="2">
        <v>281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>
      <c r="A93" s="1" t="s">
        <v>130</v>
      </c>
      <c r="B93" s="2">
        <v>-2534</v>
      </c>
      <c r="C93" s="2">
        <v>-3238</v>
      </c>
      <c r="D93" s="2">
        <v>-3223</v>
      </c>
      <c r="E93" s="2">
        <v>-4254</v>
      </c>
      <c r="F93" s="2">
        <v>-4286</v>
      </c>
      <c r="G93" s="2">
        <v>-3067</v>
      </c>
      <c r="H93" s="2">
        <v>-608</v>
      </c>
      <c r="I93" s="2">
        <v>-4014</v>
      </c>
    </row>
    <row r="94" spans="1:9">
      <c r="A94" s="1" t="s">
        <v>131</v>
      </c>
      <c r="B94" s="2">
        <v>-899</v>
      </c>
      <c r="C94" s="2">
        <v>-1022</v>
      </c>
      <c r="D94" s="2">
        <v>-1133</v>
      </c>
      <c r="E94" s="2">
        <v>-1243</v>
      </c>
      <c r="F94" s="2">
        <v>-1332</v>
      </c>
      <c r="G94" s="2">
        <v>-1452</v>
      </c>
      <c r="H94" s="2">
        <v>-1638</v>
      </c>
      <c r="I94" s="2">
        <v>-1837</v>
      </c>
    </row>
    <row r="95" spans="1:9">
      <c r="A95" s="1" t="s">
        <v>132</v>
      </c>
      <c r="B95" s="2">
        <v>0</v>
      </c>
      <c r="C95" s="2">
        <v>0</v>
      </c>
      <c r="D95" s="2">
        <v>-29</v>
      </c>
      <c r="E95" s="2">
        <v>-55</v>
      </c>
      <c r="F95" s="2">
        <v>-17</v>
      </c>
      <c r="G95" s="2">
        <v>-52</v>
      </c>
      <c r="H95" s="2">
        <v>-136</v>
      </c>
      <c r="I95" s="2">
        <v>-151</v>
      </c>
    </row>
    <row r="96" spans="1:9">
      <c r="A96" s="47" t="s">
        <v>133</v>
      </c>
      <c r="B96" s="46">
        <f>+SUM(B87:B95)</f>
        <v>-2790</v>
      </c>
      <c r="C96" s="46">
        <f t="shared" ref="C96:H96" si="15">+SUM(C87:C95)</f>
        <v>-2671</v>
      </c>
      <c r="D96" s="46">
        <f t="shared" si="15"/>
        <v>-2148</v>
      </c>
      <c r="E96" s="46">
        <f t="shared" si="15"/>
        <v>-4835</v>
      </c>
      <c r="F96" s="46">
        <f t="shared" si="15"/>
        <v>-5293</v>
      </c>
      <c r="G96" s="46">
        <f t="shared" si="15"/>
        <v>2491</v>
      </c>
      <c r="H96" s="46">
        <f t="shared" si="15"/>
        <v>-1459</v>
      </c>
      <c r="I96" s="46">
        <f>+SUM(I87:I95)</f>
        <v>-4836</v>
      </c>
    </row>
    <row r="97" spans="1:9">
      <c r="A97" s="1" t="s">
        <v>134</v>
      </c>
      <c r="B97" s="2">
        <v>-83</v>
      </c>
      <c r="C97" s="2">
        <v>-105</v>
      </c>
      <c r="D97" s="2">
        <v>-20</v>
      </c>
      <c r="E97" s="2">
        <v>45</v>
      </c>
      <c r="F97" s="2">
        <v>-129</v>
      </c>
      <c r="G97" s="2">
        <v>-66</v>
      </c>
      <c r="H97" s="2">
        <v>143</v>
      </c>
      <c r="I97" s="2">
        <v>-143</v>
      </c>
    </row>
    <row r="98" spans="1:9">
      <c r="A98" s="47" t="s">
        <v>135</v>
      </c>
      <c r="B98" s="46">
        <f t="shared" ref="B98:H98" si="16">+B76+B85+B96+B97</f>
        <v>1632</v>
      </c>
      <c r="C98" s="46">
        <f t="shared" si="16"/>
        <v>-714</v>
      </c>
      <c r="D98" s="46">
        <f t="shared" si="16"/>
        <v>670</v>
      </c>
      <c r="E98" s="46">
        <f t="shared" si="16"/>
        <v>441</v>
      </c>
      <c r="F98" s="46">
        <f t="shared" si="16"/>
        <v>217</v>
      </c>
      <c r="G98" s="46">
        <f t="shared" si="16"/>
        <v>3882</v>
      </c>
      <c r="H98" s="46">
        <f t="shared" si="16"/>
        <v>1541</v>
      </c>
      <c r="I98" s="46">
        <f>+I76+I85+I96+I97</f>
        <v>-1315</v>
      </c>
    </row>
    <row r="99" spans="1:9">
      <c r="A99" t="s">
        <v>136</v>
      </c>
      <c r="B99" s="2">
        <v>2220</v>
      </c>
      <c r="C99" s="2">
        <v>3852</v>
      </c>
      <c r="D99" s="2">
        <v>3138</v>
      </c>
      <c r="E99" s="2">
        <v>3808</v>
      </c>
      <c r="F99" s="2">
        <v>4249</v>
      </c>
      <c r="G99" s="2">
        <v>4466</v>
      </c>
      <c r="H99" s="2">
        <v>8348</v>
      </c>
      <c r="I99" s="2">
        <f>+H100</f>
        <v>9889</v>
      </c>
    </row>
    <row r="100" spans="1:9" ht="14.65" thickBot="1">
      <c r="A100" s="38" t="s">
        <v>137</v>
      </c>
      <c r="B100" s="39">
        <f t="shared" ref="B100:G100" si="17">+B98+B99</f>
        <v>3852</v>
      </c>
      <c r="C100" s="39">
        <f t="shared" si="17"/>
        <v>3138</v>
      </c>
      <c r="D100" s="39">
        <f t="shared" si="17"/>
        <v>3808</v>
      </c>
      <c r="E100" s="39">
        <f t="shared" si="17"/>
        <v>4249</v>
      </c>
      <c r="F100" s="39">
        <f t="shared" si="17"/>
        <v>4466</v>
      </c>
      <c r="G100" s="39">
        <f t="shared" si="17"/>
        <v>8348</v>
      </c>
      <c r="H100" s="39">
        <f>+H98+H99</f>
        <v>9889</v>
      </c>
      <c r="I100" s="39">
        <f>+I98+I99</f>
        <v>8574</v>
      </c>
    </row>
    <row r="101" spans="1:9" ht="14.65" thickTop="1">
      <c r="A101" s="41" t="s">
        <v>138</v>
      </c>
      <c r="B101" s="42">
        <f t="shared" ref="B101:H101" si="18">+B100-B25</f>
        <v>0</v>
      </c>
      <c r="C101" s="42">
        <f t="shared" si="18"/>
        <v>0</v>
      </c>
      <c r="D101" s="42">
        <f t="shared" si="18"/>
        <v>0</v>
      </c>
      <c r="E101" s="42">
        <f t="shared" si="18"/>
        <v>0</v>
      </c>
      <c r="F101" s="42">
        <f t="shared" si="18"/>
        <v>0</v>
      </c>
      <c r="G101" s="42">
        <f t="shared" si="18"/>
        <v>0</v>
      </c>
      <c r="H101" s="42">
        <f t="shared" si="18"/>
        <v>0</v>
      </c>
      <c r="I101" s="42">
        <f>+I100-I25</f>
        <v>0</v>
      </c>
    </row>
    <row r="102" spans="1:9">
      <c r="A102" t="s">
        <v>139</v>
      </c>
      <c r="B102" s="2"/>
      <c r="C102" s="2"/>
      <c r="D102" s="2"/>
      <c r="E102" s="2"/>
      <c r="F102" s="2"/>
      <c r="G102" s="2"/>
      <c r="H102" s="2"/>
      <c r="I102" s="2"/>
    </row>
    <row r="103" spans="1:9">
      <c r="A103" s="1" t="s">
        <v>140</v>
      </c>
      <c r="B103" s="2"/>
      <c r="C103" s="2"/>
      <c r="D103" s="2"/>
      <c r="E103" s="2"/>
      <c r="F103" s="2"/>
      <c r="G103" s="2"/>
      <c r="H103" s="2"/>
      <c r="I103" s="2"/>
    </row>
    <row r="104" spans="1:9">
      <c r="A104" s="33" t="s">
        <v>141</v>
      </c>
      <c r="B104" s="2">
        <v>53</v>
      </c>
      <c r="C104" s="2">
        <v>70</v>
      </c>
      <c r="D104" s="2">
        <v>98</v>
      </c>
      <c r="E104" s="2">
        <v>125</v>
      </c>
      <c r="F104" s="2">
        <v>153</v>
      </c>
      <c r="G104" s="2">
        <v>140</v>
      </c>
      <c r="H104" s="2">
        <v>293</v>
      </c>
      <c r="I104" s="2">
        <v>290</v>
      </c>
    </row>
    <row r="105" spans="1:9">
      <c r="A105" s="33" t="s">
        <v>142</v>
      </c>
      <c r="B105" s="2">
        <v>1262</v>
      </c>
      <c r="C105" s="2">
        <v>748</v>
      </c>
      <c r="D105" s="2">
        <v>703</v>
      </c>
      <c r="E105" s="2">
        <v>529</v>
      </c>
      <c r="F105" s="2">
        <v>757</v>
      </c>
      <c r="G105" s="2">
        <v>1028</v>
      </c>
      <c r="H105" s="2">
        <v>1177</v>
      </c>
      <c r="I105" s="2">
        <v>1231</v>
      </c>
    </row>
    <row r="106" spans="1:9">
      <c r="A106" s="33" t="s">
        <v>143</v>
      </c>
      <c r="B106" s="2">
        <v>206</v>
      </c>
      <c r="C106" s="2">
        <v>252</v>
      </c>
      <c r="D106" s="2">
        <v>266</v>
      </c>
      <c r="E106" s="2">
        <v>294</v>
      </c>
      <c r="F106" s="2">
        <v>160</v>
      </c>
      <c r="G106" s="2">
        <v>121</v>
      </c>
      <c r="H106" s="2">
        <v>179</v>
      </c>
      <c r="I106" s="2">
        <v>160</v>
      </c>
    </row>
    <row r="107" spans="1:9">
      <c r="A107" s="33" t="s">
        <v>144</v>
      </c>
      <c r="B107" s="2">
        <v>240</v>
      </c>
      <c r="C107" s="2">
        <v>271</v>
      </c>
      <c r="D107" s="2">
        <v>300</v>
      </c>
      <c r="E107" s="2">
        <v>320</v>
      </c>
      <c r="F107" s="2">
        <v>347</v>
      </c>
      <c r="G107" s="2">
        <v>385</v>
      </c>
      <c r="H107" s="2">
        <v>438</v>
      </c>
      <c r="I107" s="2">
        <v>480</v>
      </c>
    </row>
    <row r="109" spans="1:9">
      <c r="A109" s="8" t="s">
        <v>145</v>
      </c>
      <c r="B109" s="8"/>
      <c r="C109" s="8"/>
      <c r="D109" s="8"/>
      <c r="E109" s="8"/>
      <c r="F109" s="8"/>
      <c r="G109" s="8"/>
      <c r="H109" s="8"/>
      <c r="I109" s="8"/>
    </row>
    <row r="110" spans="1:9">
      <c r="A110" s="48" t="s">
        <v>146</v>
      </c>
      <c r="B110" s="2"/>
      <c r="C110" s="2"/>
      <c r="D110" s="2"/>
      <c r="E110" s="2"/>
      <c r="F110" s="2"/>
      <c r="G110" s="2"/>
      <c r="H110" s="2"/>
      <c r="I110" s="2"/>
    </row>
    <row r="111" spans="1:9">
      <c r="A111" s="1" t="s">
        <v>147</v>
      </c>
      <c r="B111" s="2">
        <f t="shared" ref="B111:G111" si="19">+SUM(B112:B114)</f>
        <v>13740</v>
      </c>
      <c r="C111" s="2">
        <f t="shared" si="19"/>
        <v>14764</v>
      </c>
      <c r="D111" s="2">
        <f t="shared" si="19"/>
        <v>15216</v>
      </c>
      <c r="E111" s="2">
        <f t="shared" si="19"/>
        <v>14855</v>
      </c>
      <c r="F111" s="2">
        <f t="shared" si="19"/>
        <v>15902</v>
      </c>
      <c r="G111" s="2">
        <f t="shared" si="19"/>
        <v>14484</v>
      </c>
      <c r="H111" s="2">
        <f t="shared" ref="H111" si="20">+SUM(H112:H114)</f>
        <v>17179</v>
      </c>
      <c r="I111" s="2">
        <f>+SUM(I112:I114)</f>
        <v>18353</v>
      </c>
    </row>
    <row r="112" spans="1:9">
      <c r="A112" s="33" t="s">
        <v>148</v>
      </c>
      <c r="B112" s="2">
        <v>8506</v>
      </c>
      <c r="C112" s="2">
        <v>9299</v>
      </c>
      <c r="D112" s="2">
        <v>9684</v>
      </c>
      <c r="E112" s="2">
        <v>9322</v>
      </c>
      <c r="F112" s="2">
        <v>10045</v>
      </c>
      <c r="G112" s="2">
        <v>9329</v>
      </c>
      <c r="H112" s="40">
        <v>11644</v>
      </c>
      <c r="I112" s="40">
        <v>12228</v>
      </c>
    </row>
    <row r="113" spans="1:9">
      <c r="A113" s="33" t="s">
        <v>149</v>
      </c>
      <c r="B113" s="2">
        <v>4410</v>
      </c>
      <c r="C113" s="2">
        <v>4746</v>
      </c>
      <c r="D113" s="2">
        <v>4886</v>
      </c>
      <c r="E113" s="2">
        <v>4938</v>
      </c>
      <c r="F113" s="2">
        <v>5260</v>
      </c>
      <c r="G113" s="2">
        <v>4639</v>
      </c>
      <c r="H113" s="40">
        <v>5028</v>
      </c>
      <c r="I113" s="40">
        <v>5492</v>
      </c>
    </row>
    <row r="114" spans="1:9">
      <c r="A114" s="33" t="s">
        <v>150</v>
      </c>
      <c r="B114" s="2">
        <v>824</v>
      </c>
      <c r="C114" s="2">
        <v>719</v>
      </c>
      <c r="D114" s="2">
        <v>646</v>
      </c>
      <c r="E114" s="2">
        <v>595</v>
      </c>
      <c r="F114" s="2">
        <v>597</v>
      </c>
      <c r="G114" s="2">
        <v>516</v>
      </c>
      <c r="H114">
        <v>507</v>
      </c>
      <c r="I114">
        <v>633</v>
      </c>
    </row>
    <row r="115" spans="1:9">
      <c r="A115" s="1" t="s">
        <v>151</v>
      </c>
      <c r="B115" s="2">
        <f t="shared" ref="B115:H115" si="21">+SUM(B116:B118)</f>
        <v>7126</v>
      </c>
      <c r="C115" s="2">
        <f t="shared" si="21"/>
        <v>7315</v>
      </c>
      <c r="D115" s="2">
        <f t="shared" si="21"/>
        <v>7970</v>
      </c>
      <c r="E115" s="2">
        <f t="shared" si="21"/>
        <v>9242</v>
      </c>
      <c r="F115" s="2">
        <f t="shared" si="21"/>
        <v>9812</v>
      </c>
      <c r="G115" s="2">
        <f t="shared" si="21"/>
        <v>9347</v>
      </c>
      <c r="H115" s="2">
        <f t="shared" si="21"/>
        <v>11456</v>
      </c>
      <c r="I115" s="2">
        <f>+SUM(I116:I118)</f>
        <v>12479</v>
      </c>
    </row>
    <row r="116" spans="1:9">
      <c r="A116" s="33" t="s">
        <v>148</v>
      </c>
      <c r="B116" s="2">
        <f>3876+827</f>
        <v>4703</v>
      </c>
      <c r="C116" s="2">
        <f>3985+882</f>
        <v>4867</v>
      </c>
      <c r="D116" s="2">
        <v>5192</v>
      </c>
      <c r="E116" s="2">
        <v>5875</v>
      </c>
      <c r="F116" s="2">
        <v>6293</v>
      </c>
      <c r="G116" s="2">
        <v>5892</v>
      </c>
      <c r="H116" s="40">
        <v>6970</v>
      </c>
      <c r="I116" s="40">
        <v>7388</v>
      </c>
    </row>
    <row r="117" spans="1:9">
      <c r="A117" s="33" t="s">
        <v>149</v>
      </c>
      <c r="B117" s="2">
        <f>1552+499</f>
        <v>2051</v>
      </c>
      <c r="C117" s="2">
        <f>1628+463</f>
        <v>2091</v>
      </c>
      <c r="D117" s="2">
        <v>2395</v>
      </c>
      <c r="E117" s="2">
        <v>2940</v>
      </c>
      <c r="F117" s="2">
        <v>3087</v>
      </c>
      <c r="G117" s="2">
        <v>3053</v>
      </c>
      <c r="H117" s="40">
        <v>3996</v>
      </c>
      <c r="I117" s="40">
        <v>4527</v>
      </c>
    </row>
    <row r="118" spans="1:9">
      <c r="A118" s="33" t="s">
        <v>150</v>
      </c>
      <c r="B118" s="2">
        <f>277+95</f>
        <v>372</v>
      </c>
      <c r="C118" s="2">
        <f>271+86</f>
        <v>357</v>
      </c>
      <c r="D118" s="2">
        <v>383</v>
      </c>
      <c r="E118" s="2">
        <v>427</v>
      </c>
      <c r="F118" s="2">
        <v>432</v>
      </c>
      <c r="G118" s="2">
        <v>402</v>
      </c>
      <c r="H118">
        <v>490</v>
      </c>
      <c r="I118">
        <v>564</v>
      </c>
    </row>
    <row r="119" spans="1:9">
      <c r="A119" s="1" t="s">
        <v>152</v>
      </c>
      <c r="B119" s="2">
        <f t="shared" ref="B119:H119" si="22">+SUM(B120:B122)</f>
        <v>3067</v>
      </c>
      <c r="C119" s="2">
        <f t="shared" si="22"/>
        <v>3785</v>
      </c>
      <c r="D119" s="2">
        <f t="shared" si="22"/>
        <v>4237</v>
      </c>
      <c r="E119" s="2">
        <f t="shared" si="22"/>
        <v>5134</v>
      </c>
      <c r="F119" s="2">
        <f t="shared" si="22"/>
        <v>6208</v>
      </c>
      <c r="G119" s="2">
        <f t="shared" si="22"/>
        <v>6679</v>
      </c>
      <c r="H119" s="2">
        <f t="shared" si="22"/>
        <v>8290</v>
      </c>
      <c r="I119" s="2">
        <f>+SUM(I120:I122)</f>
        <v>7547</v>
      </c>
    </row>
    <row r="120" spans="1:9">
      <c r="A120" s="33" t="s">
        <v>148</v>
      </c>
      <c r="B120" s="2">
        <v>2016</v>
      </c>
      <c r="C120" s="2">
        <v>2599</v>
      </c>
      <c r="D120" s="2">
        <v>2920</v>
      </c>
      <c r="E120" s="2">
        <v>3496</v>
      </c>
      <c r="F120" s="2">
        <v>4262</v>
      </c>
      <c r="G120" s="2">
        <v>4635</v>
      </c>
      <c r="H120" s="40">
        <v>5748</v>
      </c>
      <c r="I120" s="40">
        <v>5416</v>
      </c>
    </row>
    <row r="121" spans="1:9">
      <c r="A121" s="33" t="s">
        <v>149</v>
      </c>
      <c r="B121" s="2">
        <v>925</v>
      </c>
      <c r="C121" s="2">
        <v>1055</v>
      </c>
      <c r="D121" s="2">
        <v>1188</v>
      </c>
      <c r="E121" s="2">
        <v>1508</v>
      </c>
      <c r="F121" s="2">
        <v>1808</v>
      </c>
      <c r="G121" s="2">
        <v>1896</v>
      </c>
      <c r="H121" s="40">
        <v>2347</v>
      </c>
      <c r="I121" s="40">
        <v>1938</v>
      </c>
    </row>
    <row r="122" spans="1:9">
      <c r="A122" s="33" t="s">
        <v>150</v>
      </c>
      <c r="B122" s="2">
        <v>126</v>
      </c>
      <c r="C122" s="2">
        <v>131</v>
      </c>
      <c r="D122" s="2">
        <v>129</v>
      </c>
      <c r="E122" s="2">
        <v>130</v>
      </c>
      <c r="F122" s="2">
        <v>138</v>
      </c>
      <c r="G122" s="2">
        <v>148</v>
      </c>
      <c r="H122">
        <v>195</v>
      </c>
      <c r="I122">
        <v>193</v>
      </c>
    </row>
    <row r="123" spans="1:9">
      <c r="A123" s="1" t="s">
        <v>153</v>
      </c>
      <c r="B123" s="2">
        <f t="shared" ref="B123:H123" si="23">+SUM(B124:B126)</f>
        <v>4653</v>
      </c>
      <c r="C123" s="2">
        <f t="shared" si="23"/>
        <v>4570</v>
      </c>
      <c r="D123" s="2">
        <f t="shared" si="23"/>
        <v>4737</v>
      </c>
      <c r="E123" s="2">
        <f t="shared" si="23"/>
        <v>5166</v>
      </c>
      <c r="F123" s="2">
        <f t="shared" si="23"/>
        <v>5254</v>
      </c>
      <c r="G123" s="2">
        <f t="shared" si="23"/>
        <v>5028</v>
      </c>
      <c r="H123" s="2">
        <f t="shared" si="23"/>
        <v>5343</v>
      </c>
      <c r="I123" s="2">
        <f>+SUM(I124:I126)</f>
        <v>5955</v>
      </c>
    </row>
    <row r="124" spans="1:9">
      <c r="A124" s="33" t="s">
        <v>148</v>
      </c>
      <c r="B124" s="2">
        <f>452+2641</f>
        <v>3093</v>
      </c>
      <c r="C124" s="2">
        <f>570+2536</f>
        <v>3106</v>
      </c>
      <c r="D124" s="2">
        <v>3285</v>
      </c>
      <c r="E124" s="2">
        <v>3575</v>
      </c>
      <c r="F124" s="2">
        <v>3622</v>
      </c>
      <c r="G124" s="2">
        <v>3449</v>
      </c>
      <c r="H124" s="40">
        <v>3659</v>
      </c>
      <c r="I124" s="40">
        <v>4111</v>
      </c>
    </row>
    <row r="125" spans="1:9">
      <c r="A125" s="33" t="s">
        <v>149</v>
      </c>
      <c r="B125" s="2">
        <f>230+1021</f>
        <v>1251</v>
      </c>
      <c r="C125" s="2">
        <f>228+947</f>
        <v>1175</v>
      </c>
      <c r="D125" s="2">
        <v>1185</v>
      </c>
      <c r="E125" s="2">
        <v>1347</v>
      </c>
      <c r="F125" s="2">
        <v>1395</v>
      </c>
      <c r="G125" s="2">
        <v>1365</v>
      </c>
      <c r="H125" s="40">
        <v>1494</v>
      </c>
      <c r="I125" s="40">
        <v>1610</v>
      </c>
    </row>
    <row r="126" spans="1:9">
      <c r="A126" s="33" t="s">
        <v>150</v>
      </c>
      <c r="B126" s="2">
        <f>73+236</f>
        <v>309</v>
      </c>
      <c r="C126" s="2">
        <f>71+218</f>
        <v>289</v>
      </c>
      <c r="D126" s="2">
        <v>267</v>
      </c>
      <c r="E126" s="2">
        <v>244</v>
      </c>
      <c r="F126" s="2">
        <v>237</v>
      </c>
      <c r="G126" s="2">
        <v>214</v>
      </c>
      <c r="H126">
        <v>190</v>
      </c>
      <c r="I126">
        <v>234</v>
      </c>
    </row>
    <row r="127" spans="1:9">
      <c r="A127" s="1" t="s">
        <v>154</v>
      </c>
      <c r="B127" s="2">
        <f>115</f>
        <v>115</v>
      </c>
      <c r="C127" s="2">
        <v>73</v>
      </c>
      <c r="D127" s="2">
        <v>73</v>
      </c>
      <c r="E127" s="2">
        <v>88</v>
      </c>
      <c r="F127" s="2">
        <v>42</v>
      </c>
      <c r="G127" s="2">
        <v>30</v>
      </c>
      <c r="H127" s="2">
        <v>25</v>
      </c>
      <c r="I127" s="2">
        <v>102</v>
      </c>
    </row>
    <row r="128" spans="1:9">
      <c r="A128" s="36" t="s">
        <v>155</v>
      </c>
      <c r="B128" s="37">
        <f t="shared" ref="B128:I128" si="24">+B111+B115+B119+B123+B127</f>
        <v>28701</v>
      </c>
      <c r="C128" s="37">
        <f t="shared" si="24"/>
        <v>30507</v>
      </c>
      <c r="D128" s="37">
        <f t="shared" si="24"/>
        <v>32233</v>
      </c>
      <c r="E128" s="37">
        <f t="shared" si="24"/>
        <v>34485</v>
      </c>
      <c r="F128" s="37">
        <f t="shared" si="24"/>
        <v>37218</v>
      </c>
      <c r="G128" s="37">
        <f t="shared" si="24"/>
        <v>35568</v>
      </c>
      <c r="H128" s="37">
        <f t="shared" si="24"/>
        <v>42293</v>
      </c>
      <c r="I128" s="37">
        <f t="shared" si="24"/>
        <v>44436</v>
      </c>
    </row>
    <row r="129" spans="1:9">
      <c r="A129" s="1" t="s">
        <v>156</v>
      </c>
      <c r="B129" s="2">
        <v>1982</v>
      </c>
      <c r="C129" s="2">
        <v>1955</v>
      </c>
      <c r="D129" s="2">
        <v>2042</v>
      </c>
      <c r="E129" s="2">
        <v>1886</v>
      </c>
      <c r="F129" s="2">
        <v>1906</v>
      </c>
      <c r="G129" s="2">
        <v>1846</v>
      </c>
      <c r="H129" s="2">
        <f>+SUM(H130:H133)</f>
        <v>2205</v>
      </c>
      <c r="I129" s="2">
        <f>+SUM(I130:I133)</f>
        <v>2346</v>
      </c>
    </row>
    <row r="130" spans="1:9">
      <c r="A130" s="33" t="s">
        <v>148</v>
      </c>
      <c r="B130" s="2">
        <v>1725</v>
      </c>
      <c r="C130" s="2">
        <v>1712</v>
      </c>
      <c r="D130" s="2">
        <v>1786</v>
      </c>
      <c r="E130" s="2">
        <v>1643</v>
      </c>
      <c r="F130" s="2">
        <v>1658</v>
      </c>
      <c r="G130" s="2">
        <v>1642</v>
      </c>
      <c r="H130" s="2">
        <v>1986</v>
      </c>
      <c r="I130" s="2">
        <v>2094</v>
      </c>
    </row>
    <row r="131" spans="1:9">
      <c r="A131" s="33" t="s">
        <v>149</v>
      </c>
      <c r="B131" s="2">
        <v>122</v>
      </c>
      <c r="C131" s="2">
        <v>109</v>
      </c>
      <c r="D131" s="2">
        <v>123</v>
      </c>
      <c r="E131" s="2">
        <v>104</v>
      </c>
      <c r="F131" s="2">
        <v>118</v>
      </c>
      <c r="G131" s="2">
        <v>89</v>
      </c>
      <c r="H131" s="2">
        <v>104</v>
      </c>
      <c r="I131" s="2">
        <v>103</v>
      </c>
    </row>
    <row r="132" spans="1:9">
      <c r="A132" s="33" t="s">
        <v>150</v>
      </c>
      <c r="B132" s="2">
        <v>25</v>
      </c>
      <c r="C132" s="2">
        <v>25</v>
      </c>
      <c r="D132" s="2">
        <v>26</v>
      </c>
      <c r="E132" s="2">
        <v>26</v>
      </c>
      <c r="F132" s="2">
        <v>24</v>
      </c>
      <c r="G132" s="2">
        <v>25</v>
      </c>
      <c r="H132" s="2">
        <v>29</v>
      </c>
      <c r="I132" s="2">
        <v>26</v>
      </c>
    </row>
    <row r="133" spans="1:9">
      <c r="A133" s="33" t="s">
        <v>157</v>
      </c>
      <c r="B133" s="2">
        <v>110</v>
      </c>
      <c r="C133" s="2">
        <v>109</v>
      </c>
      <c r="D133" s="2">
        <v>107</v>
      </c>
      <c r="E133" s="2">
        <v>113</v>
      </c>
      <c r="F133" s="2">
        <v>106</v>
      </c>
      <c r="G133" s="2">
        <v>90</v>
      </c>
      <c r="H133" s="2">
        <v>86</v>
      </c>
      <c r="I133" s="2">
        <v>123</v>
      </c>
    </row>
    <row r="134" spans="1:9">
      <c r="A134" s="1" t="s">
        <v>158</v>
      </c>
      <c r="B134" s="2">
        <v>-82</v>
      </c>
      <c r="C134" s="2">
        <v>-86</v>
      </c>
      <c r="D134" s="2">
        <v>75</v>
      </c>
      <c r="E134" s="2">
        <v>26</v>
      </c>
      <c r="F134" s="2">
        <v>-7</v>
      </c>
      <c r="G134" s="2">
        <v>-11</v>
      </c>
      <c r="H134" s="2">
        <v>40</v>
      </c>
      <c r="I134" s="2">
        <v>-72</v>
      </c>
    </row>
    <row r="135" spans="1:9" ht="14.65" thickBot="1">
      <c r="A135" s="38" t="s">
        <v>159</v>
      </c>
      <c r="B135" s="39">
        <f t="shared" ref="B135:H135" si="25">+B128+B129+B134</f>
        <v>30601</v>
      </c>
      <c r="C135" s="39">
        <f t="shared" si="25"/>
        <v>32376</v>
      </c>
      <c r="D135" s="39">
        <f t="shared" si="25"/>
        <v>34350</v>
      </c>
      <c r="E135" s="39">
        <f t="shared" si="25"/>
        <v>36397</v>
      </c>
      <c r="F135" s="39">
        <f t="shared" si="25"/>
        <v>39117</v>
      </c>
      <c r="G135" s="39">
        <f t="shared" si="25"/>
        <v>37403</v>
      </c>
      <c r="H135" s="39">
        <f t="shared" si="25"/>
        <v>44538</v>
      </c>
      <c r="I135" s="39">
        <f>+I128+I129+I134</f>
        <v>46710</v>
      </c>
    </row>
    <row r="136" spans="1:9" ht="14.65" thickTop="1">
      <c r="A136" s="41" t="s">
        <v>160</v>
      </c>
      <c r="B136" s="42">
        <f>+I135-I2</f>
        <v>0</v>
      </c>
      <c r="C136" s="42">
        <f t="shared" ref="C136:G136" si="26">+C135-C2</f>
        <v>0</v>
      </c>
      <c r="D136" s="42">
        <f t="shared" si="26"/>
        <v>0</v>
      </c>
      <c r="E136" s="42">
        <f t="shared" si="26"/>
        <v>0</v>
      </c>
      <c r="F136" s="42">
        <f t="shared" si="26"/>
        <v>0</v>
      </c>
      <c r="G136" s="42">
        <f t="shared" si="26"/>
        <v>0</v>
      </c>
      <c r="H136" s="42">
        <f>+H135-H2</f>
        <v>0</v>
      </c>
      <c r="I136" s="41"/>
    </row>
    <row r="137" spans="1:9">
      <c r="A137" s="31" t="s">
        <v>161</v>
      </c>
    </row>
    <row r="138" spans="1:9">
      <c r="A138" s="1" t="s">
        <v>147</v>
      </c>
      <c r="B138" s="2">
        <v>3645</v>
      </c>
      <c r="C138" s="2">
        <v>3763</v>
      </c>
      <c r="D138" s="2">
        <v>3875</v>
      </c>
      <c r="E138" s="2">
        <v>3600</v>
      </c>
      <c r="F138" s="2">
        <v>3925</v>
      </c>
      <c r="G138" s="2">
        <v>2899</v>
      </c>
      <c r="H138" s="2">
        <v>5089</v>
      </c>
      <c r="I138" s="2">
        <v>5114</v>
      </c>
    </row>
    <row r="139" spans="1:9">
      <c r="A139" s="1" t="s">
        <v>151</v>
      </c>
      <c r="B139" s="2">
        <f>1275+249</f>
        <v>1524</v>
      </c>
      <c r="C139" s="2">
        <f>1434+289</f>
        <v>1723</v>
      </c>
      <c r="D139" s="2">
        <v>1507</v>
      </c>
      <c r="E139" s="2">
        <v>1587</v>
      </c>
      <c r="F139" s="2">
        <v>1995</v>
      </c>
      <c r="G139" s="2">
        <v>1541</v>
      </c>
      <c r="H139" s="2">
        <v>2435</v>
      </c>
      <c r="I139" s="2">
        <v>3293</v>
      </c>
    </row>
    <row r="140" spans="1:9">
      <c r="A140" s="1" t="s">
        <v>152</v>
      </c>
      <c r="B140" s="2">
        <v>993</v>
      </c>
      <c r="C140" s="2">
        <f>1372</f>
        <v>1372</v>
      </c>
      <c r="D140" s="2">
        <v>1507</v>
      </c>
      <c r="E140" s="2">
        <v>1807</v>
      </c>
      <c r="F140" s="2">
        <v>2376</v>
      </c>
      <c r="G140" s="2">
        <v>2490</v>
      </c>
      <c r="H140" s="2">
        <v>3243</v>
      </c>
      <c r="I140" s="2">
        <v>2365</v>
      </c>
    </row>
    <row r="141" spans="1:9">
      <c r="A141" s="1" t="s">
        <v>153</v>
      </c>
      <c r="B141" s="2">
        <f>100+818</f>
        <v>918</v>
      </c>
      <c r="C141" s="2">
        <f>174+892</f>
        <v>1066</v>
      </c>
      <c r="D141" s="2">
        <v>980</v>
      </c>
      <c r="E141" s="2">
        <v>1189</v>
      </c>
      <c r="F141" s="2">
        <v>1323</v>
      </c>
      <c r="G141" s="2">
        <v>1184</v>
      </c>
      <c r="H141" s="2">
        <v>1530</v>
      </c>
      <c r="I141" s="2">
        <v>1896</v>
      </c>
    </row>
    <row r="142" spans="1:9">
      <c r="A142" s="1" t="s">
        <v>154</v>
      </c>
      <c r="B142" s="2">
        <v>-2267</v>
      </c>
      <c r="C142" s="2">
        <v>-2596</v>
      </c>
      <c r="D142" s="2">
        <v>-2677</v>
      </c>
      <c r="E142" s="2">
        <v>-2658</v>
      </c>
      <c r="F142" s="2">
        <v>-3262</v>
      </c>
      <c r="G142" s="2">
        <v>-3468</v>
      </c>
      <c r="H142" s="2">
        <v>-3656</v>
      </c>
      <c r="I142" s="2">
        <v>-4262</v>
      </c>
    </row>
    <row r="143" spans="1:9">
      <c r="A143" s="36" t="s">
        <v>155</v>
      </c>
      <c r="B143" s="37">
        <f t="shared" ref="B143:G143" si="27">+SUM(B138:B142)</f>
        <v>4813</v>
      </c>
      <c r="C143" s="37">
        <f t="shared" si="27"/>
        <v>5328</v>
      </c>
      <c r="D143" s="37">
        <f t="shared" si="27"/>
        <v>5192</v>
      </c>
      <c r="E143" s="37">
        <f t="shared" si="27"/>
        <v>5525</v>
      </c>
      <c r="F143" s="37">
        <f t="shared" si="27"/>
        <v>6357</v>
      </c>
      <c r="G143" s="37">
        <f t="shared" si="27"/>
        <v>4646</v>
      </c>
      <c r="H143" s="37">
        <f t="shared" ref="H143:I143" si="28">+SUM(H138:H142)</f>
        <v>8641</v>
      </c>
      <c r="I143" s="37">
        <f t="shared" si="28"/>
        <v>8406</v>
      </c>
    </row>
    <row r="144" spans="1:9">
      <c r="A144" s="1" t="s">
        <v>156</v>
      </c>
      <c r="B144" s="2">
        <v>517</v>
      </c>
      <c r="C144" s="2">
        <v>487</v>
      </c>
      <c r="D144" s="2">
        <v>477</v>
      </c>
      <c r="E144" s="2">
        <v>310</v>
      </c>
      <c r="F144" s="2">
        <v>303</v>
      </c>
      <c r="G144" s="2">
        <v>297</v>
      </c>
      <c r="H144" s="2">
        <v>543</v>
      </c>
      <c r="I144" s="2">
        <v>669</v>
      </c>
    </row>
    <row r="145" spans="1:9">
      <c r="A145" s="1" t="s">
        <v>158</v>
      </c>
      <c r="B145" s="2">
        <v>-1097</v>
      </c>
      <c r="C145" s="2">
        <v>-1173</v>
      </c>
      <c r="D145" s="2">
        <v>-724</v>
      </c>
      <c r="E145" s="2">
        <v>-1456</v>
      </c>
      <c r="F145" s="2">
        <v>-1810</v>
      </c>
      <c r="G145" s="2">
        <v>-1967</v>
      </c>
      <c r="H145" s="2">
        <v>-2261</v>
      </c>
      <c r="I145" s="2">
        <v>-2219</v>
      </c>
    </row>
    <row r="146" spans="1:9" ht="14.65" thickBot="1">
      <c r="A146" s="38" t="s">
        <v>162</v>
      </c>
      <c r="B146" s="39">
        <f t="shared" ref="B146:H146" si="29">+SUM(B143:B145)</f>
        <v>4233</v>
      </c>
      <c r="C146" s="39">
        <f t="shared" si="29"/>
        <v>4642</v>
      </c>
      <c r="D146" s="39">
        <f t="shared" si="29"/>
        <v>4945</v>
      </c>
      <c r="E146" s="39">
        <f t="shared" si="29"/>
        <v>4379</v>
      </c>
      <c r="F146" s="39">
        <f t="shared" si="29"/>
        <v>4850</v>
      </c>
      <c r="G146" s="39">
        <f t="shared" si="29"/>
        <v>2976</v>
      </c>
      <c r="H146" s="39">
        <f t="shared" si="29"/>
        <v>6923</v>
      </c>
      <c r="I146" s="39">
        <f>+SUM(I143:I145)</f>
        <v>6856</v>
      </c>
    </row>
    <row r="147" spans="1:9" ht="14.65" thickTop="1">
      <c r="A147" s="41" t="s">
        <v>160</v>
      </c>
      <c r="B147" s="42">
        <f t="shared" ref="B147:H147" si="30">+B146-B10-B8</f>
        <v>0</v>
      </c>
      <c r="C147" s="42">
        <f t="shared" si="30"/>
        <v>0</v>
      </c>
      <c r="D147" s="42">
        <f t="shared" si="30"/>
        <v>0</v>
      </c>
      <c r="E147" s="42">
        <f t="shared" si="30"/>
        <v>0</v>
      </c>
      <c r="F147" s="42">
        <f t="shared" si="30"/>
        <v>0</v>
      </c>
      <c r="G147" s="42">
        <f t="shared" si="30"/>
        <v>0</v>
      </c>
      <c r="H147" s="42">
        <f t="shared" si="30"/>
        <v>0</v>
      </c>
      <c r="I147" s="42">
        <f>+I146-I10-I8</f>
        <v>0</v>
      </c>
    </row>
    <row r="148" spans="1:9">
      <c r="A148" s="31" t="s">
        <v>163</v>
      </c>
    </row>
    <row r="149" spans="1:9">
      <c r="A149" s="1" t="s">
        <v>147</v>
      </c>
      <c r="B149" s="2">
        <v>632</v>
      </c>
      <c r="C149" s="2">
        <v>742</v>
      </c>
      <c r="D149" s="2">
        <v>819</v>
      </c>
      <c r="E149" s="2">
        <v>848</v>
      </c>
      <c r="F149" s="2">
        <v>814</v>
      </c>
      <c r="G149" s="2">
        <v>645</v>
      </c>
      <c r="H149" s="2">
        <v>617</v>
      </c>
      <c r="I149" s="2">
        <v>639</v>
      </c>
    </row>
    <row r="150" spans="1:9">
      <c r="A150" s="1" t="s">
        <v>151</v>
      </c>
      <c r="B150" s="2">
        <v>498</v>
      </c>
      <c r="C150" s="2">
        <v>639</v>
      </c>
      <c r="D150" s="2">
        <v>709</v>
      </c>
      <c r="E150" s="2">
        <v>849</v>
      </c>
      <c r="F150" s="2">
        <v>929</v>
      </c>
      <c r="G150" s="2">
        <v>885</v>
      </c>
      <c r="H150" s="2">
        <v>982</v>
      </c>
      <c r="I150" s="2">
        <v>920</v>
      </c>
    </row>
    <row r="151" spans="1:9">
      <c r="A151" s="1" t="s">
        <v>152</v>
      </c>
      <c r="B151" s="2">
        <v>254</v>
      </c>
      <c r="C151" s="2">
        <v>234</v>
      </c>
      <c r="D151" s="2">
        <v>225</v>
      </c>
      <c r="E151" s="2">
        <v>256</v>
      </c>
      <c r="F151" s="2">
        <v>237</v>
      </c>
      <c r="G151" s="2">
        <v>214</v>
      </c>
      <c r="H151" s="2">
        <v>288</v>
      </c>
      <c r="I151" s="2">
        <v>303</v>
      </c>
    </row>
    <row r="152" spans="1:9">
      <c r="A152" s="1" t="s">
        <v>164</v>
      </c>
      <c r="B152" s="2">
        <v>308</v>
      </c>
      <c r="C152" s="2">
        <v>332</v>
      </c>
      <c r="D152" s="2">
        <v>340</v>
      </c>
      <c r="E152" s="2">
        <v>339</v>
      </c>
      <c r="F152" s="2">
        <v>326</v>
      </c>
      <c r="G152" s="2">
        <v>296</v>
      </c>
      <c r="H152" s="2">
        <v>304</v>
      </c>
      <c r="I152" s="2">
        <v>274</v>
      </c>
    </row>
    <row r="153" spans="1:9">
      <c r="A153" s="1" t="s">
        <v>154</v>
      </c>
      <c r="B153" s="2">
        <v>484</v>
      </c>
      <c r="C153" s="2">
        <v>511</v>
      </c>
      <c r="D153" s="2">
        <v>533</v>
      </c>
      <c r="E153" s="2">
        <v>597</v>
      </c>
      <c r="F153" s="2">
        <v>665</v>
      </c>
      <c r="G153" s="2">
        <v>830</v>
      </c>
      <c r="H153" s="2">
        <v>780</v>
      </c>
      <c r="I153" s="2">
        <v>789</v>
      </c>
    </row>
    <row r="154" spans="1:9">
      <c r="A154" s="36" t="s">
        <v>165</v>
      </c>
      <c r="B154" s="37">
        <f t="shared" ref="B154:G154" si="31">+SUM(B149:B153)</f>
        <v>2176</v>
      </c>
      <c r="C154" s="37">
        <f t="shared" si="31"/>
        <v>2458</v>
      </c>
      <c r="D154" s="37">
        <f t="shared" si="31"/>
        <v>2626</v>
      </c>
      <c r="E154" s="37">
        <f t="shared" si="31"/>
        <v>2889</v>
      </c>
      <c r="F154" s="37">
        <f t="shared" si="31"/>
        <v>2971</v>
      </c>
      <c r="G154" s="37">
        <f t="shared" si="31"/>
        <v>2870</v>
      </c>
      <c r="H154" s="37">
        <f t="shared" ref="H154:I154" si="32">+SUM(H149:H153)</f>
        <v>2971</v>
      </c>
      <c r="I154" s="37">
        <f t="shared" si="32"/>
        <v>2925</v>
      </c>
    </row>
    <row r="155" spans="1:9">
      <c r="A155" s="1" t="s">
        <v>156</v>
      </c>
      <c r="B155" s="2">
        <v>122</v>
      </c>
      <c r="C155" s="2">
        <v>125</v>
      </c>
      <c r="D155" s="2">
        <v>125</v>
      </c>
      <c r="E155" s="2">
        <v>115</v>
      </c>
      <c r="F155" s="2">
        <v>100</v>
      </c>
      <c r="G155" s="2">
        <v>80</v>
      </c>
      <c r="H155" s="2">
        <v>63</v>
      </c>
      <c r="I155" s="2">
        <v>49</v>
      </c>
    </row>
    <row r="156" spans="1:9">
      <c r="A156" s="1" t="s">
        <v>158</v>
      </c>
      <c r="B156" s="2">
        <v>713</v>
      </c>
      <c r="C156" s="2">
        <v>937</v>
      </c>
      <c r="D156" s="2">
        <v>1238</v>
      </c>
      <c r="E156" s="2">
        <v>1450</v>
      </c>
      <c r="F156" s="2">
        <v>1673</v>
      </c>
      <c r="G156" s="2">
        <v>1916</v>
      </c>
      <c r="H156" s="2">
        <v>1870</v>
      </c>
      <c r="I156" s="2">
        <v>1817</v>
      </c>
    </row>
    <row r="157" spans="1:9" ht="14.65" thickBot="1">
      <c r="A157" s="38" t="s">
        <v>166</v>
      </c>
      <c r="B157" s="39">
        <f t="shared" ref="B157:H157" si="33">+SUM(B154:B156)</f>
        <v>3011</v>
      </c>
      <c r="C157" s="39">
        <f t="shared" si="33"/>
        <v>3520</v>
      </c>
      <c r="D157" s="39">
        <f t="shared" si="33"/>
        <v>3989</v>
      </c>
      <c r="E157" s="39">
        <f t="shared" si="33"/>
        <v>4454</v>
      </c>
      <c r="F157" s="39">
        <f t="shared" si="33"/>
        <v>4744</v>
      </c>
      <c r="G157" s="39">
        <f t="shared" si="33"/>
        <v>4866</v>
      </c>
      <c r="H157" s="39">
        <f t="shared" si="33"/>
        <v>4904</v>
      </c>
      <c r="I157" s="39">
        <f>+SUM(I154:I156)</f>
        <v>4791</v>
      </c>
    </row>
    <row r="158" spans="1:9" ht="14.65" thickTop="1">
      <c r="A158" s="41" t="s">
        <v>160</v>
      </c>
      <c r="B158" s="42">
        <f t="shared" ref="B158:H158" si="34">+B157-B31</f>
        <v>0</v>
      </c>
      <c r="C158" s="42">
        <f t="shared" si="34"/>
        <v>0</v>
      </c>
      <c r="D158" s="42">
        <f t="shared" si="34"/>
        <v>0</v>
      </c>
      <c r="E158" s="42">
        <f t="shared" si="34"/>
        <v>0</v>
      </c>
      <c r="F158" s="42">
        <f t="shared" si="34"/>
        <v>0</v>
      </c>
      <c r="G158" s="42">
        <f t="shared" si="34"/>
        <v>0</v>
      </c>
      <c r="H158" s="42">
        <f t="shared" si="34"/>
        <v>0</v>
      </c>
      <c r="I158" s="42">
        <f>+I157-I31</f>
        <v>0</v>
      </c>
    </row>
    <row r="159" spans="1:9">
      <c r="A159" s="31" t="s">
        <v>167</v>
      </c>
    </row>
    <row r="160" spans="1:9">
      <c r="A160" s="1" t="s">
        <v>147</v>
      </c>
      <c r="B160" s="2">
        <v>208</v>
      </c>
      <c r="C160" s="2">
        <v>242</v>
      </c>
      <c r="D160" s="2">
        <v>223</v>
      </c>
      <c r="E160" s="2">
        <v>196</v>
      </c>
      <c r="F160" s="2">
        <v>117</v>
      </c>
      <c r="G160" s="2">
        <v>110</v>
      </c>
      <c r="H160" s="2">
        <v>98</v>
      </c>
      <c r="I160" s="2">
        <v>146</v>
      </c>
    </row>
    <row r="161" spans="1:9">
      <c r="A161" s="1" t="s">
        <v>151</v>
      </c>
      <c r="B161" s="2">
        <v>236</v>
      </c>
      <c r="C161" s="2">
        <v>234</v>
      </c>
      <c r="D161" s="2">
        <v>173</v>
      </c>
      <c r="E161" s="2">
        <v>240</v>
      </c>
      <c r="F161" s="2">
        <v>233</v>
      </c>
      <c r="G161" s="2">
        <v>139</v>
      </c>
      <c r="H161" s="2">
        <v>153</v>
      </c>
      <c r="I161" s="2">
        <v>197</v>
      </c>
    </row>
    <row r="162" spans="1:9">
      <c r="A162" s="1" t="s">
        <v>152</v>
      </c>
      <c r="B162" s="2">
        <v>69</v>
      </c>
      <c r="C162" s="2">
        <v>44</v>
      </c>
      <c r="D162" s="2">
        <v>51</v>
      </c>
      <c r="E162" s="2">
        <v>76</v>
      </c>
      <c r="F162" s="2">
        <v>49</v>
      </c>
      <c r="G162" s="2">
        <v>28</v>
      </c>
      <c r="H162" s="2">
        <v>94</v>
      </c>
      <c r="I162" s="2">
        <v>78</v>
      </c>
    </row>
    <row r="163" spans="1:9">
      <c r="A163" s="1" t="s">
        <v>164</v>
      </c>
      <c r="B163" s="2">
        <v>52</v>
      </c>
      <c r="C163" s="2">
        <v>62</v>
      </c>
      <c r="D163" s="2">
        <v>59</v>
      </c>
      <c r="E163" s="2">
        <v>49</v>
      </c>
      <c r="F163" s="2">
        <v>47</v>
      </c>
      <c r="G163" s="2">
        <v>41</v>
      </c>
      <c r="H163" s="2">
        <v>54</v>
      </c>
      <c r="I163" s="2">
        <v>56</v>
      </c>
    </row>
    <row r="164" spans="1:9">
      <c r="A164" s="1" t="s">
        <v>154</v>
      </c>
      <c r="B164" s="2">
        <v>225</v>
      </c>
      <c r="C164" s="2">
        <v>258</v>
      </c>
      <c r="D164" s="2">
        <v>278</v>
      </c>
      <c r="E164" s="2">
        <v>286</v>
      </c>
      <c r="F164" s="2">
        <v>278</v>
      </c>
      <c r="G164" s="2">
        <v>438</v>
      </c>
      <c r="H164" s="2">
        <v>278</v>
      </c>
      <c r="I164" s="2">
        <v>222</v>
      </c>
    </row>
    <row r="165" spans="1:9">
      <c r="A165" s="36" t="s">
        <v>165</v>
      </c>
      <c r="B165" s="37">
        <f t="shared" ref="B165:I165" si="35">+SUM(B160:B164)</f>
        <v>790</v>
      </c>
      <c r="C165" s="37">
        <f t="shared" si="35"/>
        <v>840</v>
      </c>
      <c r="D165" s="37">
        <f t="shared" si="35"/>
        <v>784</v>
      </c>
      <c r="E165" s="37">
        <f t="shared" si="35"/>
        <v>847</v>
      </c>
      <c r="F165" s="37">
        <f t="shared" si="35"/>
        <v>724</v>
      </c>
      <c r="G165" s="37">
        <f t="shared" si="35"/>
        <v>756</v>
      </c>
      <c r="H165" s="37">
        <f t="shared" si="35"/>
        <v>677</v>
      </c>
      <c r="I165" s="37">
        <f t="shared" si="35"/>
        <v>699</v>
      </c>
    </row>
    <row r="166" spans="1:9">
      <c r="A166" s="1" t="s">
        <v>156</v>
      </c>
      <c r="B166" s="2">
        <v>69</v>
      </c>
      <c r="C166" s="2">
        <v>39</v>
      </c>
      <c r="D166" s="2">
        <v>30</v>
      </c>
      <c r="E166" s="2">
        <v>22</v>
      </c>
      <c r="F166" s="2">
        <v>28</v>
      </c>
      <c r="G166" s="2">
        <v>10</v>
      </c>
      <c r="H166" s="2">
        <v>7</v>
      </c>
      <c r="I166" s="2">
        <v>9</v>
      </c>
    </row>
    <row r="167" spans="1:9">
      <c r="A167" s="1" t="s">
        <v>158</v>
      </c>
      <c r="B167" s="2">
        <f t="shared" ref="B167:G167" si="36">-(SUM(B165:B166)+B82)</f>
        <v>104</v>
      </c>
      <c r="C167" s="2">
        <f t="shared" si="36"/>
        <v>264</v>
      </c>
      <c r="D167" s="2">
        <f t="shared" si="36"/>
        <v>291</v>
      </c>
      <c r="E167" s="2">
        <f t="shared" si="36"/>
        <v>159</v>
      </c>
      <c r="F167" s="2">
        <f t="shared" si="36"/>
        <v>367</v>
      </c>
      <c r="G167" s="2">
        <f t="shared" si="36"/>
        <v>320</v>
      </c>
      <c r="H167" s="2">
        <f t="shared" ref="H167" si="37">-(SUM(H165:H166)+H82)</f>
        <v>11</v>
      </c>
      <c r="I167" s="2">
        <f>-(SUM(I165:I166)+I82)</f>
        <v>50</v>
      </c>
    </row>
    <row r="168" spans="1:9" ht="14.65" thickBot="1">
      <c r="A168" s="38" t="s">
        <v>168</v>
      </c>
      <c r="B168" s="39">
        <f t="shared" ref="B168:G168" si="38">+SUM(B165:B167)</f>
        <v>963</v>
      </c>
      <c r="C168" s="39">
        <f t="shared" si="38"/>
        <v>1143</v>
      </c>
      <c r="D168" s="39">
        <f t="shared" si="38"/>
        <v>1105</v>
      </c>
      <c r="E168" s="39">
        <f t="shared" si="38"/>
        <v>1028</v>
      </c>
      <c r="F168" s="39">
        <f t="shared" si="38"/>
        <v>1119</v>
      </c>
      <c r="G168" s="39">
        <f t="shared" si="38"/>
        <v>1086</v>
      </c>
      <c r="H168" s="39">
        <f t="shared" ref="H168" si="39">+SUM(H165:H167)</f>
        <v>695</v>
      </c>
      <c r="I168" s="39">
        <f>+SUM(I165:I167)</f>
        <v>758</v>
      </c>
    </row>
    <row r="169" spans="1:9" ht="14.65" thickTop="1">
      <c r="A169" s="41" t="s">
        <v>160</v>
      </c>
      <c r="B169" s="42">
        <f t="shared" ref="B169:H169" si="40">+B168+B82</f>
        <v>0</v>
      </c>
      <c r="C169" s="42">
        <f t="shared" si="40"/>
        <v>0</v>
      </c>
      <c r="D169" s="42">
        <f t="shared" si="40"/>
        <v>0</v>
      </c>
      <c r="E169" s="42">
        <f t="shared" si="40"/>
        <v>0</v>
      </c>
      <c r="F169" s="42">
        <f t="shared" si="40"/>
        <v>0</v>
      </c>
      <c r="G169" s="42">
        <f t="shared" si="40"/>
        <v>0</v>
      </c>
      <c r="H169" s="42">
        <f t="shared" si="40"/>
        <v>0</v>
      </c>
      <c r="I169" s="42">
        <f>+I168+I82</f>
        <v>0</v>
      </c>
    </row>
    <row r="170" spans="1:9">
      <c r="A170" s="31" t="s">
        <v>169</v>
      </c>
    </row>
    <row r="171" spans="1:9">
      <c r="A171" s="1" t="s">
        <v>147</v>
      </c>
      <c r="B171" s="2">
        <v>121</v>
      </c>
      <c r="C171" s="2">
        <v>133</v>
      </c>
      <c r="D171" s="2">
        <v>140</v>
      </c>
      <c r="E171" s="2">
        <v>160</v>
      </c>
      <c r="F171" s="2">
        <v>149</v>
      </c>
      <c r="G171" s="2">
        <v>148</v>
      </c>
      <c r="H171" s="2">
        <v>130</v>
      </c>
      <c r="I171" s="2">
        <v>124</v>
      </c>
    </row>
    <row r="172" spans="1:9">
      <c r="A172" s="1" t="s">
        <v>151</v>
      </c>
      <c r="B172" s="2">
        <v>87</v>
      </c>
      <c r="C172" s="2">
        <v>85</v>
      </c>
      <c r="D172" s="2">
        <v>106</v>
      </c>
      <c r="E172" s="2">
        <v>116</v>
      </c>
      <c r="F172" s="2">
        <v>111</v>
      </c>
      <c r="G172" s="2">
        <v>132</v>
      </c>
      <c r="H172" s="2">
        <v>136</v>
      </c>
      <c r="I172" s="2">
        <v>134</v>
      </c>
    </row>
    <row r="173" spans="1:9">
      <c r="A173" s="1" t="s">
        <v>152</v>
      </c>
      <c r="B173" s="2">
        <v>46</v>
      </c>
      <c r="C173" s="2">
        <v>48</v>
      </c>
      <c r="D173" s="2">
        <v>54</v>
      </c>
      <c r="E173" s="2">
        <v>56</v>
      </c>
      <c r="F173" s="2">
        <v>50</v>
      </c>
      <c r="G173" s="2">
        <v>44</v>
      </c>
      <c r="H173" s="2">
        <v>46</v>
      </c>
      <c r="I173" s="2">
        <v>41</v>
      </c>
    </row>
    <row r="174" spans="1:9">
      <c r="A174" s="1" t="s">
        <v>153</v>
      </c>
      <c r="B174" s="2">
        <v>49</v>
      </c>
      <c r="C174" s="2">
        <v>42</v>
      </c>
      <c r="D174" s="2">
        <v>54</v>
      </c>
      <c r="E174" s="2">
        <v>55</v>
      </c>
      <c r="F174" s="2">
        <v>53</v>
      </c>
      <c r="G174" s="2">
        <v>46</v>
      </c>
      <c r="H174" s="2">
        <v>43</v>
      </c>
      <c r="I174" s="2">
        <v>42</v>
      </c>
    </row>
    <row r="175" spans="1:9">
      <c r="A175" s="1" t="s">
        <v>154</v>
      </c>
      <c r="B175" s="2">
        <v>210</v>
      </c>
      <c r="C175" s="2">
        <v>230</v>
      </c>
      <c r="D175" s="2">
        <v>233</v>
      </c>
      <c r="E175" s="2">
        <v>217</v>
      </c>
      <c r="F175" s="2">
        <v>195</v>
      </c>
      <c r="G175" s="2">
        <v>214</v>
      </c>
      <c r="H175" s="2">
        <v>222</v>
      </c>
      <c r="I175" s="2">
        <v>220</v>
      </c>
    </row>
    <row r="176" spans="1:9">
      <c r="A176" s="36" t="s">
        <v>165</v>
      </c>
      <c r="B176" s="37">
        <f t="shared" ref="B176:I176" si="41">+SUM(B171:B175)</f>
        <v>513</v>
      </c>
      <c r="C176" s="37">
        <f t="shared" si="41"/>
        <v>538</v>
      </c>
      <c r="D176" s="37">
        <f t="shared" si="41"/>
        <v>587</v>
      </c>
      <c r="E176" s="37">
        <f t="shared" si="41"/>
        <v>604</v>
      </c>
      <c r="F176" s="37">
        <f t="shared" si="41"/>
        <v>558</v>
      </c>
      <c r="G176" s="37">
        <f t="shared" si="41"/>
        <v>584</v>
      </c>
      <c r="H176" s="37">
        <f t="shared" si="41"/>
        <v>577</v>
      </c>
      <c r="I176" s="37">
        <f t="shared" si="41"/>
        <v>561</v>
      </c>
    </row>
    <row r="177" spans="1:9">
      <c r="A177" s="1" t="s">
        <v>156</v>
      </c>
      <c r="B177" s="2">
        <v>18</v>
      </c>
      <c r="C177" s="2">
        <v>27</v>
      </c>
      <c r="D177" s="2">
        <v>28</v>
      </c>
      <c r="E177" s="2">
        <v>33</v>
      </c>
      <c r="F177" s="2">
        <v>31</v>
      </c>
      <c r="G177" s="2">
        <v>25</v>
      </c>
      <c r="H177" s="2">
        <v>26</v>
      </c>
      <c r="I177" s="2">
        <v>22</v>
      </c>
    </row>
    <row r="178" spans="1:9">
      <c r="A178" s="1" t="s">
        <v>158</v>
      </c>
      <c r="B178" s="2">
        <v>75</v>
      </c>
      <c r="C178" s="2">
        <v>84</v>
      </c>
      <c r="D178" s="2">
        <v>91</v>
      </c>
      <c r="E178" s="2">
        <v>110</v>
      </c>
      <c r="F178" s="2">
        <v>116</v>
      </c>
      <c r="G178" s="2">
        <v>112</v>
      </c>
      <c r="H178" s="2">
        <v>141</v>
      </c>
      <c r="I178" s="2">
        <v>134</v>
      </c>
    </row>
    <row r="179" spans="1:9" ht="14.65" thickBot="1">
      <c r="A179" s="38" t="s">
        <v>170</v>
      </c>
      <c r="B179" s="39">
        <f t="shared" ref="B179:H179" si="42">+SUM(B176:B178)</f>
        <v>606</v>
      </c>
      <c r="C179" s="39">
        <f t="shared" si="42"/>
        <v>649</v>
      </c>
      <c r="D179" s="39">
        <f t="shared" si="42"/>
        <v>706</v>
      </c>
      <c r="E179" s="39">
        <f t="shared" si="42"/>
        <v>747</v>
      </c>
      <c r="F179" s="39">
        <f t="shared" si="42"/>
        <v>705</v>
      </c>
      <c r="G179" s="39">
        <f t="shared" si="42"/>
        <v>721</v>
      </c>
      <c r="H179" s="39">
        <f t="shared" si="42"/>
        <v>744</v>
      </c>
      <c r="I179" s="39">
        <f>+SUM(I176:I178)</f>
        <v>717</v>
      </c>
    </row>
    <row r="180" spans="1:9" ht="14.65" thickTop="1">
      <c r="A180" s="41" t="s">
        <v>160</v>
      </c>
      <c r="B180" s="42">
        <f t="shared" ref="B180:H180" si="43">+B179-B66</f>
        <v>0</v>
      </c>
      <c r="C180" s="42">
        <f t="shared" si="43"/>
        <v>0</v>
      </c>
      <c r="D180" s="42">
        <f t="shared" si="43"/>
        <v>0</v>
      </c>
      <c r="E180" s="42">
        <f t="shared" si="43"/>
        <v>0</v>
      </c>
      <c r="F180" s="42">
        <f t="shared" si="43"/>
        <v>0</v>
      </c>
      <c r="G180" s="42">
        <f t="shared" si="43"/>
        <v>0</v>
      </c>
      <c r="H180" s="42">
        <f t="shared" si="43"/>
        <v>0</v>
      </c>
      <c r="I180" s="42">
        <f>+I179-I66</f>
        <v>0</v>
      </c>
    </row>
    <row r="181" spans="1:9">
      <c r="A181" s="8" t="s">
        <v>171</v>
      </c>
      <c r="B181" s="8"/>
      <c r="C181" s="8"/>
      <c r="D181" s="8"/>
      <c r="E181" s="8"/>
      <c r="F181" s="8"/>
      <c r="G181" s="8"/>
      <c r="H181" s="8"/>
      <c r="I181" s="8"/>
    </row>
    <row r="182" spans="1:9">
      <c r="A182" s="48" t="s">
        <v>172</v>
      </c>
    </row>
    <row r="183" spans="1:9">
      <c r="A183" s="49" t="s">
        <v>147</v>
      </c>
      <c r="B183" s="2">
        <v>0</v>
      </c>
      <c r="C183" s="50">
        <f t="shared" ref="C183:H198" si="44">(C111-B111)/B111</f>
        <v>7.4526928675400297E-2</v>
      </c>
      <c r="D183" s="50">
        <f t="shared" si="44"/>
        <v>3.061500948252506E-2</v>
      </c>
      <c r="E183" s="50">
        <f t="shared" si="44"/>
        <v>-2.3725026288117772E-2</v>
      </c>
      <c r="F183" s="50">
        <f t="shared" si="44"/>
        <v>7.0481319421070346E-2</v>
      </c>
      <c r="G183" s="50">
        <f t="shared" si="44"/>
        <v>-8.9171173437303478E-2</v>
      </c>
      <c r="H183" s="50">
        <f>(H111-G111)/G111</f>
        <v>0.18606738470035902</v>
      </c>
      <c r="I183" s="50">
        <v>7.0000000000000007E-2</v>
      </c>
    </row>
    <row r="184" spans="1:9">
      <c r="A184" s="51" t="s">
        <v>148</v>
      </c>
      <c r="B184" s="2">
        <v>0</v>
      </c>
      <c r="C184" s="52">
        <f t="shared" si="44"/>
        <v>9.3228309428638606E-2</v>
      </c>
      <c r="D184" s="52">
        <f t="shared" si="44"/>
        <v>4.1402301322722872E-2</v>
      </c>
      <c r="E184" s="52">
        <f t="shared" si="44"/>
        <v>-3.7381247418422137E-2</v>
      </c>
      <c r="F184" s="52">
        <f t="shared" si="44"/>
        <v>7.7558463848959452E-2</v>
      </c>
      <c r="G184" s="52">
        <f t="shared" si="44"/>
        <v>-7.1279243404678949E-2</v>
      </c>
      <c r="H184" s="52">
        <f t="shared" si="44"/>
        <v>0.24815092721620752</v>
      </c>
      <c r="I184" s="52">
        <v>0.05</v>
      </c>
    </row>
    <row r="185" spans="1:9">
      <c r="A185" s="51" t="s">
        <v>149</v>
      </c>
      <c r="B185" s="2">
        <v>0</v>
      </c>
      <c r="C185" s="52">
        <f t="shared" si="44"/>
        <v>7.6190476190476197E-2</v>
      </c>
      <c r="D185" s="52">
        <f t="shared" si="44"/>
        <v>2.9498525073746312E-2</v>
      </c>
      <c r="E185" s="52">
        <f t="shared" si="44"/>
        <v>1.0642652476463364E-2</v>
      </c>
      <c r="F185" s="52">
        <f t="shared" si="44"/>
        <v>6.5208586472255969E-2</v>
      </c>
      <c r="G185" s="52">
        <f t="shared" si="44"/>
        <v>-0.11806083650190113</v>
      </c>
      <c r="H185" s="52">
        <f t="shared" si="44"/>
        <v>8.3854278939426596E-2</v>
      </c>
      <c r="I185" s="52">
        <v>0.09</v>
      </c>
    </row>
    <row r="186" spans="1:9">
      <c r="A186" s="51" t="s">
        <v>150</v>
      </c>
      <c r="B186" s="2">
        <v>0</v>
      </c>
      <c r="C186" s="52">
        <f t="shared" si="44"/>
        <v>-0.12742718446601942</v>
      </c>
      <c r="D186" s="52">
        <f t="shared" si="44"/>
        <v>-0.10152990264255911</v>
      </c>
      <c r="E186" s="52">
        <f t="shared" si="44"/>
        <v>-7.8947368421052627E-2</v>
      </c>
      <c r="F186" s="52">
        <f t="shared" si="44"/>
        <v>3.3613445378151263E-3</v>
      </c>
      <c r="G186" s="52">
        <f t="shared" si="44"/>
        <v>-0.135678391959799</v>
      </c>
      <c r="H186" s="52">
        <f t="shared" si="44"/>
        <v>-1.7441860465116279E-2</v>
      </c>
      <c r="I186" s="52">
        <v>0.25</v>
      </c>
    </row>
    <row r="187" spans="1:9">
      <c r="A187" s="49" t="s">
        <v>151</v>
      </c>
      <c r="B187" s="2">
        <v>0</v>
      </c>
      <c r="C187" s="50">
        <f t="shared" si="44"/>
        <v>2.6522593320235755E-2</v>
      </c>
      <c r="D187" s="50">
        <f t="shared" si="44"/>
        <v>8.9542036910457964E-2</v>
      </c>
      <c r="E187" s="50">
        <f t="shared" si="44"/>
        <v>0.15959849435382686</v>
      </c>
      <c r="F187" s="50">
        <f t="shared" si="44"/>
        <v>6.1674962129409219E-2</v>
      </c>
      <c r="G187" s="50">
        <f t="shared" si="44"/>
        <v>-4.7390949857317573E-2</v>
      </c>
      <c r="H187" s="50">
        <f t="shared" si="44"/>
        <v>0.22563389322777361</v>
      </c>
      <c r="I187" s="50">
        <v>0.12</v>
      </c>
    </row>
    <row r="188" spans="1:9">
      <c r="A188" s="51" t="s">
        <v>148</v>
      </c>
      <c r="B188" s="2">
        <v>0</v>
      </c>
      <c r="C188" s="52">
        <f t="shared" si="44"/>
        <v>3.4871358707208165E-2</v>
      </c>
      <c r="D188" s="52">
        <f t="shared" si="44"/>
        <v>6.6776248202177937E-2</v>
      </c>
      <c r="E188" s="52">
        <f t="shared" si="44"/>
        <v>0.13154853620955315</v>
      </c>
      <c r="F188" s="52">
        <f t="shared" si="44"/>
        <v>7.114893617021277E-2</v>
      </c>
      <c r="G188" s="52">
        <f t="shared" si="44"/>
        <v>-6.3721595423486418E-2</v>
      </c>
      <c r="H188" s="52">
        <f t="shared" si="44"/>
        <v>0.18295994568906992</v>
      </c>
      <c r="I188" s="52">
        <v>0.09</v>
      </c>
    </row>
    <row r="189" spans="1:9">
      <c r="A189" s="51" t="s">
        <v>149</v>
      </c>
      <c r="B189" s="2">
        <v>0</v>
      </c>
      <c r="C189" s="52">
        <f t="shared" si="44"/>
        <v>1.9502681618722574E-2</v>
      </c>
      <c r="D189" s="52">
        <f t="shared" si="44"/>
        <v>0.14538498326159732</v>
      </c>
      <c r="E189" s="52">
        <f t="shared" si="44"/>
        <v>0.22755741127348644</v>
      </c>
      <c r="F189" s="52">
        <f t="shared" si="44"/>
        <v>0.05</v>
      </c>
      <c r="G189" s="52">
        <f t="shared" si="44"/>
        <v>-1.101392938127632E-2</v>
      </c>
      <c r="H189" s="52">
        <f t="shared" si="44"/>
        <v>0.30887651490337376</v>
      </c>
      <c r="I189" s="52">
        <v>0.16</v>
      </c>
    </row>
    <row r="190" spans="1:9">
      <c r="A190" s="51" t="s">
        <v>150</v>
      </c>
      <c r="B190" s="2">
        <v>0</v>
      </c>
      <c r="C190" s="52">
        <f t="shared" si="44"/>
        <v>-4.0322580645161289E-2</v>
      </c>
      <c r="D190" s="52">
        <f t="shared" si="44"/>
        <v>7.2829131652661069E-2</v>
      </c>
      <c r="E190" s="52">
        <f t="shared" si="44"/>
        <v>0.11488250652741515</v>
      </c>
      <c r="F190" s="52">
        <f t="shared" si="44"/>
        <v>1.1709601873536301E-2</v>
      </c>
      <c r="G190" s="52">
        <f t="shared" si="44"/>
        <v>-6.9444444444444448E-2</v>
      </c>
      <c r="H190" s="52">
        <f t="shared" si="44"/>
        <v>0.21890547263681592</v>
      </c>
      <c r="I190" s="52">
        <v>0.17</v>
      </c>
    </row>
    <row r="191" spans="1:9">
      <c r="A191" s="49" t="s">
        <v>152</v>
      </c>
      <c r="B191" s="2">
        <v>0</v>
      </c>
      <c r="C191" s="50">
        <f t="shared" si="44"/>
        <v>0.23410498858819692</v>
      </c>
      <c r="D191" s="50">
        <f t="shared" si="44"/>
        <v>0.11941875825627477</v>
      </c>
      <c r="E191" s="50">
        <f t="shared" si="44"/>
        <v>0.21170639603493038</v>
      </c>
      <c r="F191" s="50">
        <f t="shared" si="44"/>
        <v>0.20919361121932217</v>
      </c>
      <c r="G191" s="50">
        <f t="shared" si="44"/>
        <v>7.5869845360824736E-2</v>
      </c>
      <c r="H191" s="50">
        <f t="shared" si="44"/>
        <v>0.24120377301991316</v>
      </c>
      <c r="I191" s="50">
        <v>-0.13</v>
      </c>
    </row>
    <row r="192" spans="1:9">
      <c r="A192" s="51" t="s">
        <v>148</v>
      </c>
      <c r="B192" s="2">
        <v>0</v>
      </c>
      <c r="C192" s="52">
        <f t="shared" si="44"/>
        <v>0.28918650793650796</v>
      </c>
      <c r="D192" s="52">
        <f t="shared" si="44"/>
        <v>0.12350904193920739</v>
      </c>
      <c r="E192" s="52">
        <f t="shared" si="44"/>
        <v>0.19726027397260273</v>
      </c>
      <c r="F192" s="52">
        <f t="shared" si="44"/>
        <v>0.21910755148741418</v>
      </c>
      <c r="G192" s="52">
        <f t="shared" si="44"/>
        <v>8.7517597372125763E-2</v>
      </c>
      <c r="H192" s="52">
        <f t="shared" si="44"/>
        <v>0.24012944983818771</v>
      </c>
      <c r="I192" s="52">
        <v>-0.1</v>
      </c>
    </row>
    <row r="193" spans="1:9">
      <c r="A193" s="51" t="s">
        <v>149</v>
      </c>
      <c r="B193" s="2">
        <v>0</v>
      </c>
      <c r="C193" s="52">
        <f t="shared" si="44"/>
        <v>0.14054054054054055</v>
      </c>
      <c r="D193" s="52">
        <f t="shared" si="44"/>
        <v>0.12606635071090047</v>
      </c>
      <c r="E193" s="52">
        <f t="shared" si="44"/>
        <v>0.26936026936026936</v>
      </c>
      <c r="F193" s="52">
        <f t="shared" si="44"/>
        <v>0.19893899204244031</v>
      </c>
      <c r="G193" s="52">
        <f t="shared" si="44"/>
        <v>4.8672566371681415E-2</v>
      </c>
      <c r="H193" s="52">
        <f t="shared" si="44"/>
        <v>0.2378691983122363</v>
      </c>
      <c r="I193" s="52">
        <v>-0.21</v>
      </c>
    </row>
    <row r="194" spans="1:9">
      <c r="A194" s="51" t="s">
        <v>150</v>
      </c>
      <c r="B194" s="2">
        <v>0</v>
      </c>
      <c r="C194" s="52">
        <f t="shared" si="44"/>
        <v>3.968253968253968E-2</v>
      </c>
      <c r="D194" s="52">
        <f t="shared" si="44"/>
        <v>-1.5267175572519083E-2</v>
      </c>
      <c r="E194" s="52">
        <f t="shared" si="44"/>
        <v>7.7519379844961239E-3</v>
      </c>
      <c r="F194" s="52">
        <f t="shared" si="44"/>
        <v>6.1538461538461542E-2</v>
      </c>
      <c r="G194" s="52">
        <f t="shared" si="44"/>
        <v>7.2463768115942032E-2</v>
      </c>
      <c r="H194" s="52">
        <f t="shared" si="44"/>
        <v>0.31756756756756754</v>
      </c>
      <c r="I194" s="52">
        <v>-0.06</v>
      </c>
    </row>
    <row r="195" spans="1:9">
      <c r="A195" s="49" t="s">
        <v>153</v>
      </c>
      <c r="B195" s="2">
        <v>0</v>
      </c>
      <c r="C195" s="50">
        <f t="shared" si="44"/>
        <v>-1.7837954008166772E-2</v>
      </c>
      <c r="D195" s="50">
        <f t="shared" si="44"/>
        <v>3.6542669584245076E-2</v>
      </c>
      <c r="E195" s="50">
        <f t="shared" si="44"/>
        <v>9.0563647878404055E-2</v>
      </c>
      <c r="F195" s="50">
        <f t="shared" si="44"/>
        <v>1.7034456058846303E-2</v>
      </c>
      <c r="G195" s="50">
        <f t="shared" si="44"/>
        <v>-4.3014845831747243E-2</v>
      </c>
      <c r="H195" s="50">
        <f t="shared" si="44"/>
        <v>6.2649164677804292E-2</v>
      </c>
      <c r="I195" s="50">
        <v>0.16</v>
      </c>
    </row>
    <row r="196" spans="1:9">
      <c r="A196" s="51" t="s">
        <v>148</v>
      </c>
      <c r="B196" s="2">
        <v>0</v>
      </c>
      <c r="C196" s="52">
        <f t="shared" si="44"/>
        <v>4.2030391205948913E-3</v>
      </c>
      <c r="D196" s="52">
        <f t="shared" si="44"/>
        <v>5.7630392788151963E-2</v>
      </c>
      <c r="E196" s="52">
        <f t="shared" si="44"/>
        <v>8.8280060882800604E-2</v>
      </c>
      <c r="F196" s="52">
        <f t="shared" si="44"/>
        <v>1.3146853146853148E-2</v>
      </c>
      <c r="G196" s="52">
        <f t="shared" si="44"/>
        <v>-4.7763666482606291E-2</v>
      </c>
      <c r="H196" s="52">
        <f t="shared" si="44"/>
        <v>6.0887213685126125E-2</v>
      </c>
      <c r="I196" s="52">
        <v>0.17</v>
      </c>
    </row>
    <row r="197" spans="1:9">
      <c r="A197" s="51" t="s">
        <v>149</v>
      </c>
      <c r="B197" s="2">
        <v>0</v>
      </c>
      <c r="C197" s="52">
        <f t="shared" si="44"/>
        <v>-6.0751398880895285E-2</v>
      </c>
      <c r="D197" s="52">
        <f t="shared" si="44"/>
        <v>8.5106382978723406E-3</v>
      </c>
      <c r="E197" s="52">
        <f t="shared" si="44"/>
        <v>0.13670886075949368</v>
      </c>
      <c r="F197" s="52">
        <f t="shared" si="44"/>
        <v>3.5634743875278395E-2</v>
      </c>
      <c r="G197" s="52">
        <f t="shared" si="44"/>
        <v>-2.1505376344086023E-2</v>
      </c>
      <c r="H197" s="52">
        <f t="shared" si="44"/>
        <v>9.4505494505494503E-2</v>
      </c>
      <c r="I197" s="52">
        <v>0.12</v>
      </c>
    </row>
    <row r="198" spans="1:9">
      <c r="A198" s="51" t="s">
        <v>150</v>
      </c>
      <c r="B198" s="2">
        <v>0</v>
      </c>
      <c r="C198" s="52">
        <f t="shared" si="44"/>
        <v>-6.4724919093851127E-2</v>
      </c>
      <c r="D198" s="52">
        <f t="shared" si="44"/>
        <v>-7.6124567474048443E-2</v>
      </c>
      <c r="E198" s="52">
        <f t="shared" si="44"/>
        <v>-8.6142322097378279E-2</v>
      </c>
      <c r="F198" s="52">
        <f t="shared" si="44"/>
        <v>-2.8688524590163935E-2</v>
      </c>
      <c r="G198" s="52">
        <f t="shared" si="44"/>
        <v>-9.7046413502109699E-2</v>
      </c>
      <c r="H198" s="52">
        <f t="shared" si="44"/>
        <v>-0.11214953271028037</v>
      </c>
      <c r="I198" s="52">
        <v>0.28000000000000003</v>
      </c>
    </row>
    <row r="199" spans="1:9">
      <c r="A199" s="49" t="s">
        <v>154</v>
      </c>
      <c r="B199" s="2">
        <v>0</v>
      </c>
      <c r="C199" s="50">
        <f t="shared" ref="C199:H207" si="45">(C127-B127)/B127</f>
        <v>-0.36521739130434783</v>
      </c>
      <c r="D199" s="50">
        <f t="shared" si="45"/>
        <v>0</v>
      </c>
      <c r="E199" s="50">
        <f t="shared" si="45"/>
        <v>0.20547945205479451</v>
      </c>
      <c r="F199" s="50">
        <f t="shared" si="45"/>
        <v>-0.52272727272727271</v>
      </c>
      <c r="G199" s="50">
        <f t="shared" si="45"/>
        <v>-0.2857142857142857</v>
      </c>
      <c r="H199" s="50">
        <f t="shared" si="45"/>
        <v>-0.16666666666666666</v>
      </c>
      <c r="I199" s="50">
        <v>3.02</v>
      </c>
    </row>
    <row r="200" spans="1:9">
      <c r="A200" s="53" t="s">
        <v>155</v>
      </c>
      <c r="B200" s="54">
        <v>0</v>
      </c>
      <c r="C200" s="55">
        <f t="shared" si="45"/>
        <v>6.2924636772237905E-2</v>
      </c>
      <c r="D200" s="55">
        <f t="shared" si="45"/>
        <v>5.6577179008096501E-2</v>
      </c>
      <c r="E200" s="55">
        <f t="shared" si="45"/>
        <v>6.9866286104303038E-2</v>
      </c>
      <c r="F200" s="55">
        <f t="shared" si="45"/>
        <v>7.9251848629839056E-2</v>
      </c>
      <c r="G200" s="55">
        <f t="shared" si="45"/>
        <v>-4.4333387070772209E-2</v>
      </c>
      <c r="H200" s="55">
        <f>(H128-G128)/G128</f>
        <v>0.18907444894286998</v>
      </c>
      <c r="I200" s="55">
        <v>0.06</v>
      </c>
    </row>
    <row r="201" spans="1:9">
      <c r="A201" s="49" t="s">
        <v>156</v>
      </c>
      <c r="B201" s="2">
        <v>0</v>
      </c>
      <c r="C201" s="50">
        <f t="shared" si="45"/>
        <v>-1.3622603430877902E-2</v>
      </c>
      <c r="D201" s="50">
        <f t="shared" si="45"/>
        <v>4.4501278772378514E-2</v>
      </c>
      <c r="E201" s="50">
        <f t="shared" si="45"/>
        <v>-7.6395690499510283E-2</v>
      </c>
      <c r="F201" s="50">
        <f t="shared" si="45"/>
        <v>1.0604453870625663E-2</v>
      </c>
      <c r="G201" s="50">
        <f t="shared" si="45"/>
        <v>-3.1479538300104928E-2</v>
      </c>
      <c r="H201" s="50">
        <f t="shared" si="45"/>
        <v>0.19447453954496208</v>
      </c>
      <c r="I201" s="50">
        <v>7.0000000000000007E-2</v>
      </c>
    </row>
    <row r="202" spans="1:9">
      <c r="A202" s="51" t="s">
        <v>148</v>
      </c>
      <c r="B202" s="2">
        <v>0</v>
      </c>
      <c r="C202" s="52">
        <f t="shared" si="45"/>
        <v>-7.5362318840579709E-3</v>
      </c>
      <c r="D202" s="52">
        <f t="shared" si="45"/>
        <v>4.3224299065420559E-2</v>
      </c>
      <c r="E202" s="52">
        <f t="shared" si="45"/>
        <v>-8.0067189249720047E-2</v>
      </c>
      <c r="F202" s="52">
        <f t="shared" si="45"/>
        <v>9.1296409007912364E-3</v>
      </c>
      <c r="G202" s="52">
        <f t="shared" si="45"/>
        <v>-9.6501809408926411E-3</v>
      </c>
      <c r="H202" s="52">
        <f t="shared" si="45"/>
        <v>0.20950060901339829</v>
      </c>
      <c r="I202" s="52">
        <v>0.06</v>
      </c>
    </row>
    <row r="203" spans="1:9">
      <c r="A203" s="51" t="s">
        <v>149</v>
      </c>
      <c r="B203" s="2">
        <v>0</v>
      </c>
      <c r="C203" s="52">
        <f t="shared" si="45"/>
        <v>-0.10655737704918032</v>
      </c>
      <c r="D203" s="52">
        <f t="shared" si="45"/>
        <v>0.12844036697247707</v>
      </c>
      <c r="E203" s="52">
        <f t="shared" si="45"/>
        <v>-0.15447154471544716</v>
      </c>
      <c r="F203" s="52">
        <f t="shared" si="45"/>
        <v>0.13461538461538461</v>
      </c>
      <c r="G203" s="52">
        <f t="shared" si="45"/>
        <v>-0.24576271186440679</v>
      </c>
      <c r="H203" s="52">
        <f t="shared" si="45"/>
        <v>0.16853932584269662</v>
      </c>
      <c r="I203" s="52">
        <v>-0.03</v>
      </c>
    </row>
    <row r="204" spans="1:9">
      <c r="A204" s="51" t="s">
        <v>150</v>
      </c>
      <c r="B204" s="2">
        <v>0</v>
      </c>
      <c r="C204" s="52">
        <f t="shared" si="45"/>
        <v>0</v>
      </c>
      <c r="D204" s="52">
        <f t="shared" si="45"/>
        <v>0.04</v>
      </c>
      <c r="E204" s="52">
        <f t="shared" si="45"/>
        <v>0</v>
      </c>
      <c r="F204" s="52">
        <f t="shared" si="45"/>
        <v>-7.6923076923076927E-2</v>
      </c>
      <c r="G204" s="52">
        <f t="shared" si="45"/>
        <v>4.1666666666666664E-2</v>
      </c>
      <c r="H204" s="52">
        <f t="shared" si="45"/>
        <v>0.16</v>
      </c>
      <c r="I204" s="52">
        <v>-0.16</v>
      </c>
    </row>
    <row r="205" spans="1:9">
      <c r="A205" s="51" t="s">
        <v>157</v>
      </c>
      <c r="B205" s="2">
        <v>0</v>
      </c>
      <c r="C205" s="52">
        <f t="shared" si="45"/>
        <v>-9.0909090909090905E-3</v>
      </c>
      <c r="D205" s="52">
        <f t="shared" si="45"/>
        <v>-1.834862385321101E-2</v>
      </c>
      <c r="E205" s="52">
        <f t="shared" si="45"/>
        <v>5.6074766355140186E-2</v>
      </c>
      <c r="F205" s="52">
        <f t="shared" si="45"/>
        <v>-6.1946902654867256E-2</v>
      </c>
      <c r="G205" s="52">
        <f t="shared" si="45"/>
        <v>-0.15094339622641509</v>
      </c>
      <c r="H205" s="52">
        <f t="shared" si="45"/>
        <v>-4.4444444444444446E-2</v>
      </c>
      <c r="I205" s="52">
        <v>0.42</v>
      </c>
    </row>
    <row r="206" spans="1:9">
      <c r="A206" s="56" t="s">
        <v>158</v>
      </c>
      <c r="B206" s="2">
        <v>0</v>
      </c>
      <c r="C206" s="52">
        <f t="shared" si="45"/>
        <v>4.878048780487805E-2</v>
      </c>
      <c r="D206" s="52">
        <f t="shared" si="45"/>
        <v>-1.8720930232558139</v>
      </c>
      <c r="E206" s="52">
        <f t="shared" si="45"/>
        <v>-0.65333333333333332</v>
      </c>
      <c r="F206" s="52">
        <f t="shared" si="45"/>
        <v>-1.2692307692307692</v>
      </c>
      <c r="G206" s="52">
        <f t="shared" si="45"/>
        <v>0.5714285714285714</v>
      </c>
      <c r="H206" s="52">
        <f t="shared" si="45"/>
        <v>-4.6363636363636367</v>
      </c>
      <c r="I206" s="52">
        <v>0</v>
      </c>
    </row>
    <row r="207" spans="1:9" ht="14.65" thickBot="1">
      <c r="A207" s="57" t="s">
        <v>159</v>
      </c>
      <c r="B207" s="58">
        <v>0</v>
      </c>
      <c r="C207" s="59">
        <f t="shared" si="45"/>
        <v>5.8004640371229696E-2</v>
      </c>
      <c r="D207" s="59">
        <f t="shared" si="45"/>
        <v>6.0971089696071165E-2</v>
      </c>
      <c r="E207" s="59">
        <f t="shared" si="45"/>
        <v>5.9592430858806403E-2</v>
      </c>
      <c r="F207" s="59">
        <f t="shared" si="45"/>
        <v>7.4731433909388134E-2</v>
      </c>
      <c r="G207" s="59">
        <f t="shared" si="45"/>
        <v>-4.3817266150267146E-2</v>
      </c>
      <c r="H207" s="59">
        <f t="shared" si="45"/>
        <v>0.1907600994572628</v>
      </c>
      <c r="I207" s="59">
        <v>0.06</v>
      </c>
    </row>
    <row r="208" spans="1:9" ht="14.65" thickTop="1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4"/>
  <sheetViews>
    <sheetView tabSelected="1" workbookViewId="0">
      <pane ySplit="1" topLeftCell="A2" activePane="bottomLeft" state="frozen"/>
      <selection pane="bottomLeft" activeCell="J49" sqref="J49"/>
    </sheetView>
  </sheetViews>
  <sheetFormatPr defaultColWidth="8.86328125" defaultRowHeight="14.25"/>
  <cols>
    <col min="1" max="1" width="42.6640625" customWidth="1"/>
    <col min="2" max="8" width="10.53125" customWidth="1"/>
    <col min="9" max="9" width="12.1328125" customWidth="1"/>
    <col min="10" max="10" width="42.6640625" customWidth="1"/>
    <col min="11" max="11" width="11.53125" bestFit="1" customWidth="1"/>
    <col min="12" max="15" width="10.53125" bestFit="1" customWidth="1"/>
  </cols>
  <sheetData>
    <row r="1" spans="1:21" ht="60" customHeight="1">
      <c r="A1" s="24" t="s">
        <v>38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5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5" t="s">
        <v>2</v>
      </c>
    </row>
    <row r="2" spans="1:21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6"/>
      <c r="Q2" s="16"/>
      <c r="R2" s="16"/>
      <c r="S2" s="16"/>
      <c r="T2" s="16"/>
      <c r="U2" s="16"/>
    </row>
    <row r="3" spans="1:21">
      <c r="A3" t="s">
        <v>4</v>
      </c>
      <c r="B3" s="17">
        <v>55.6875</v>
      </c>
      <c r="C3" s="17">
        <v>55.941666669999996</v>
      </c>
      <c r="D3" s="17">
        <v>56.238333330000003</v>
      </c>
      <c r="E3" s="17">
        <v>74.140833330000007</v>
      </c>
      <c r="F3" s="17">
        <v>87.46166667</v>
      </c>
      <c r="G3" s="17">
        <v>106.96</v>
      </c>
      <c r="H3" s="17">
        <v>150.4591667</v>
      </c>
      <c r="I3" s="17">
        <v>115.7333333</v>
      </c>
      <c r="K3" s="17"/>
      <c r="L3" s="13"/>
      <c r="M3" s="13"/>
      <c r="N3" s="13"/>
      <c r="O3" s="13"/>
    </row>
    <row r="4" spans="1:21">
      <c r="A4" t="s">
        <v>5</v>
      </c>
      <c r="B4" s="2">
        <f>B36+B37-Historicals!B25</f>
        <v>680.64999999999964</v>
      </c>
      <c r="C4" s="2">
        <f>C36+C37-Historicals!C25</f>
        <v>2664.88</v>
      </c>
      <c r="D4" s="2">
        <f>D36+D37-Historicals!D25</f>
        <v>4240.92</v>
      </c>
      <c r="E4" s="2">
        <f>E36+E37-Historicals!E25</f>
        <v>1502.0299999999997</v>
      </c>
      <c r="F4" s="2">
        <f>F36+F37-Historicals!F25</f>
        <v>3041.8199999999997</v>
      </c>
      <c r="G4" s="2">
        <f>G36+G37-Historicals!G25</f>
        <v>3854.6000000000004</v>
      </c>
      <c r="H4" s="2">
        <f>H36+H37-Historicals!H25</f>
        <v>5255.4639999999999</v>
      </c>
      <c r="I4" s="2">
        <f>I36+I37-Historicals!I25</f>
        <v>6896.5</v>
      </c>
    </row>
    <row r="5" spans="1:21">
      <c r="A5" t="s">
        <v>6</v>
      </c>
      <c r="B5" s="64">
        <f>Historicals!B15/Historicals!B15</f>
        <v>1</v>
      </c>
      <c r="C5" s="64">
        <f>Historicals!C15/Historicals!C15</f>
        <v>1</v>
      </c>
      <c r="D5" s="64">
        <f>Historicals!D15/Historicals!D15</f>
        <v>1</v>
      </c>
      <c r="E5" s="64">
        <f>Historicals!E15/Historicals!E15</f>
        <v>1</v>
      </c>
      <c r="F5" s="64">
        <f>Historicals!F15/Historicals!F15</f>
        <v>1</v>
      </c>
      <c r="G5" s="64">
        <f>Historicals!G15/Historicals!G15</f>
        <v>1</v>
      </c>
      <c r="H5" s="64">
        <f>Historicals!H15/Historicals!H15</f>
        <v>1</v>
      </c>
      <c r="I5" s="64">
        <f>Historicals!I15/Historicals!I15</f>
        <v>1</v>
      </c>
    </row>
    <row r="6" spans="1:21">
      <c r="A6" t="s">
        <v>7</v>
      </c>
      <c r="B6" s="64">
        <f>Historicals!B15/Schedules!B38</f>
        <v>0.25754702132682777</v>
      </c>
      <c r="C6" s="64">
        <f>Historicals!C15/Schedules!C38</f>
        <v>0.307136563876652</v>
      </c>
      <c r="D6" s="64">
        <f>Historicals!D15/Schedules!D38</f>
        <v>0.34230031433867975</v>
      </c>
      <c r="E6" s="64">
        <f>Historicals!E15/Schedules!E38</f>
        <v>0.19782205462698735</v>
      </c>
      <c r="F6" s="64">
        <f>Historicals!F15/Schedules!F38</f>
        <v>0.44566592920353981</v>
      </c>
      <c r="G6" s="64">
        <f>Historicals!G15/Schedules!G38</f>
        <v>0.31602731222842956</v>
      </c>
      <c r="H6" s="64">
        <f>Historicals!H15/Schedules!H38</f>
        <v>0.44877136367196679</v>
      </c>
      <c r="I6" s="64">
        <f>Historicals!I15/Schedules!I38</f>
        <v>0.39529481054904786</v>
      </c>
    </row>
    <row r="7" spans="1:21">
      <c r="A7" t="s">
        <v>8</v>
      </c>
      <c r="B7" s="64">
        <f>B4/B39</f>
        <v>0.14147786323009762</v>
      </c>
      <c r="C7" s="64">
        <f t="shared" ref="C7:I7" si="1">C4/C39</f>
        <v>0.50547799696509865</v>
      </c>
      <c r="D7" s="64">
        <f t="shared" si="1"/>
        <v>0.75839055793991417</v>
      </c>
      <c r="E7" s="64">
        <f t="shared" si="1"/>
        <v>0.29614156151419552</v>
      </c>
      <c r="F7" s="64">
        <f t="shared" si="1"/>
        <v>0.55245550308754077</v>
      </c>
      <c r="G7" s="64">
        <f t="shared" si="1"/>
        <v>1.0683481152993348</v>
      </c>
      <c r="H7" s="64">
        <f t="shared" si="1"/>
        <v>0.7097182984469953</v>
      </c>
      <c r="I7" s="64">
        <f t="shared" si="1"/>
        <v>0.93600705754614555</v>
      </c>
    </row>
    <row r="8" spans="1:21">
      <c r="A8" t="s">
        <v>9</v>
      </c>
      <c r="B8" s="64">
        <f>B4/B40</f>
        <v>0.27052861685214613</v>
      </c>
      <c r="C8" s="64">
        <f t="shared" ref="C8:I8" si="2">C4/C40</f>
        <v>0.56881109925293494</v>
      </c>
      <c r="D8" s="64">
        <f t="shared" si="2"/>
        <v>0.91085051546391749</v>
      </c>
      <c r="E8" s="64">
        <f t="shared" si="2"/>
        <v>0.66432109685979646</v>
      </c>
      <c r="F8" s="64">
        <f t="shared" si="2"/>
        <v>0.59784198113207543</v>
      </c>
      <c r="G8" s="64">
        <f t="shared" si="2"/>
        <v>0.780757545067855</v>
      </c>
      <c r="H8" s="64">
        <f t="shared" si="2"/>
        <v>0.75738060239227556</v>
      </c>
      <c r="I8" s="64">
        <f t="shared" si="2"/>
        <v>0.82731525911708248</v>
      </c>
    </row>
    <row r="9" spans="1:21">
      <c r="A9" t="s">
        <v>10</v>
      </c>
      <c r="B9" s="64">
        <f>B37/Historicals!B58</f>
        <v>9.9157944440072407E-2</v>
      </c>
      <c r="C9" s="64">
        <f>C37/Historicals!C58</f>
        <v>0.16625876978299886</v>
      </c>
      <c r="D9" s="64">
        <f>D37/Historicals!D58</f>
        <v>0.30643991295236561</v>
      </c>
      <c r="E9" s="64">
        <f>E37/Historicals!E58</f>
        <v>0.38830004076640851</v>
      </c>
      <c r="F9" s="64">
        <f>F37/Historicals!F58</f>
        <v>0.38484513274336285</v>
      </c>
      <c r="G9" s="64">
        <f>G37/Historicals!G58</f>
        <v>1.1988826815642457</v>
      </c>
      <c r="H9" s="64">
        <f>H37/Historicals!H58</f>
        <v>0.73744810840448027</v>
      </c>
      <c r="I9" s="64">
        <f>I37/Historicals!I58</f>
        <v>0.61710621032654933</v>
      </c>
    </row>
    <row r="10" spans="1:21">
      <c r="A10" t="s">
        <v>11</v>
      </c>
      <c r="B10" s="64">
        <f>B37/(B37+Historicals!B58)</f>
        <v>9.021264408963986E-2</v>
      </c>
      <c r="C10" s="64">
        <f>C37/(C37+Historicals!C58)</f>
        <v>0.14255735870173475</v>
      </c>
      <c r="D10" s="64">
        <f>D37/(D37+Historicals!D58)</f>
        <v>0.23456104633228453</v>
      </c>
      <c r="E10" s="64">
        <f>E37/(E37+Historicals!E58)</f>
        <v>0.27969461165761267</v>
      </c>
      <c r="F10" s="64">
        <f>F37/(F37+Historicals!F58)</f>
        <v>0.27789759565460498</v>
      </c>
      <c r="G10" s="64">
        <f>G37/(G37+Historicals!G58)</f>
        <v>0.54522357723577231</v>
      </c>
      <c r="H10" s="64">
        <f>H37/(H37+Historicals!H58)</f>
        <v>0.42444324226850599</v>
      </c>
      <c r="I10" s="64">
        <f>I37/(I37+Historicals!I58)</f>
        <v>0.38161142810893933</v>
      </c>
    </row>
    <row r="11" spans="1:21">
      <c r="A11" t="s">
        <v>12</v>
      </c>
      <c r="B11" s="63">
        <f>Historicals!B12/Historicals!B58</f>
        <v>0.25757456520028332</v>
      </c>
      <c r="C11" s="63">
        <f>Historicals!C12/Historicals!C58</f>
        <v>0.3067384565181922</v>
      </c>
      <c r="D11" s="63">
        <f>Historicals!D12/Historicals!D58</f>
        <v>0.34174256468122832</v>
      </c>
      <c r="E11" s="63">
        <f>Historicals!E12/Historicals!E58</f>
        <v>0.19700366897676314</v>
      </c>
      <c r="F11" s="63">
        <f>Historicals!F12/Historicals!F58</f>
        <v>0.44568584070796458</v>
      </c>
      <c r="G11" s="63">
        <f>Historicals!G12/Historicals!G58</f>
        <v>0.31520794537554314</v>
      </c>
      <c r="H11" s="63">
        <f>Historicals!H12/Historicals!H58</f>
        <v>0.44857836610010182</v>
      </c>
      <c r="I11" s="63">
        <f>Historicals!I12/Historicals!I58</f>
        <v>0.3956547346377855</v>
      </c>
    </row>
    <row r="15" spans="1:21">
      <c r="A15" t="s">
        <v>13</v>
      </c>
      <c r="B15" s="2"/>
      <c r="C15" s="2"/>
      <c r="D15" s="2"/>
      <c r="E15" s="2"/>
      <c r="F15" s="2"/>
      <c r="G15" s="2"/>
      <c r="H15" s="2"/>
      <c r="I15" s="2"/>
      <c r="J15" t="s">
        <v>42</v>
      </c>
      <c r="K15" s="2"/>
      <c r="L15" s="2"/>
      <c r="M15" s="2"/>
      <c r="N15" s="2"/>
      <c r="O15" s="2"/>
    </row>
    <row r="16" spans="1:21" s="10" customFormat="1">
      <c r="A16" s="12" t="s">
        <v>14</v>
      </c>
      <c r="B16" s="63">
        <v>0.05</v>
      </c>
      <c r="C16" s="63">
        <v>0.05</v>
      </c>
      <c r="D16" s="63">
        <v>0.05</v>
      </c>
      <c r="E16" s="63">
        <v>0.05</v>
      </c>
      <c r="F16" s="63">
        <v>0.05</v>
      </c>
      <c r="G16" s="63">
        <v>0.05</v>
      </c>
      <c r="H16" s="63">
        <v>0.05</v>
      </c>
      <c r="I16" s="63">
        <v>0.05</v>
      </c>
      <c r="J16" s="12"/>
      <c r="K16" s="11"/>
      <c r="L16" s="11"/>
      <c r="M16" s="11"/>
      <c r="N16" s="11"/>
      <c r="O16" s="11"/>
      <c r="P16" s="19"/>
      <c r="Q16" s="19"/>
      <c r="R16" s="19"/>
      <c r="S16" s="19"/>
      <c r="T16" s="19"/>
      <c r="U16" s="19"/>
    </row>
    <row r="17" spans="1:21">
      <c r="A17" t="s">
        <v>18</v>
      </c>
      <c r="B17" s="63">
        <f>(B44/(B44+B37)*B19)+(B37/(B44+B37)*B22)</f>
        <v>9.7997855996047087E-2</v>
      </c>
      <c r="C17" s="63">
        <f t="shared" ref="C17:I17" si="3">(C44/(C44+C37)*C19)+(C37/(C44+C37)*C22)</f>
        <v>9.1969863523917131E-2</v>
      </c>
      <c r="D17" s="63">
        <f t="shared" si="3"/>
        <v>8.429522765547165E-2</v>
      </c>
      <c r="E17" s="63">
        <f t="shared" si="3"/>
        <v>7.8124105599323784E-2</v>
      </c>
      <c r="F17" s="63">
        <f t="shared" si="3"/>
        <v>7.9827526812442345E-2</v>
      </c>
      <c r="G17" s="63">
        <f t="shared" si="3"/>
        <v>5.2625446508333E-2</v>
      </c>
      <c r="H17" s="63">
        <f t="shared" si="3"/>
        <v>7.1164213018988787E-2</v>
      </c>
      <c r="I17" s="63">
        <f t="shared" si="3"/>
        <v>7.3090462879134191E-2</v>
      </c>
      <c r="J17" t="s">
        <v>28</v>
      </c>
      <c r="K17" s="2"/>
      <c r="L17" s="2"/>
      <c r="M17" s="2"/>
      <c r="N17" s="2"/>
      <c r="O17" s="2"/>
    </row>
    <row r="18" spans="1:21">
      <c r="A18" s="1" t="s">
        <v>15</v>
      </c>
      <c r="B18">
        <v>1.1000000000000001</v>
      </c>
      <c r="C18">
        <v>1.1000000000000001</v>
      </c>
      <c r="D18">
        <v>1.1000000000000001</v>
      </c>
      <c r="E18">
        <v>1.1000000000000001</v>
      </c>
      <c r="F18">
        <v>1.1000000000000001</v>
      </c>
      <c r="G18">
        <v>1.1000000000000001</v>
      </c>
      <c r="H18">
        <v>1.1000000000000001</v>
      </c>
      <c r="I18">
        <v>1.1000000000000001</v>
      </c>
      <c r="J18" s="1" t="s">
        <v>26</v>
      </c>
    </row>
    <row r="19" spans="1:21">
      <c r="A19" s="1" t="s">
        <v>194</v>
      </c>
      <c r="B19" s="23">
        <f>B20+B18*B21</f>
        <v>0.10600000000000001</v>
      </c>
      <c r="C19" s="23">
        <f t="shared" ref="C19:I19" si="4">C20+C18*C21</f>
        <v>0.10600000000000001</v>
      </c>
      <c r="D19" s="23">
        <f t="shared" si="4"/>
        <v>0.10600000000000001</v>
      </c>
      <c r="E19" s="23">
        <f t="shared" si="4"/>
        <v>0.10600000000000001</v>
      </c>
      <c r="F19" s="23">
        <f t="shared" si="4"/>
        <v>0.10600000000000001</v>
      </c>
      <c r="G19" s="23">
        <f t="shared" si="4"/>
        <v>0.10600000000000001</v>
      </c>
      <c r="H19" s="23">
        <f t="shared" si="4"/>
        <v>0.10600000000000001</v>
      </c>
      <c r="I19" s="23">
        <f t="shared" si="4"/>
        <v>0.10600000000000001</v>
      </c>
      <c r="J19" s="1" t="s">
        <v>31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>
      <c r="A20" s="1" t="s">
        <v>33</v>
      </c>
      <c r="B20" s="23">
        <v>0.04</v>
      </c>
      <c r="C20" s="23">
        <v>0.04</v>
      </c>
      <c r="D20" s="23">
        <v>0.04</v>
      </c>
      <c r="E20" s="23">
        <v>0.04</v>
      </c>
      <c r="F20" s="23">
        <v>0.04</v>
      </c>
      <c r="G20" s="23">
        <v>0.04</v>
      </c>
      <c r="H20" s="23">
        <v>0.04</v>
      </c>
      <c r="I20" s="23">
        <v>0.04</v>
      </c>
      <c r="J20" s="26" t="s">
        <v>32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>
      <c r="A21" s="1" t="s">
        <v>35</v>
      </c>
      <c r="B21" s="23">
        <v>0.06</v>
      </c>
      <c r="C21" s="23">
        <v>0.06</v>
      </c>
      <c r="D21" s="23">
        <v>0.06</v>
      </c>
      <c r="E21" s="23">
        <v>0.06</v>
      </c>
      <c r="F21" s="23">
        <v>0.06</v>
      </c>
      <c r="G21" s="23">
        <v>0.06</v>
      </c>
      <c r="H21" s="23">
        <v>0.06</v>
      </c>
      <c r="I21" s="23">
        <v>0.06</v>
      </c>
      <c r="J21" s="1" t="s">
        <v>34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>
      <c r="A22" s="1" t="s">
        <v>16</v>
      </c>
      <c r="B22" s="65">
        <f>B42*(1-B43)/B37</f>
        <v>1.7296868806975823E-2</v>
      </c>
      <c r="C22" s="65">
        <f t="shared" ref="C22:I22" si="5">C42*(1-C43)/C37</f>
        <v>7.5825166525608926E-3</v>
      </c>
      <c r="D22" s="65">
        <f t="shared" si="5"/>
        <v>1.346642426815884E-2</v>
      </c>
      <c r="E22" s="65">
        <f t="shared" si="5"/>
        <v>6.3345318829365988E-3</v>
      </c>
      <c r="F22" s="65">
        <f t="shared" si="5"/>
        <v>1.1819720656788053E-2</v>
      </c>
      <c r="G22" s="65">
        <f t="shared" si="5"/>
        <v>8.1051991876974257E-3</v>
      </c>
      <c r="H22" s="65">
        <f t="shared" si="5"/>
        <v>2.3925923864812439E-2</v>
      </c>
      <c r="I22" s="65">
        <f t="shared" si="5"/>
        <v>1.9761657285926274E-2</v>
      </c>
      <c r="J22" t="s">
        <v>25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>
      <c r="A23" s="1" t="s">
        <v>17</v>
      </c>
      <c r="B23" s="23">
        <f>B37/Historicals!B36</f>
        <v>5.8341436310598696E-2</v>
      </c>
      <c r="C23" s="23">
        <f>C37/Historicals!C36</f>
        <v>9.532719023340662E-2</v>
      </c>
      <c r="D23" s="23">
        <f>D37/Historicals!D36</f>
        <v>0.16346360548604841</v>
      </c>
      <c r="E23" s="23">
        <f>E37/Historicals!E36</f>
        <v>0.16906283280085196</v>
      </c>
      <c r="F23" s="23">
        <f>F37/Historicals!F36</f>
        <v>0.14668802968334949</v>
      </c>
      <c r="G23" s="23">
        <f>G37/Historicals!G36</f>
        <v>0.30811690383510942</v>
      </c>
      <c r="H23" s="23">
        <f>H37/Historicals!H36</f>
        <v>0.2494700582935877</v>
      </c>
      <c r="I23" s="23">
        <f>I37/Historicals!I36</f>
        <v>0.23387316782817885</v>
      </c>
      <c r="J23" t="s">
        <v>25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>
      <c r="A24" t="s">
        <v>27</v>
      </c>
      <c r="J24" t="s">
        <v>37</v>
      </c>
      <c r="K24" s="2"/>
      <c r="L24" s="2"/>
      <c r="M24" s="2"/>
      <c r="N24" s="2"/>
      <c r="O24" s="2"/>
    </row>
    <row r="25" spans="1:21" ht="14.65" thickBot="1">
      <c r="K25" s="2"/>
      <c r="L25" s="2"/>
      <c r="M25" s="2"/>
      <c r="N25" s="2"/>
      <c r="O25" s="2"/>
    </row>
    <row r="26" spans="1:21">
      <c r="A26" s="20" t="s">
        <v>23</v>
      </c>
      <c r="B26" s="70">
        <f>B53*(1+B63)</f>
        <v>3307.4581435875002</v>
      </c>
      <c r="C26" s="70">
        <f t="shared" ref="C26:I26" si="6">C53*(1+C63)</f>
        <v>6158.7604939218763</v>
      </c>
      <c r="D26" s="70">
        <f t="shared" si="6"/>
        <v>6120.6379636500005</v>
      </c>
      <c r="E26" s="70">
        <f t="shared" si="6"/>
        <v>2972.2427911968753</v>
      </c>
      <c r="F26" s="70">
        <f t="shared" si="6"/>
        <v>6688.532207700001</v>
      </c>
      <c r="G26" s="70">
        <f t="shared" si="6"/>
        <v>6490.0321362843761</v>
      </c>
      <c r="H26" s="70">
        <f t="shared" si="6"/>
        <v>9121.8012950531265</v>
      </c>
      <c r="I26" s="70">
        <f t="shared" si="6"/>
        <v>10958.255598150003</v>
      </c>
      <c r="K26" s="2"/>
      <c r="L26" s="2"/>
      <c r="M26" s="2"/>
      <c r="N26" s="2"/>
      <c r="O26" s="2"/>
    </row>
    <row r="27" spans="1:21">
      <c r="A27" s="21" t="s">
        <v>24</v>
      </c>
      <c r="B27" s="71">
        <f>B64/(1+B17)^5</f>
        <v>30478.365787840234</v>
      </c>
      <c r="C27" s="71">
        <f t="shared" ref="C27:I27" si="7">C64/(1+C17)^5</f>
        <v>64011.722196014583</v>
      </c>
      <c r="D27" s="71">
        <f t="shared" si="7"/>
        <v>75213.760308404759</v>
      </c>
      <c r="E27" s="71">
        <f t="shared" si="7"/>
        <v>42401.168873938339</v>
      </c>
      <c r="F27" s="71">
        <f t="shared" si="7"/>
        <v>91430.168454090744</v>
      </c>
      <c r="G27" s="71">
        <f t="shared" si="7"/>
        <v>221962.88739791245</v>
      </c>
      <c r="H27" s="71">
        <f t="shared" si="7"/>
        <v>157137.74517624406</v>
      </c>
      <c r="I27" s="71">
        <f t="shared" si="7"/>
        <v>178722.23682493021</v>
      </c>
      <c r="K27" s="2"/>
      <c r="L27" s="2"/>
      <c r="M27" s="2"/>
      <c r="N27" s="2"/>
      <c r="O27" s="2"/>
    </row>
    <row r="28" spans="1:21">
      <c r="A28" s="21" t="s">
        <v>19</v>
      </c>
      <c r="B28" s="71">
        <f>B61+B27</f>
        <v>41501.65945241382</v>
      </c>
      <c r="C28" s="71">
        <f t="shared" ref="C28:I28" si="8">C61+C27</f>
        <v>84870.191589174428</v>
      </c>
      <c r="D28" s="71">
        <f t="shared" si="8"/>
        <v>96375.762386822316</v>
      </c>
      <c r="E28" s="71">
        <f t="shared" si="8"/>
        <v>52851.632993510728</v>
      </c>
      <c r="F28" s="71">
        <f t="shared" si="8"/>
        <v>114838.07215051653</v>
      </c>
      <c r="G28" s="71">
        <f t="shared" si="8"/>
        <v>246463.79336411596</v>
      </c>
      <c r="H28" s="71">
        <f t="shared" si="8"/>
        <v>189829.60011897213</v>
      </c>
      <c r="I28" s="71">
        <f t="shared" si="8"/>
        <v>217787.6191328112</v>
      </c>
    </row>
    <row r="29" spans="1:21">
      <c r="A29" s="21" t="s">
        <v>21</v>
      </c>
      <c r="B29" s="73">
        <f>B37</f>
        <v>1260</v>
      </c>
      <c r="C29" s="73">
        <f t="shared" ref="C29:I29" si="9">C37</f>
        <v>2038</v>
      </c>
      <c r="D29" s="73">
        <f t="shared" si="9"/>
        <v>3802</v>
      </c>
      <c r="E29" s="73">
        <f t="shared" si="9"/>
        <v>3810</v>
      </c>
      <c r="F29" s="73">
        <f t="shared" si="9"/>
        <v>3479</v>
      </c>
      <c r="G29" s="73">
        <f t="shared" si="9"/>
        <v>9657</v>
      </c>
      <c r="H29" s="73">
        <f t="shared" si="9"/>
        <v>9415</v>
      </c>
      <c r="I29" s="73">
        <f t="shared" si="9"/>
        <v>9430</v>
      </c>
    </row>
    <row r="30" spans="1:21">
      <c r="A30" s="21" t="s">
        <v>22</v>
      </c>
      <c r="B30" s="71">
        <f>B28-B29</f>
        <v>40241.65945241382</v>
      </c>
      <c r="C30" s="71">
        <f t="shared" ref="C30:I30" si="10">C28-C29</f>
        <v>82832.191589174428</v>
      </c>
      <c r="D30" s="71">
        <f t="shared" si="10"/>
        <v>92573.762386822316</v>
      </c>
      <c r="E30" s="71">
        <f t="shared" si="10"/>
        <v>49041.632993510728</v>
      </c>
      <c r="F30" s="71">
        <f t="shared" si="10"/>
        <v>111359.07215051653</v>
      </c>
      <c r="G30" s="71">
        <f t="shared" si="10"/>
        <v>236806.79336411596</v>
      </c>
      <c r="H30" s="71">
        <f t="shared" si="10"/>
        <v>180414.60011897213</v>
      </c>
      <c r="I30" s="71">
        <f t="shared" si="10"/>
        <v>208357.6191328112</v>
      </c>
    </row>
    <row r="31" spans="1:21" ht="14.65" thickBot="1">
      <c r="A31" s="22" t="s">
        <v>20</v>
      </c>
      <c r="B31" s="72">
        <f>B30/Historicals!B18</f>
        <v>22.748252940878359</v>
      </c>
      <c r="C31" s="72">
        <f>C30/Historicals!C18</f>
        <v>47.52277199608401</v>
      </c>
      <c r="D31" s="72">
        <f>D30/Historicals!D18</f>
        <v>54.712625524126665</v>
      </c>
      <c r="E31" s="72">
        <f>E30/Historicals!E18</f>
        <v>29.560960213086634</v>
      </c>
      <c r="F31" s="72">
        <f>F30/Historicals!F18</f>
        <v>68.825137299453971</v>
      </c>
      <c r="G31" s="72">
        <f>G30/Historicals!G18</f>
        <v>148.84147917292015</v>
      </c>
      <c r="H31" s="72">
        <f>H30/Historicals!H18</f>
        <v>112.10053443455456</v>
      </c>
      <c r="I31" s="72">
        <f>I30/Historicals!I18</f>
        <v>129.35039677974373</v>
      </c>
    </row>
    <row r="35" spans="1:9">
      <c r="A35" s="61" t="s">
        <v>173</v>
      </c>
    </row>
    <row r="36" spans="1:9">
      <c r="A36" t="s">
        <v>174</v>
      </c>
      <c r="B36" s="60">
        <f>Historicals!B18*Historicals!B15</f>
        <v>3272.65</v>
      </c>
      <c r="C36" s="60">
        <f>Historicals!C18*Historicals!C15</f>
        <v>3764.88</v>
      </c>
      <c r="D36" s="60">
        <f>Historicals!D18*Historicals!D15</f>
        <v>4246.92</v>
      </c>
      <c r="E36" s="60">
        <f>Historicals!E18*Historicals!E15</f>
        <v>1941.03</v>
      </c>
      <c r="F36" s="60">
        <f>Historicals!F18*Historicals!F15</f>
        <v>4028.82</v>
      </c>
      <c r="G36" s="60">
        <f>Historicals!G18*Historicals!G15</f>
        <v>2545.6000000000004</v>
      </c>
      <c r="H36" s="60">
        <f>Historicals!H18*Historicals!H15</f>
        <v>5729.4640000000009</v>
      </c>
      <c r="I36" s="60">
        <f>Historicals!I18*Historicals!I15</f>
        <v>6040.5</v>
      </c>
    </row>
    <row r="37" spans="1:9">
      <c r="A37" t="s">
        <v>175</v>
      </c>
      <c r="B37" s="2">
        <f>Historicals!B46+Historicals!B39+Historicals!B40</f>
        <v>1260</v>
      </c>
      <c r="C37" s="2">
        <f>Historicals!C46+Historicals!C39+Historicals!C40</f>
        <v>2038</v>
      </c>
      <c r="D37" s="2">
        <f>Historicals!D46+Historicals!D39+Historicals!D40</f>
        <v>3802</v>
      </c>
      <c r="E37" s="2">
        <f>Historicals!E46+Historicals!E39+Historicals!E40</f>
        <v>3810</v>
      </c>
      <c r="F37" s="2">
        <f>Historicals!F46+Historicals!F39+Historicals!F40</f>
        <v>3479</v>
      </c>
      <c r="G37" s="2">
        <f>Historicals!G46+Historicals!G39+Historicals!G40</f>
        <v>9657</v>
      </c>
      <c r="H37" s="2">
        <f>Historicals!H46+Historicals!H39+Historicals!H40</f>
        <v>9415</v>
      </c>
      <c r="I37" s="2">
        <f>Historicals!I46+Historicals!I39+Historicals!I40</f>
        <v>9430</v>
      </c>
    </row>
    <row r="38" spans="1:9">
      <c r="A38" t="s">
        <v>176</v>
      </c>
      <c r="B38" s="13">
        <f>Historicals!B58/Historicals!B18</f>
        <v>7.1831543244771057</v>
      </c>
      <c r="C38" s="13">
        <f>Historicals!C58/Historicals!C18</f>
        <v>7.0327022375215149</v>
      </c>
      <c r="D38" s="13">
        <f>Historicals!D58/Historicals!D18</f>
        <v>7.33274231678487</v>
      </c>
      <c r="E38" s="13">
        <f>Historicals!E58/Historicals!E18</f>
        <v>5.9144062688366486</v>
      </c>
      <c r="F38" s="13">
        <f>Historicals!F58/Historicals!F18</f>
        <v>5.5871446229913477</v>
      </c>
      <c r="G38" s="13">
        <f>Historicals!G58/Historicals!G18</f>
        <v>5.0628535512256443</v>
      </c>
      <c r="H38" s="13">
        <f>Historicals!H58/Historicals!H18</f>
        <v>7.9327699763887161</v>
      </c>
      <c r="I38" s="13">
        <f>Historicals!I58/Historicals!I18</f>
        <v>9.4865905140302953</v>
      </c>
    </row>
    <row r="39" spans="1:9">
      <c r="A39" t="s">
        <v>177</v>
      </c>
      <c r="B39" s="2">
        <f>Historicals!B10+Historicals!B66</f>
        <v>4811</v>
      </c>
      <c r="C39" s="2">
        <f>Historicals!C10+Historicals!C66</f>
        <v>5272</v>
      </c>
      <c r="D39" s="2">
        <f>Historicals!D10+Historicals!D66</f>
        <v>5592</v>
      </c>
      <c r="E39" s="2">
        <f>Historicals!E10+Historicals!E66</f>
        <v>5072</v>
      </c>
      <c r="F39" s="2">
        <f>Historicals!F10+Historicals!F66</f>
        <v>5506</v>
      </c>
      <c r="G39" s="2">
        <f>Historicals!G10+Historicals!G66</f>
        <v>3608</v>
      </c>
      <c r="H39" s="2">
        <f>Historicals!H10+Historicals!H66</f>
        <v>7405</v>
      </c>
      <c r="I39" s="2">
        <f>Historicals!I10+Historicals!I66</f>
        <v>7368</v>
      </c>
    </row>
    <row r="40" spans="1:9">
      <c r="A40" t="s">
        <v>179</v>
      </c>
      <c r="B40" s="2">
        <f>Historicals!B12+Historicals!B66+Historicals!B82-(Historicals!B72+Historicals!B73--Historicals!B75)</f>
        <v>2516</v>
      </c>
      <c r="C40" s="2">
        <f>Historicals!C12+Historicals!C66+Historicals!C82-(Historicals!C72+Historicals!C73--Historicals!C75)</f>
        <v>4685</v>
      </c>
      <c r="D40" s="2">
        <f>Historicals!D12+Historicals!D66+Historicals!D82-(Historicals!D72+Historicals!D73--Historicals!D75)</f>
        <v>4656</v>
      </c>
      <c r="E40" s="2">
        <f>Historicals!E12+Historicals!E66-Historicals!E82-(Historicals!E72+Historicals!E73+Historicals!E75)</f>
        <v>2261</v>
      </c>
      <c r="F40" s="2">
        <f>Historicals!F12+Historicals!F66-Historicals!F82-(Historicals!F72+Historicals!F73+Historicals!F75)</f>
        <v>5088</v>
      </c>
      <c r="G40" s="2">
        <f>Historicals!G12+Historicals!G66-Historicals!G82-(Historicals!G72+Historicals!G73+Historicals!G75)</f>
        <v>4937</v>
      </c>
      <c r="H40" s="2">
        <f>Historicals!H12+Historicals!H66-Historicals!H82-(Historicals!H72+Historicals!H73+Historicals!H75)</f>
        <v>6939</v>
      </c>
      <c r="I40" s="2">
        <f>Historicals!I12+Historicals!I66-Historicals!I82-(Historicals!I72+Historicals!I73+Historicals!I75)</f>
        <v>8336</v>
      </c>
    </row>
    <row r="42" spans="1:9">
      <c r="A42" t="s">
        <v>180</v>
      </c>
      <c r="B42">
        <f>Historicals!B8</f>
        <v>28</v>
      </c>
      <c r="C42">
        <f>Historicals!C8</f>
        <v>19</v>
      </c>
      <c r="D42">
        <f>Historicals!D8</f>
        <v>59</v>
      </c>
      <c r="E42">
        <f>Historicals!E8</f>
        <v>54</v>
      </c>
      <c r="F42">
        <f>Historicals!F8</f>
        <v>49</v>
      </c>
      <c r="G42">
        <f>Historicals!G8</f>
        <v>89</v>
      </c>
      <c r="H42">
        <f>Historicals!H8</f>
        <v>262</v>
      </c>
      <c r="I42">
        <f>Historicals!I8</f>
        <v>205</v>
      </c>
    </row>
    <row r="43" spans="1:9">
      <c r="A43" t="s">
        <v>181</v>
      </c>
      <c r="B43" s="62">
        <f>Historicals!B11/Historicals!B10</f>
        <v>0.22164090368608799</v>
      </c>
      <c r="C43" s="18">
        <f>Historicals!C11/Historicals!C10</f>
        <v>0.18667531905688947</v>
      </c>
      <c r="D43" s="18">
        <f>Historicals!D11/Historicals!D10</f>
        <v>0.13221449038067951</v>
      </c>
      <c r="E43" s="18">
        <f>Historicals!E11/Historicals!E10</f>
        <v>0.55306358381502885</v>
      </c>
      <c r="F43" s="18">
        <f>Historicals!F11/Historicals!F10</f>
        <v>0.16079983336804832</v>
      </c>
      <c r="G43" s="18">
        <f>Historicals!G11/Historicals!G10</f>
        <v>0.12054035330793211</v>
      </c>
      <c r="H43" s="18">
        <f>Historicals!H11/Historicals!H10</f>
        <v>0.14021918630836211</v>
      </c>
      <c r="I43" s="18">
        <f>Historicals!I11/Historicals!I10</f>
        <v>9.0963764847391368E-2</v>
      </c>
    </row>
    <row r="44" spans="1:9">
      <c r="A44" t="s">
        <v>182</v>
      </c>
      <c r="B44" s="2">
        <f>Historicals!B58</f>
        <v>12707</v>
      </c>
      <c r="C44" s="2">
        <f>Historicals!C58</f>
        <v>12258</v>
      </c>
      <c r="D44" s="2">
        <f>Historicals!D58</f>
        <v>12407</v>
      </c>
      <c r="E44" s="2">
        <f>Historicals!E58</f>
        <v>9812</v>
      </c>
      <c r="F44" s="2">
        <f>Historicals!F58</f>
        <v>9040</v>
      </c>
      <c r="G44" s="2">
        <f>Historicals!G58</f>
        <v>8055</v>
      </c>
      <c r="H44" s="2">
        <f>Historicals!H58</f>
        <v>12767</v>
      </c>
      <c r="I44" s="2">
        <f>Historicals!I58</f>
        <v>15281</v>
      </c>
    </row>
    <row r="47" spans="1:9">
      <c r="A47" s="67" t="s">
        <v>183</v>
      </c>
    </row>
    <row r="48" spans="1:9">
      <c r="A48" s="68" t="s">
        <v>190</v>
      </c>
    </row>
    <row r="49" spans="1:9">
      <c r="A49" t="s">
        <v>184</v>
      </c>
      <c r="B49" s="69">
        <f>B40*(1+B16)^1</f>
        <v>2641.8</v>
      </c>
      <c r="C49" s="69">
        <f t="shared" ref="C49:I49" si="11">C40*(1+C16)^1</f>
        <v>4919.25</v>
      </c>
      <c r="D49" s="69">
        <f t="shared" si="11"/>
        <v>4888.8</v>
      </c>
      <c r="E49" s="69">
        <f t="shared" si="11"/>
        <v>2374.0500000000002</v>
      </c>
      <c r="F49" s="69">
        <f t="shared" si="11"/>
        <v>5342.4000000000005</v>
      </c>
      <c r="G49" s="69">
        <f t="shared" si="11"/>
        <v>5183.8500000000004</v>
      </c>
      <c r="H49" s="69">
        <f t="shared" si="11"/>
        <v>7285.9500000000007</v>
      </c>
      <c r="I49" s="69">
        <f t="shared" si="11"/>
        <v>8752.8000000000011</v>
      </c>
    </row>
    <row r="50" spans="1:9">
      <c r="A50" t="s">
        <v>185</v>
      </c>
      <c r="B50" s="69">
        <f>B40*(1+B16)^2</f>
        <v>2773.89</v>
      </c>
      <c r="C50" s="69">
        <f t="shared" ref="C50:I50" si="12">C40*(1+C16)^2</f>
        <v>5165.2125000000005</v>
      </c>
      <c r="D50" s="69">
        <f t="shared" si="12"/>
        <v>5133.24</v>
      </c>
      <c r="E50" s="69">
        <f t="shared" si="12"/>
        <v>2492.7525000000001</v>
      </c>
      <c r="F50" s="69">
        <f t="shared" si="12"/>
        <v>5609.52</v>
      </c>
      <c r="G50" s="69">
        <f t="shared" si="12"/>
        <v>5443.0425000000005</v>
      </c>
      <c r="H50" s="69">
        <f t="shared" si="12"/>
        <v>7650.2475000000004</v>
      </c>
      <c r="I50" s="69">
        <f t="shared" si="12"/>
        <v>9190.44</v>
      </c>
    </row>
    <row r="51" spans="1:9">
      <c r="A51" t="s">
        <v>186</v>
      </c>
      <c r="B51" s="69">
        <f>B40*(1+B16)^3</f>
        <v>2912.5845000000004</v>
      </c>
      <c r="C51" s="69">
        <f t="shared" ref="C51:I51" si="13">C40*(1+C16)^3</f>
        <v>5423.4731250000004</v>
      </c>
      <c r="D51" s="69">
        <f t="shared" si="13"/>
        <v>5389.902000000001</v>
      </c>
      <c r="E51" s="69">
        <f t="shared" si="13"/>
        <v>2617.3901250000004</v>
      </c>
      <c r="F51" s="69">
        <f t="shared" si="13"/>
        <v>5889.996000000001</v>
      </c>
      <c r="G51" s="69">
        <f t="shared" si="13"/>
        <v>5715.194625000001</v>
      </c>
      <c r="H51" s="69">
        <f t="shared" si="13"/>
        <v>8032.7598750000006</v>
      </c>
      <c r="I51" s="69">
        <f t="shared" si="13"/>
        <v>9649.9620000000014</v>
      </c>
    </row>
    <row r="52" spans="1:9">
      <c r="A52" t="s">
        <v>187</v>
      </c>
      <c r="B52" s="69">
        <f>B40*(1+B16)^4</f>
        <v>3058.2137250000001</v>
      </c>
      <c r="C52" s="69">
        <f t="shared" ref="C52:I52" si="14">C40*(1+C16)^4</f>
        <v>5694.6467812500005</v>
      </c>
      <c r="D52" s="69">
        <f t="shared" si="14"/>
        <v>5659.3971000000001</v>
      </c>
      <c r="E52" s="69">
        <f t="shared" si="14"/>
        <v>2748.25963125</v>
      </c>
      <c r="F52" s="69">
        <f t="shared" si="14"/>
        <v>6184.4957999999997</v>
      </c>
      <c r="G52" s="69">
        <f t="shared" si="14"/>
        <v>6000.9543562500003</v>
      </c>
      <c r="H52" s="69">
        <f t="shared" si="14"/>
        <v>8434.3978687500003</v>
      </c>
      <c r="I52" s="69">
        <f t="shared" si="14"/>
        <v>10132.4601</v>
      </c>
    </row>
    <row r="53" spans="1:9">
      <c r="A53" t="s">
        <v>188</v>
      </c>
      <c r="B53" s="69">
        <f>B40*(1+B16)^5</f>
        <v>3211.1244112500003</v>
      </c>
      <c r="C53" s="69">
        <f t="shared" ref="C53:I53" si="15">C40*(1+C16)^5</f>
        <v>5979.3791203125011</v>
      </c>
      <c r="D53" s="69">
        <f t="shared" si="15"/>
        <v>5942.3669550000004</v>
      </c>
      <c r="E53" s="69">
        <f t="shared" si="15"/>
        <v>2885.6726128125001</v>
      </c>
      <c r="F53" s="69">
        <f t="shared" si="15"/>
        <v>6493.7205900000008</v>
      </c>
      <c r="G53" s="69">
        <f t="shared" si="15"/>
        <v>6301.0020740625005</v>
      </c>
      <c r="H53" s="69">
        <f t="shared" si="15"/>
        <v>8856.1177621875013</v>
      </c>
      <c r="I53" s="69">
        <f t="shared" si="15"/>
        <v>10639.083105000002</v>
      </c>
    </row>
    <row r="55" spans="1:9">
      <c r="A55" s="67" t="s">
        <v>189</v>
      </c>
    </row>
    <row r="56" spans="1:9">
      <c r="A56" t="s">
        <v>184</v>
      </c>
      <c r="B56" s="69">
        <f>B49/(1+B17)^1</f>
        <v>2406.0156270555694</v>
      </c>
      <c r="C56" s="69">
        <f t="shared" ref="C56:I56" si="16">C49/(1+C17)^1</f>
        <v>4504.9320171941308</v>
      </c>
      <c r="D56" s="69">
        <f t="shared" si="16"/>
        <v>4508.7351445517825</v>
      </c>
      <c r="E56" s="69">
        <f t="shared" si="16"/>
        <v>2202.0192180753415</v>
      </c>
      <c r="F56" s="69">
        <f t="shared" si="16"/>
        <v>4947.4567626279204</v>
      </c>
      <c r="G56" s="69">
        <f t="shared" si="16"/>
        <v>4924.6861903209401</v>
      </c>
      <c r="H56" s="69">
        <f t="shared" si="16"/>
        <v>6801.8982630731725</v>
      </c>
      <c r="I56" s="69">
        <f t="shared" si="16"/>
        <v>8156.6282646068566</v>
      </c>
    </row>
    <row r="57" spans="1:9">
      <c r="A57" t="s">
        <v>185</v>
      </c>
      <c r="B57" s="69">
        <f>B50/(1+B17)^2</f>
        <v>2300.8391087581895</v>
      </c>
      <c r="C57" s="69">
        <f t="shared" ref="C57:I57" si="17">C50/(1+C17)^2</f>
        <v>4331.7849476074243</v>
      </c>
      <c r="D57" s="69">
        <f t="shared" si="17"/>
        <v>4366.1281365370223</v>
      </c>
      <c r="E57" s="69">
        <f t="shared" si="17"/>
        <v>2144.5770175909502</v>
      </c>
      <c r="F57" s="69">
        <f t="shared" si="17"/>
        <v>4810.7956796526614</v>
      </c>
      <c r="G57" s="69">
        <f t="shared" si="17"/>
        <v>4912.403093607003</v>
      </c>
      <c r="H57" s="69">
        <f t="shared" si="17"/>
        <v>6667.5054015272854</v>
      </c>
      <c r="I57" s="69">
        <f t="shared" si="17"/>
        <v>7981.1162004538692</v>
      </c>
    </row>
    <row r="58" spans="1:9">
      <c r="A58" t="s">
        <v>186</v>
      </c>
      <c r="B58" s="69">
        <f>B51/(1+B17)^3</f>
        <v>2200.2602746473826</v>
      </c>
      <c r="C58" s="69">
        <f t="shared" ref="C58:I58" si="18">C51/(1+C17)^3</f>
        <v>4165.2927859287693</v>
      </c>
      <c r="D58" s="69">
        <f t="shared" si="18"/>
        <v>4228.0316526677097</v>
      </c>
      <c r="E58" s="69">
        <f t="shared" si="18"/>
        <v>2088.6332628827836</v>
      </c>
      <c r="F58" s="69">
        <f t="shared" si="18"/>
        <v>4677.9095162969224</v>
      </c>
      <c r="G58" s="69">
        <f t="shared" si="18"/>
        <v>4900.1506332542576</v>
      </c>
      <c r="H58" s="69">
        <f t="shared" si="18"/>
        <v>6535.7678930219681</v>
      </c>
      <c r="I58" s="69">
        <f t="shared" si="18"/>
        <v>7809.3807562060592</v>
      </c>
    </row>
    <row r="59" spans="1:9">
      <c r="A59" t="s">
        <v>187</v>
      </c>
      <c r="B59" s="69">
        <f>B52/(1+B17)^4</f>
        <v>2104.0781416499126</v>
      </c>
      <c r="C59" s="69">
        <f t="shared" ref="C59:I59" si="19">C52/(1+C17)^4</f>
        <v>4005.1997507616338</v>
      </c>
      <c r="D59" s="69">
        <f t="shared" si="19"/>
        <v>4094.3030293514289</v>
      </c>
      <c r="E59" s="69">
        <f t="shared" si="19"/>
        <v>2034.1488652716916</v>
      </c>
      <c r="F59" s="69">
        <f t="shared" si="19"/>
        <v>4548.6939998751386</v>
      </c>
      <c r="G59" s="69">
        <f t="shared" si="19"/>
        <v>4887.9287328498367</v>
      </c>
      <c r="H59" s="69">
        <f t="shared" si="19"/>
        <v>6406.6332727187673</v>
      </c>
      <c r="I59" s="69">
        <f t="shared" si="19"/>
        <v>7641.3406676040295</v>
      </c>
    </row>
    <row r="60" spans="1:9">
      <c r="A60" t="s">
        <v>188</v>
      </c>
      <c r="B60" s="69">
        <f>B53/(1+B17)^5</f>
        <v>2012.1005124625328</v>
      </c>
      <c r="C60" s="69">
        <f t="shared" ref="C60:I60" si="20">C53/(1+C17)^5</f>
        <v>3851.2598916678839</v>
      </c>
      <c r="D60" s="69">
        <f t="shared" si="20"/>
        <v>3964.8041153096251</v>
      </c>
      <c r="E60" s="69">
        <f t="shared" si="20"/>
        <v>1981.0857557516206</v>
      </c>
      <c r="F60" s="69">
        <f t="shared" si="20"/>
        <v>4423.0477379731328</v>
      </c>
      <c r="G60" s="69">
        <f t="shared" si="20"/>
        <v>4875.737316171465</v>
      </c>
      <c r="H60" s="69">
        <f t="shared" si="20"/>
        <v>6280.0501123868826</v>
      </c>
      <c r="I60" s="69">
        <f t="shared" si="20"/>
        <v>7476.9164190101792</v>
      </c>
    </row>
    <row r="61" spans="1:9">
      <c r="A61" s="31" t="s">
        <v>191</v>
      </c>
      <c r="B61" s="69">
        <f>SUM(B56:B60)</f>
        <v>11023.293664573586</v>
      </c>
      <c r="C61" s="69">
        <f t="shared" ref="C61:I61" si="21">SUM(C56:C60)</f>
        <v>20858.469393159841</v>
      </c>
      <c r="D61" s="69">
        <f t="shared" si="21"/>
        <v>21162.002078417565</v>
      </c>
      <c r="E61" s="69">
        <f t="shared" si="21"/>
        <v>10450.464119572389</v>
      </c>
      <c r="F61" s="69">
        <f t="shared" si="21"/>
        <v>23407.903696425776</v>
      </c>
      <c r="G61" s="69">
        <f t="shared" si="21"/>
        <v>24500.905966203503</v>
      </c>
      <c r="H61" s="69">
        <f t="shared" si="21"/>
        <v>32691.854942728074</v>
      </c>
      <c r="I61" s="69">
        <f t="shared" si="21"/>
        <v>39065.382307880987</v>
      </c>
    </row>
    <row r="62" spans="1:9">
      <c r="A62" s="31"/>
    </row>
    <row r="63" spans="1:9">
      <c r="A63" t="s">
        <v>192</v>
      </c>
      <c r="B63" s="66">
        <v>0.03</v>
      </c>
      <c r="C63" s="66">
        <v>0.03</v>
      </c>
      <c r="D63" s="66">
        <v>0.03</v>
      </c>
      <c r="E63" s="66">
        <v>0.03</v>
      </c>
      <c r="F63" s="66">
        <v>0.03</v>
      </c>
      <c r="G63" s="66">
        <v>0.03</v>
      </c>
      <c r="H63" s="66">
        <v>0.03</v>
      </c>
      <c r="I63" s="66">
        <v>0.03</v>
      </c>
    </row>
    <row r="64" spans="1:9">
      <c r="A64" t="s">
        <v>193</v>
      </c>
      <c r="B64" s="69">
        <f>B26/(B17-B63)</f>
        <v>48640.623959963857</v>
      </c>
      <c r="C64" s="69">
        <f t="shared" ref="C64:I64" si="22">C26/(C17-C63)</f>
        <v>99383.154063989772</v>
      </c>
      <c r="D64" s="69">
        <f t="shared" si="22"/>
        <v>112728.83875703186</v>
      </c>
      <c r="E64" s="69">
        <f t="shared" si="22"/>
        <v>61762.037012042456</v>
      </c>
      <c r="F64" s="69">
        <f t="shared" si="22"/>
        <v>134233.67836169261</v>
      </c>
      <c r="G64" s="69">
        <f t="shared" si="22"/>
        <v>286846.58814994362</v>
      </c>
      <c r="H64" s="69">
        <f t="shared" si="22"/>
        <v>221595.42539645536</v>
      </c>
      <c r="I64" s="69">
        <f t="shared" si="22"/>
        <v>254308.14305446571</v>
      </c>
    </row>
  </sheetData>
  <phoneticPr fontId="20" type="noConversion"/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Historicals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Montenegro</cp:lastModifiedBy>
  <dcterms:created xsi:type="dcterms:W3CDTF">2020-05-20T17:26:08Z</dcterms:created>
  <dcterms:modified xsi:type="dcterms:W3CDTF">2024-12-17T07:32:08Z</dcterms:modified>
</cp:coreProperties>
</file>