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2\W2 US Job\Quill Capital\"/>
    </mc:Choice>
  </mc:AlternateContent>
  <xr:revisionPtr revIDLastSave="0" documentId="13_ncr:1_{4FC440A0-F99E-4C1A-91B2-40FE49F7D96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D43" i="3" s="1"/>
  <c r="E44" i="3"/>
  <c r="E43" i="3" s="1"/>
  <c r="C44" i="3"/>
  <c r="C43" i="3" s="1"/>
  <c r="D51" i="3"/>
  <c r="E51" i="3"/>
  <c r="C51" i="3"/>
  <c r="D52" i="3"/>
  <c r="E52" i="3"/>
  <c r="C52" i="3"/>
  <c r="D53" i="3"/>
  <c r="E53" i="3"/>
  <c r="C53" i="3"/>
  <c r="D50" i="3"/>
  <c r="E50" i="3"/>
  <c r="C50" i="3"/>
  <c r="D49" i="3"/>
  <c r="E49" i="3"/>
  <c r="C49" i="3"/>
  <c r="D48" i="3"/>
  <c r="E48" i="3"/>
  <c r="C48" i="3"/>
  <c r="D47" i="3"/>
  <c r="E47" i="3"/>
  <c r="C47" i="3"/>
  <c r="D45" i="3"/>
  <c r="E45" i="3"/>
  <c r="C45" i="3"/>
  <c r="D40" i="3"/>
  <c r="E40" i="3"/>
  <c r="C40" i="3"/>
  <c r="D42" i="3"/>
  <c r="E42" i="3"/>
  <c r="C42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D31" i="3"/>
  <c r="E31" i="3"/>
  <c r="E30" i="3" s="1"/>
  <c r="C31" i="3"/>
  <c r="C30" i="3" s="1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D21" i="3"/>
  <c r="E21" i="3"/>
  <c r="E20" i="3" s="1"/>
  <c r="C21" i="3"/>
  <c r="C20" i="3" s="1"/>
  <c r="D18" i="3"/>
  <c r="E18" i="3"/>
  <c r="C18" i="3"/>
  <c r="D19" i="3"/>
  <c r="E19" i="3"/>
  <c r="C19" i="3"/>
  <c r="D5" i="3"/>
  <c r="E5" i="3"/>
  <c r="D6" i="3"/>
  <c r="E6" i="3"/>
  <c r="D7" i="3"/>
  <c r="E7" i="3"/>
  <c r="D8" i="3"/>
  <c r="E8" i="3"/>
  <c r="D9" i="3"/>
  <c r="E9" i="3"/>
  <c r="E12" i="3" s="1"/>
  <c r="D10" i="3"/>
  <c r="E10" i="3"/>
  <c r="D11" i="3"/>
  <c r="E11" i="3"/>
  <c r="D14" i="3"/>
  <c r="D13" i="3" s="1"/>
  <c r="E14" i="3"/>
  <c r="E13" i="3" s="1"/>
  <c r="C14" i="3"/>
  <c r="C13" i="3" s="1"/>
  <c r="C11" i="3"/>
  <c r="C12" i="3" s="1"/>
  <c r="C10" i="3"/>
  <c r="C9" i="3"/>
  <c r="C8" i="3"/>
  <c r="C7" i="3"/>
  <c r="C6" i="3"/>
  <c r="C5" i="3"/>
  <c r="D17" i="3"/>
  <c r="E17" i="3"/>
  <c r="C17" i="3"/>
  <c r="D108" i="1"/>
  <c r="C108" i="1"/>
  <c r="B108" i="1"/>
  <c r="D99" i="1"/>
  <c r="C99" i="1"/>
  <c r="B99" i="1"/>
  <c r="D12" i="3" l="1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8" i="3"/>
  <c r="A5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/>
  <c r="A40" i="3" s="1"/>
  <c r="A42" i="3" s="1"/>
  <c r="A43" i="3" s="1"/>
  <c r="A44" i="3" s="1"/>
  <c r="A45" i="3" s="1"/>
  <c r="A47" i="3" s="1"/>
  <c r="A49" i="3" s="1"/>
  <c r="A51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<sst xmlns="http://schemas.openxmlformats.org/spreadsheetml/2006/main" count="175" uniqueCount="152">
  <si>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</si>
  <si>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</si>
  <si>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</si>
  <si>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</si>
  <si>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</si>
  <si>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</si>
  <si>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</si>
  <si>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</si>
  <si>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</si>
  <si>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</si>
  <si>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</si>
  <si>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</si>
  <si>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</si>
  <si>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</si>
  <si>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</si>
  <si>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</si>
  <si>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</si>
  <si>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</si>
  <si>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</si>
  <si>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</si>
  <si>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</si>
  <si>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</si>
  <si>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</si>
  <si>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</si>
  <si>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</si>
  <si>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</si>
  <si>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</si>
  <si>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</si>
  <si>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</si>
  <si>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</si>
  <si>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</si>
  <si>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</si>
  <si>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</si>
  <si>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</si>
  <si>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</si>
  <si>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</si>
  <si>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</si>
  <si>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</si>
  <si>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</si>
  <si>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</si>
  <si>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</si>
  <si>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</si>
  <si>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</si>
  <si>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</si>
  <si>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</si>
  <si>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</si>
  <si>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</si>
  <si>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</si>
  <si>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</si>
  <si>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</si>
  <si>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</si>
  <si>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</si>
  <si>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</si>
  <si>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</si>
  <si>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</si>
  <si>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</si>
  <si>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</si>
  <si>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</si>
  <si>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</si>
  <si>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</si>
  <si>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</si>
  <si>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</si>
  <si>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</si>
  <si>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</si>
  <si>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</si>
  <si>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</si>
  <si>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</si>
  <si>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</si>
  <si>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</si>
  <si>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</si>
  <si>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</si>
  <si>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</si>
  <si>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</si>
  <si>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</si>
  <si>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</si>
  <si>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</si>
  <si>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</si>
  <si>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</si>
  <si>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</si>
  <si>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</si>
  <si>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</si>
  <si>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</si>
  <si>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</si>
  <si>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</si>
  <si>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</si>
  <si>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</si>
  <si>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</si>
  <si>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</si>
  <si>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</si>
  <si>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</si>
  <si>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</si>
  <si>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</si>
  <si>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</si>
  <si>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</si>
  <si>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</si>
  <si>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</si>
  <si>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</si>
  <si>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</si>
  <si>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</si>
  <si>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</si>
  <si>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</si>
  <si>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</si>
  <si>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</si>
  <si>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</si>
  <si>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</si>
  <si>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</si>
  <si>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</si>
  <si>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</si>
  <si>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</si>
  <si>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</si>
  <si>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</si>
  <si>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</si>
  <si>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</si>
  <si>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</si>
  <si>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</si>
  <si>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</si>
  <si>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</si>
  <si>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</si>
  <si>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</si>
  <si>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</si>
  <si>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</si>
  <si>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</si>
  <si>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</si>
  <si>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</si>
  <si>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</si>
  <si>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</si>
  <si>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</si>
  <si>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</si>
  <si>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</si>
  <si>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</si>
  <si>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</si>
  <si>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</si>
  <si>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</si>
  <si>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</si>
  <si>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</si>
  <si>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</si>
  <si>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</si>
  <si>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</si>
  <si>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</si>
  <si>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</si>
  <si>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</si>
  <si>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</si>
  <si>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</si>
  <si>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</si>
  <si>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</si>
  <si>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</si>
  <si>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</si>
  <si>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</si>
  <si>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</si>
  <si>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 per Share (Dec 1)</t>
  </si>
  <si>
    <t>Dividend per share (Annual)</t>
  </si>
  <si>
    <t>Market 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</si>
</sst>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43" fontId="0" fillId="0" borderId="0" xfId="1" applyFont="1"/>
    <xf numFmtId="9" fontId="0" fillId="0" borderId="0" xfId="3" applyFont="1"/>
    <xf numFmtId="171" fontId="0" fillId="0" borderId="0" xfId="3" applyNumberFormat="1" applyFont="1"/>
    <xf numFmtId="10" fontId="0" fillId="0" borderId="0" xfId="3" applyNumberFormat="1" applyFont="1"/>
    <xf numFmtId="164" fontId="0" fillId="0" borderId="0" xfId="0" applyNumberFormat="1"/>
    <xf numFmtId="43" fontId="0" fillId="0" borderId="0" xfId="0" applyNumberFormat="1"/>
    <xf numFmtId="43" fontId="0" fillId="0" borderId="0" xfId="1" applyFont="1" applyAlignment="1">
      <alignment horizontal="left" indent="1"/>
    </xf>
    <xf numFmtId="0" fontId="8" fillId="0" borderId="0" xfId="0" applyFont="1"/>
    <xf numFmtId="1" fontId="0" fillId="0" borderId="0" xfId="0" applyNumberFormat="1"/>
    <xf numFmtId="2" fontId="0" fillId="0" borderId="0" xfId="1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1" workbookViewId="0">
      <selection activeCell="A17" sqref="A1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2" workbookViewId="0">
      <selection activeCell="B68" sqref="B6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141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D58" sqref="D58"/>
    </sheetView>
  </sheetViews>
  <sheetFormatPr defaultRowHeight="14.4" x14ac:dyDescent="0.3"/>
  <cols>
    <col min="1" max="1" width="4.6640625" customWidth="1"/>
    <col min="2" max="2" width="44.88671875" customWidth="1"/>
    <col min="3" max="5" width="16.109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+'Financial Statements'!B42/'Financial Statements'!B56</f>
        <v>0.87935602862672257</v>
      </c>
      <c r="D5" s="25">
        <f>+'Financial Statements'!C42/'Financial Statements'!C56</f>
        <v>1.0745531195957954</v>
      </c>
      <c r="E5" s="25">
        <f>+'Financial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(+'Financial Statements'!B42-'Financial Statements'!B39)/'Financial Statements'!B56</f>
        <v>0.84723539114961488</v>
      </c>
      <c r="D6" s="26">
        <f>(+'Financial Statements'!C42-'Financial Statements'!C39)/'Financial Statements'!C56</f>
        <v>1.0221149018576519</v>
      </c>
      <c r="E6" s="26">
        <f>(+'Financial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+'Financial Statements'!B36/'Financial Statements'!B56</f>
        <v>0.15356340351469652</v>
      </c>
      <c r="D7" s="25">
        <f>+'Financial Statements'!C36/'Financial Statements'!C56</f>
        <v>0.27844853005634318</v>
      </c>
      <c r="E7" s="25">
        <f>+'Financial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(+'Financial Statements'!B42-'Financial Statements'!B39)/'Financial Statements'!B17</f>
        <v>2.5408316291751873</v>
      </c>
      <c r="D8" s="25">
        <f>(+'Financial Statements'!C42-'Financial Statements'!C39)/'Financial Statements'!C17</f>
        <v>2.9224143823911408</v>
      </c>
      <c r="E8" s="25">
        <f>(+'Financial Statements'!D42-'Financial Statements'!D39)/'Financial Statements'!D17</f>
        <v>3.6115651184441915</v>
      </c>
    </row>
    <row r="9" spans="1:10" x14ac:dyDescent="0.3">
      <c r="A9" s="18">
        <f t="shared" si="0"/>
        <v>1.5000000000000004</v>
      </c>
      <c r="B9" s="1" t="s">
        <v>104</v>
      </c>
      <c r="C9" s="25">
        <f>+'Financial Statements'!B39/'Financial Statements'!B12*365</f>
        <v>8.0756980666171607</v>
      </c>
      <c r="D9" s="25">
        <f>+'Financial Statements'!C39/'Financial Statements'!C12*365</f>
        <v>11.27659274770989</v>
      </c>
      <c r="E9" s="25">
        <f>+'Financial Statements'!D39/'Financial Statements'!D12*365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5">
        <f>+'Financial Statements'!B51/'Financial Statements'!B12*365</f>
        <v>104.68527730310539</v>
      </c>
      <c r="D10" s="25">
        <f>+'Financial Statements'!C51/'Financial Statements'!C12*365</f>
        <v>93.851071222315596</v>
      </c>
      <c r="E10" s="25">
        <f>+'Financial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5">
        <f>+'Financial Statements'!B38/'Financial Statements'!B8*365</f>
        <v>26.087825363656648</v>
      </c>
      <c r="D11" s="25">
        <f>+'Financial Statements'!C38/'Financial Statements'!C8*365</f>
        <v>26.219311841713207</v>
      </c>
      <c r="E11" s="25">
        <f>+'Financial Statements'!D38/'Financial Statements'!D8*365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5">
        <f>+C9+C11-C10</f>
        <v>-70.521753872831582</v>
      </c>
      <c r="D12" s="25">
        <f t="shared" ref="D12:E12" si="1">+D9+D11-D10</f>
        <v>-56.355166632892498</v>
      </c>
      <c r="E12" s="25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8">
        <f>+C14/'Financial Statements'!B8</f>
        <v>-4.711052727678481E-2</v>
      </c>
      <c r="D13" s="28">
        <f>+D14/'Financial Statements'!C8</f>
        <v>2.557289573748623E-2</v>
      </c>
      <c r="E13" s="28">
        <f>+E14/'Financial Statements'!D8</f>
        <v>0.13959528623208203</v>
      </c>
    </row>
    <row r="14" spans="1:10" x14ac:dyDescent="0.3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8">
        <f>+'Financial Statements'!B13/'Financial Statements'!B8</f>
        <v>0.43309630561360085</v>
      </c>
      <c r="D17" s="28">
        <f>+'Financial Statements'!C13/'Financial Statements'!C8</f>
        <v>0.41779359625167778</v>
      </c>
      <c r="E17" s="28">
        <f>+'Financial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8">
        <f>+C19/'Financial Statements'!B8</f>
        <v>0.3310467428130896</v>
      </c>
      <c r="D18" s="28">
        <f>+D19/'Financial Statements'!C8</f>
        <v>0.32866979938056462</v>
      </c>
      <c r="E18" s="28">
        <f>+E19/'Financial Statements'!D8</f>
        <v>0.2817478097736007</v>
      </c>
    </row>
    <row r="19" spans="1:5" x14ac:dyDescent="0.3">
      <c r="A19" s="18"/>
      <c r="B19" s="3" t="s">
        <v>112</v>
      </c>
      <c r="C19" s="12">
        <f>+'Financial Statements'!B18+'Financial Statements'!B79</f>
        <v>130541</v>
      </c>
      <c r="D19" s="12">
        <f>+'Financial Statements'!C18+'Financial Statements'!C79</f>
        <v>120233</v>
      </c>
      <c r="E19" s="12">
        <f>+'Financial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 s="28">
        <f>+C21/'Financial Statements'!B8</f>
        <v>0.30288744395528594</v>
      </c>
      <c r="D20" s="28">
        <f>+D21/'Financial Statements'!C8</f>
        <v>0.29782377527561593</v>
      </c>
      <c r="E20" s="28">
        <f>+E21/'Financial Statements'!D8</f>
        <v>0.24147314354406862</v>
      </c>
    </row>
    <row r="21" spans="1:5" x14ac:dyDescent="0.3">
      <c r="A21" s="18"/>
      <c r="B21" s="3" t="s">
        <v>114</v>
      </c>
      <c r="C21" s="12">
        <f>+'Financial Statements'!B18</f>
        <v>119437</v>
      </c>
      <c r="D21" s="12">
        <f>+'Financial Statements'!C18</f>
        <v>108949</v>
      </c>
      <c r="E21" s="12">
        <f>+'Financial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 s="27">
        <f>+'Financial Statements'!B22/'Financial Statements'!B8</f>
        <v>0.25309640705199732</v>
      </c>
      <c r="D22" s="27">
        <f>+'Financial Statements'!C22/'Financial Statements'!C8</f>
        <v>0.25881793355694238</v>
      </c>
      <c r="E22" s="27">
        <f>+'Financial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5">
        <f>+'Financial Statements'!B62/'Financial Statements'!B68</f>
        <v>5.9615369434796337</v>
      </c>
      <c r="D25" s="25">
        <f>+'Financial Statements'!C62/'Financial Statements'!C68</f>
        <v>4.5635124425423994</v>
      </c>
      <c r="E25" s="25">
        <f>+'Financial Statements'!D62/'Financial Statements'!D68</f>
        <v>3.9570394404566951</v>
      </c>
    </row>
    <row r="26" spans="1:5" x14ac:dyDescent="0.3">
      <c r="A26" s="18">
        <f t="shared" ref="A26:A30" si="2">+A25+0.1</f>
        <v>3.2</v>
      </c>
      <c r="B26" s="1" t="s">
        <v>118</v>
      </c>
      <c r="C26" s="25">
        <f>+'Financial Statements'!B62/'Financial Statements'!B48</f>
        <v>0.85635355983614692</v>
      </c>
      <c r="D26" s="25">
        <f>+'Financial Statements'!C62/'Financial Statements'!C48</f>
        <v>0.82025743443057308</v>
      </c>
      <c r="E26" s="25">
        <f>+'Financial Statements'!D62/'Financial Statements'!D48</f>
        <v>0.79826668477992391</v>
      </c>
    </row>
    <row r="27" spans="1:5" x14ac:dyDescent="0.3">
      <c r="A27" s="18">
        <f t="shared" si="2"/>
        <v>3.3000000000000003</v>
      </c>
      <c r="B27" s="1" t="s">
        <v>119</v>
      </c>
      <c r="C27" s="25">
        <f>+'Financial Statements'!B59/('Financial Statements'!B59+'Financial Statements'!B68)</f>
        <v>0.66135359651409131</v>
      </c>
      <c r="D27" s="25">
        <f>+'Financial Statements'!C59/('Financial Statements'!C59+'Financial Statements'!C68)</f>
        <v>0.63361518269878514</v>
      </c>
      <c r="E27" s="25">
        <f>+'Financial Statements'!D59/('Financial Statements'!D59+'Financial Statements'!D68)</f>
        <v>0.60160603880345842</v>
      </c>
    </row>
    <row r="28" spans="1:5" x14ac:dyDescent="0.3">
      <c r="A28" s="18">
        <f t="shared" si="2"/>
        <v>3.4000000000000004</v>
      </c>
      <c r="B28" s="1" t="s">
        <v>120</v>
      </c>
      <c r="C28" s="25">
        <f>'Financial Statements'!B18/'Financial Statements'!B114</f>
        <v>41.68830715532286</v>
      </c>
      <c r="D28" s="25">
        <f>'Financial Statements'!C18/'Financial Statements'!C114</f>
        <v>40.546706363974693</v>
      </c>
      <c r="E28" s="25">
        <f>'Financial Statements'!D18/'Financial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 s="25">
        <f>'Financial Statements'!B91/('Financial Statements'!B56+'Financial Statements'!B59)</f>
        <v>0.48292289506248492</v>
      </c>
      <c r="D29" s="25">
        <f>'Financial Statements'!C91/('Financial Statements'!C56+'Financial Statements'!C59)</f>
        <v>0.44349431127897115</v>
      </c>
      <c r="E29" s="25">
        <f>'Financial Statements'!D91/('Financial Statements'!D56+'Financial Statements'!D59)</f>
        <v>0.39534644392063079</v>
      </c>
    </row>
    <row r="30" spans="1:5" x14ac:dyDescent="0.3">
      <c r="A30" s="18">
        <f t="shared" si="2"/>
        <v>3.6000000000000005</v>
      </c>
      <c r="B30" s="1" t="s">
        <v>122</v>
      </c>
      <c r="C30" s="31">
        <f>C31/'Financial Statements'!B65</f>
        <v>2.0487440053046306</v>
      </c>
      <c r="D30" s="31">
        <f>D31/'Financial Statements'!C65</f>
        <v>2.0068508672535517</v>
      </c>
      <c r="E30" s="31">
        <f>E31/'Financial Statements'!D65</f>
        <v>1.7326650780834596</v>
      </c>
    </row>
    <row r="31" spans="1:5" x14ac:dyDescent="0.3">
      <c r="A31" s="18"/>
      <c r="B31" s="3" t="s">
        <v>123</v>
      </c>
      <c r="C31" s="12">
        <f>'Financial Statements'!B91-'Financial Statements'!B96</f>
        <v>132859</v>
      </c>
      <c r="D31" s="12">
        <f>'Financial Statements'!C91-'Financial Statements'!C96</f>
        <v>115123</v>
      </c>
      <c r="E31" s="12">
        <f>'Financial Statements'!D91-'Financial Statements'!D96</f>
        <v>87983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 s="25">
        <f>+'Financial Statements'!B8/'Financial Statements'!B45</f>
        <v>9.3626801529073767</v>
      </c>
      <c r="D35" s="25">
        <f>+'Financial Statements'!C8/'Financial Statements'!C45</f>
        <v>9.2752789046653152</v>
      </c>
      <c r="E35" s="25">
        <f>+'Financial Statements'!D8/'Financial Statements'!D45</f>
        <v>7.4665451776097482</v>
      </c>
    </row>
    <row r="36" spans="1:5" x14ac:dyDescent="0.3">
      <c r="A36" s="18">
        <f t="shared" si="3"/>
        <v>4.2999999999999989</v>
      </c>
      <c r="B36" s="1" t="s">
        <v>127</v>
      </c>
      <c r="C36" s="32">
        <f>+'Financial Statements'!B12/AVERAGE('Financial Statements'!B39:C39)</f>
        <v>38.789866389033492</v>
      </c>
      <c r="D36" s="32">
        <f>+'Financial Statements'!C12/AVERAGE('Financial Statements'!C39:D39)</f>
        <v>40.030260313880277</v>
      </c>
      <c r="E36" s="32">
        <f>+'Financial Statements'!D12/AVERAGE('Financial Statements'!D39:E39)</f>
        <v>41.753016498399411</v>
      </c>
    </row>
    <row r="37" spans="1:5" x14ac:dyDescent="0.3">
      <c r="A37" s="18">
        <f t="shared" si="3"/>
        <v>4.3999999999999986</v>
      </c>
      <c r="B37" s="1" t="s">
        <v>128</v>
      </c>
      <c r="C37" s="27">
        <f>+'Financial Statements'!B22/'Financial Statements'!B48</f>
        <v>0.28292440929256851</v>
      </c>
      <c r="D37" s="27">
        <f>+'Financial Statements'!C22/'Financial Statements'!C48</f>
        <v>0.26974205275183616</v>
      </c>
      <c r="E37" s="27">
        <f>+'Financial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 s="25">
        <f>C41/C42</f>
        <v>21.265139116202946</v>
      </c>
      <c r="D40" s="25">
        <f t="shared" ref="D40:E40" si="4">D41/D42</f>
        <v>31.176470588235293</v>
      </c>
      <c r="E40" s="25">
        <f t="shared" si="4"/>
        <v>39.600609756097562</v>
      </c>
    </row>
    <row r="41" spans="1:5" x14ac:dyDescent="0.3">
      <c r="A41" s="18"/>
      <c r="B41" s="1" t="s">
        <v>149</v>
      </c>
      <c r="C41" s="33">
        <v>129.93</v>
      </c>
      <c r="D41" s="33">
        <v>174.9</v>
      </c>
      <c r="E41" s="33">
        <v>129.88999999999999</v>
      </c>
    </row>
    <row r="42" spans="1:5" x14ac:dyDescent="0.3">
      <c r="A42" s="18">
        <f>+A40+0.1</f>
        <v>5.1999999999999993</v>
      </c>
      <c r="B42" s="3" t="s">
        <v>131</v>
      </c>
      <c r="C42">
        <f>'Financial Statements'!B25</f>
        <v>6.11</v>
      </c>
      <c r="D42">
        <f>'Financial Statements'!C25</f>
        <v>5.61</v>
      </c>
      <c r="E42">
        <f>'Financial Statements'!D25</f>
        <v>3.28</v>
      </c>
    </row>
    <row r="43" spans="1:5" x14ac:dyDescent="0.3">
      <c r="A43" s="18">
        <f t="shared" ref="A43:A45" si="5">+A42+0.1</f>
        <v>5.2999999999999989</v>
      </c>
      <c r="B43" s="1" t="s">
        <v>132</v>
      </c>
      <c r="C43" s="25">
        <f>C41/C44</f>
        <v>41.86165264189296</v>
      </c>
      <c r="D43" s="25">
        <f t="shared" ref="D43:E43" si="6">D41/D44</f>
        <v>46.753436885401811</v>
      </c>
      <c r="E43" s="25">
        <f t="shared" si="6"/>
        <v>34.845034611181681</v>
      </c>
    </row>
    <row r="44" spans="1:5" x14ac:dyDescent="0.3">
      <c r="A44" s="18">
        <f t="shared" si="5"/>
        <v>5.3999999999999986</v>
      </c>
      <c r="B44" s="3" t="s">
        <v>133</v>
      </c>
      <c r="C44" s="35">
        <f>+'Financial Statements'!B68/'Financial Statements'!B28*1000</f>
        <v>3.1037952827971451</v>
      </c>
      <c r="D44" s="35">
        <f>+'Financial Statements'!C68/'Financial Statements'!C28*1000</f>
        <v>3.740901453484597</v>
      </c>
      <c r="E44" s="35">
        <f>+'Financial Statements'!D68/'Financial Statements'!D28*1000</f>
        <v>3.7276473233382479</v>
      </c>
    </row>
    <row r="45" spans="1:5" x14ac:dyDescent="0.3">
      <c r="A45" s="18">
        <f t="shared" si="5"/>
        <v>5.4999999999999982</v>
      </c>
      <c r="B45" s="1" t="s">
        <v>134</v>
      </c>
      <c r="C45" s="27">
        <f>+C46/C42</f>
        <v>0.14893617021276595</v>
      </c>
      <c r="D45" s="27">
        <f t="shared" ref="D45:E45" si="7">+D46/D42</f>
        <v>0.15418894830659535</v>
      </c>
      <c r="E45" s="27">
        <f t="shared" si="7"/>
        <v>0.79725609756097571</v>
      </c>
    </row>
    <row r="46" spans="1:5" x14ac:dyDescent="0.3">
      <c r="A46" s="18"/>
      <c r="B46" s="3" t="s">
        <v>150</v>
      </c>
      <c r="C46" s="25">
        <v>0.91</v>
      </c>
      <c r="D46" s="25">
        <v>0.86499999999999999</v>
      </c>
      <c r="E46" s="25">
        <v>2.6150000000000002</v>
      </c>
    </row>
    <row r="47" spans="1:5" x14ac:dyDescent="0.3">
      <c r="A47" s="18">
        <f>+A45+0.1</f>
        <v>5.5999999999999979</v>
      </c>
      <c r="B47" s="1" t="s">
        <v>135</v>
      </c>
      <c r="C47" s="29">
        <f>+C46/C41</f>
        <v>7.003771261448472E-3</v>
      </c>
      <c r="D47" s="29">
        <f t="shared" ref="D47:E47" si="8">+D46/D41</f>
        <v>4.9456832475700402E-3</v>
      </c>
      <c r="E47" s="29">
        <f t="shared" si="8"/>
        <v>2.0132419739779816E-2</v>
      </c>
    </row>
    <row r="48" spans="1:5" x14ac:dyDescent="0.3">
      <c r="A48" s="18">
        <f t="shared" ref="A48:A51" si="9">+A46+0.1</f>
        <v>0.1</v>
      </c>
      <c r="B48" s="1" t="s">
        <v>136</v>
      </c>
      <c r="C48" s="27">
        <f>+'Financial Statements'!B22/'Financial Statements'!B68</f>
        <v>1.9695887275023682</v>
      </c>
      <c r="D48" s="27">
        <f>+'Financial Statements'!C22/'Financial Statements'!C68</f>
        <v>1.5007132667617689</v>
      </c>
      <c r="E48" s="27">
        <f>+'Financial Statements'!D22/'Financial Statements'!D68</f>
        <v>0.87866358530127486</v>
      </c>
    </row>
    <row r="49" spans="1:5" x14ac:dyDescent="0.3">
      <c r="A49" s="18">
        <f t="shared" si="9"/>
        <v>5.6999999999999975</v>
      </c>
      <c r="B49" s="1" t="s">
        <v>137</v>
      </c>
      <c r="C49" s="27">
        <f>+'Financial Statements'!B18/('Financial Statements'!B48-'Financial Statements'!B56)</f>
        <v>0.60087134570590572</v>
      </c>
      <c r="D49" s="27">
        <f>+'Financial Statements'!C18/('Financial Statements'!C48-'Financial Statements'!C56)</f>
        <v>0.48309913489209433</v>
      </c>
      <c r="E49" s="27">
        <f>+'Financial Statements'!D18/('Financial Statements'!D48-'Financial Statements'!D56)</f>
        <v>0.30338312829525482</v>
      </c>
    </row>
    <row r="50" spans="1:5" x14ac:dyDescent="0.3">
      <c r="A50" s="18">
        <f t="shared" si="9"/>
        <v>0.2</v>
      </c>
      <c r="B50" s="1" t="s">
        <v>128</v>
      </c>
      <c r="C50" s="27">
        <f>+'Financial Statements'!B22/'Financial Statements'!B48</f>
        <v>0.28292440929256851</v>
      </c>
      <c r="D50" s="27">
        <f>+'Financial Statements'!C22/'Financial Statements'!C48</f>
        <v>0.26974205275183616</v>
      </c>
      <c r="E50" s="27">
        <f>+'Financial Statements'!D22/'Financial Statements'!D48</f>
        <v>0.1772557180259843</v>
      </c>
    </row>
    <row r="51" spans="1:5" x14ac:dyDescent="0.3">
      <c r="A51" s="18">
        <f t="shared" si="9"/>
        <v>5.7999999999999972</v>
      </c>
      <c r="B51" s="1" t="s">
        <v>138</v>
      </c>
      <c r="C51" s="34">
        <f>C52/C19</f>
        <v>16251.162145762635</v>
      </c>
      <c r="D51" s="34">
        <f t="shared" ref="D51:E51" si="10">D52/D19</f>
        <v>24534.645064998793</v>
      </c>
      <c r="E51" s="34">
        <f t="shared" si="10"/>
        <v>29438.686381102601</v>
      </c>
    </row>
    <row r="52" spans="1:5" x14ac:dyDescent="0.3">
      <c r="A52" s="18"/>
      <c r="B52" s="3" t="s">
        <v>139</v>
      </c>
      <c r="C52" s="30">
        <f>C53+'Financial Statements'!B56+'Financial Statements'!B59-'Financial Statements'!B36</f>
        <v>2121442957.6700001</v>
      </c>
      <c r="D52" s="30">
        <f>D53+'Financial Statements'!C56+'Financial Statements'!C59-'Financial Statements'!C36</f>
        <v>2949873980.0999999</v>
      </c>
      <c r="E52" s="30">
        <f>E53+'Financial Statements'!D56+'Financial Statements'!D59-'Financial Statements'!D36</f>
        <v>2276905759.4599996</v>
      </c>
    </row>
    <row r="53" spans="1:5" x14ac:dyDescent="0.3">
      <c r="B53" t="s">
        <v>151</v>
      </c>
      <c r="C53" s="12">
        <f>C41*'Financial Statements'!B28</f>
        <v>2121213662.6700001</v>
      </c>
      <c r="D53" s="12">
        <f>D41*'Financial Statements'!C28</f>
        <v>2949674333.0999999</v>
      </c>
      <c r="E53" s="12">
        <f>E41*'Financial Statements'!D28</f>
        <v>2276739716.4599996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Do</cp:lastModifiedBy>
  <dcterms:created xsi:type="dcterms:W3CDTF">2020-05-18T16:32:37Z</dcterms:created>
  <dcterms:modified xsi:type="dcterms:W3CDTF">2024-10-08T23:24:53Z</dcterms:modified>
</cp:coreProperties>
</file>