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Ben\Downloads\"/>
    </mc:Choice>
  </mc:AlternateContent>
  <xr:revisionPtr revIDLastSave="0" documentId="13_ncr:1_{9E67F313-ACC4-4DCA-9815-1DBFED119A0A}" xr6:coauthVersionLast="47" xr6:coauthVersionMax="47" xr10:uidLastSave="{00000000-0000-0000-0000-000000000000}"/>
  <bookViews>
    <workbookView xWindow="-108" yWindow="-108" windowWidth="23256" windowHeight="12576" activeTab="1"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3" l="1"/>
  <c r="B10" i="3"/>
  <c r="B7" i="3"/>
  <c r="H213" i="1"/>
  <c r="G213" i="1"/>
  <c r="F213" i="1"/>
  <c r="E213" i="1"/>
  <c r="D213" i="1"/>
  <c r="C213" i="1"/>
  <c r="G212" i="1"/>
  <c r="F212" i="1"/>
  <c r="E212" i="1"/>
  <c r="D212" i="1"/>
  <c r="C212" i="1"/>
  <c r="G211" i="1"/>
  <c r="G210" i="1"/>
  <c r="G209" i="1"/>
  <c r="H208" i="1"/>
  <c r="G208" i="1"/>
  <c r="H207" i="1"/>
  <c r="G207" i="1"/>
  <c r="F207" i="1"/>
  <c r="E207" i="1"/>
  <c r="D207" i="1"/>
  <c r="C207" i="1"/>
  <c r="H206" i="1"/>
  <c r="G206" i="1"/>
  <c r="F206" i="1"/>
  <c r="E206" i="1"/>
  <c r="D206" i="1"/>
  <c r="C206" i="1"/>
  <c r="H205" i="1"/>
  <c r="G205" i="1"/>
  <c r="F205" i="1"/>
  <c r="E205" i="1"/>
  <c r="D205" i="1"/>
  <c r="C205" i="1"/>
  <c r="H204" i="1"/>
  <c r="G204" i="1"/>
  <c r="H203" i="1"/>
  <c r="G203" i="1"/>
  <c r="H202" i="1"/>
  <c r="G202" i="1"/>
  <c r="H201" i="1"/>
  <c r="G201" i="1"/>
  <c r="F201" i="1"/>
  <c r="E201" i="1"/>
  <c r="D201" i="1"/>
  <c r="C201" i="1"/>
  <c r="H200" i="1"/>
  <c r="G200" i="1"/>
  <c r="H199" i="1"/>
  <c r="G199" i="1"/>
  <c r="H198" i="1"/>
  <c r="G198" i="1"/>
  <c r="H197" i="1"/>
  <c r="G197" i="1"/>
  <c r="F197" i="1"/>
  <c r="E197" i="1"/>
  <c r="D197" i="1"/>
  <c r="C197" i="1"/>
  <c r="H196" i="1"/>
  <c r="G196" i="1"/>
  <c r="H195" i="1"/>
  <c r="G195" i="1"/>
  <c r="H194" i="1"/>
  <c r="H26" i="3" s="1"/>
  <c r="G194" i="1"/>
  <c r="H193" i="1"/>
  <c r="G193" i="1"/>
  <c r="F193" i="1"/>
  <c r="E193" i="1"/>
  <c r="D193" i="1"/>
  <c r="C193" i="1"/>
  <c r="H192" i="1"/>
  <c r="G192" i="1"/>
  <c r="G30" i="3" s="1"/>
  <c r="H191" i="1"/>
  <c r="G191" i="1"/>
  <c r="H190" i="1"/>
  <c r="G190" i="1"/>
  <c r="H189" i="1"/>
  <c r="G189" i="1"/>
  <c r="F189" i="1"/>
  <c r="E189" i="1"/>
  <c r="D189" i="1"/>
  <c r="C189" i="1"/>
  <c r="G139" i="1"/>
  <c r="G140" i="1" s="1"/>
  <c r="D150" i="1"/>
  <c r="B87" i="1"/>
  <c r="C87" i="1"/>
  <c r="D87" i="1"/>
  <c r="E87" i="1"/>
  <c r="F87" i="1"/>
  <c r="G87" i="1"/>
  <c r="G7" i="1"/>
  <c r="F7" i="1"/>
  <c r="E7" i="1"/>
  <c r="D7" i="1"/>
  <c r="C7" i="1"/>
  <c r="B7" i="1"/>
  <c r="G4" i="1"/>
  <c r="F4" i="1"/>
  <c r="E4" i="1"/>
  <c r="D4" i="1"/>
  <c r="C4" i="1"/>
  <c r="B4" i="1"/>
  <c r="J57" i="3"/>
  <c r="K57" i="3"/>
  <c r="L57" i="3"/>
  <c r="M57" i="3"/>
  <c r="N57" i="3"/>
  <c r="J53" i="3"/>
  <c r="K53" i="3"/>
  <c r="L53" i="3"/>
  <c r="M53" i="3"/>
  <c r="N53" i="3"/>
  <c r="J49" i="3"/>
  <c r="K49" i="3"/>
  <c r="L49" i="3"/>
  <c r="M49" i="3"/>
  <c r="N49" i="3"/>
  <c r="J30" i="3"/>
  <c r="K30" i="3"/>
  <c r="L30" i="3"/>
  <c r="M30" i="3"/>
  <c r="N30" i="3"/>
  <c r="J26" i="3"/>
  <c r="K26" i="3"/>
  <c r="L26" i="3"/>
  <c r="M26" i="3"/>
  <c r="N26" i="3"/>
  <c r="J69" i="3"/>
  <c r="K69" i="3"/>
  <c r="L69" i="3"/>
  <c r="M69" i="3"/>
  <c r="N69" i="3"/>
  <c r="K68" i="3"/>
  <c r="L68" i="3" s="1"/>
  <c r="M68" i="3" s="1"/>
  <c r="N68" i="3" s="1"/>
  <c r="J68" i="3"/>
  <c r="J63" i="3"/>
  <c r="K63" i="3"/>
  <c r="L63" i="3"/>
  <c r="M63" i="3"/>
  <c r="N63" i="3"/>
  <c r="I63" i="3"/>
  <c r="K62" i="3"/>
  <c r="L62" i="3" s="1"/>
  <c r="M62" i="3" s="1"/>
  <c r="N62" i="3" s="1"/>
  <c r="J62" i="3"/>
  <c r="J46" i="3"/>
  <c r="K46" i="3"/>
  <c r="L46" i="3"/>
  <c r="M46" i="3"/>
  <c r="N46" i="3"/>
  <c r="K45" i="3"/>
  <c r="L45" i="3"/>
  <c r="M45" i="3"/>
  <c r="N45" i="3"/>
  <c r="J45" i="3"/>
  <c r="J42" i="3"/>
  <c r="K42" i="3"/>
  <c r="L42" i="3"/>
  <c r="M42" i="3"/>
  <c r="N42" i="3"/>
  <c r="K41" i="3"/>
  <c r="L41" i="3" s="1"/>
  <c r="M41" i="3" s="1"/>
  <c r="N41" i="3" s="1"/>
  <c r="J41" i="3"/>
  <c r="J22" i="3"/>
  <c r="K22" i="3"/>
  <c r="L22" i="3"/>
  <c r="M22" i="3"/>
  <c r="N22" i="3"/>
  <c r="J13" i="3"/>
  <c r="K13" i="3"/>
  <c r="L13" i="3"/>
  <c r="M13" i="3"/>
  <c r="N13" i="3"/>
  <c r="J12" i="3"/>
  <c r="K12" i="3"/>
  <c r="L12" i="3"/>
  <c r="M12" i="3"/>
  <c r="N12" i="3"/>
  <c r="J16" i="3"/>
  <c r="K16" i="3"/>
  <c r="L16" i="3"/>
  <c r="M16" i="3"/>
  <c r="N16" i="3"/>
  <c r="J15" i="3"/>
  <c r="K15" i="3"/>
  <c r="L15" i="3"/>
  <c r="M15" i="3"/>
  <c r="N15" i="3"/>
  <c r="B13" i="3"/>
  <c r="K10" i="3"/>
  <c r="J10" i="3"/>
  <c r="F10" i="3"/>
  <c r="E10" i="3"/>
  <c r="D10" i="3"/>
  <c r="C10" i="3"/>
  <c r="L10" i="3"/>
  <c r="M10" i="3"/>
  <c r="N10" i="3"/>
  <c r="J9" i="3"/>
  <c r="K9" i="3"/>
  <c r="L9" i="3"/>
  <c r="M9" i="3"/>
  <c r="N9" i="3"/>
  <c r="J7" i="3"/>
  <c r="K7" i="3"/>
  <c r="L7" i="3"/>
  <c r="M7" i="3"/>
  <c r="N7" i="3"/>
  <c r="J4" i="3"/>
  <c r="K4" i="3"/>
  <c r="L4" i="3"/>
  <c r="M4" i="3"/>
  <c r="N4" i="3"/>
  <c r="J6" i="3"/>
  <c r="K6" i="3"/>
  <c r="L6" i="3"/>
  <c r="M6" i="3"/>
  <c r="N6" i="3"/>
  <c r="K14" i="3"/>
  <c r="L14" i="3"/>
  <c r="M14" i="3" s="1"/>
  <c r="N14" i="3" s="1"/>
  <c r="J14" i="3"/>
  <c r="K11" i="3"/>
  <c r="L11" i="3" s="1"/>
  <c r="M11" i="3" s="1"/>
  <c r="N11" i="3" s="1"/>
  <c r="J11" i="3"/>
  <c r="K8" i="3"/>
  <c r="L8" i="3"/>
  <c r="M8" i="3" s="1"/>
  <c r="N8" i="3" s="1"/>
  <c r="J8" i="3"/>
  <c r="K5" i="3"/>
  <c r="L5" i="3"/>
  <c r="M5" i="3" s="1"/>
  <c r="N5" i="3" s="1"/>
  <c r="J5" i="3"/>
  <c r="L3" i="3"/>
  <c r="M3" i="3"/>
  <c r="N3" i="3"/>
  <c r="K3" i="3"/>
  <c r="J3" i="3"/>
  <c r="E59" i="3"/>
  <c r="G29" i="3"/>
  <c r="C5" i="3"/>
  <c r="B5" i="3"/>
  <c r="D5" i="3"/>
  <c r="H5" i="3"/>
  <c r="B59" i="3"/>
  <c r="B32" i="3"/>
  <c r="D10" i="1" l="1"/>
  <c r="D12" i="1" s="1"/>
  <c r="F10" i="1"/>
  <c r="F12" i="1" s="1"/>
  <c r="G10" i="1"/>
  <c r="G12" i="1" s="1"/>
  <c r="E10" i="1"/>
  <c r="E12" i="1" s="1"/>
  <c r="B10" i="1"/>
  <c r="B12" i="1" s="1"/>
  <c r="C10" i="1"/>
  <c r="C12" i="1" s="1"/>
  <c r="G31" i="3"/>
  <c r="C32" i="3" l="1"/>
  <c r="D32" i="3"/>
  <c r="E32" i="3"/>
  <c r="F32" i="3"/>
  <c r="G32" i="3"/>
  <c r="I5" i="3"/>
  <c r="F30" i="3"/>
  <c r="D14" i="3"/>
  <c r="D16" i="3" s="1"/>
  <c r="E5" i="3"/>
  <c r="G5" i="3"/>
  <c r="H6" i="3" s="1"/>
  <c r="I7" i="3"/>
  <c r="I10" i="3"/>
  <c r="G25" i="3"/>
  <c r="G26" i="3"/>
  <c r="G10" i="3"/>
  <c r="H10" i="3"/>
  <c r="E16" i="3"/>
  <c r="F16" i="3"/>
  <c r="G16" i="3"/>
  <c r="H16" i="3"/>
  <c r="I16" i="3"/>
  <c r="C16" i="3"/>
  <c r="F15" i="3"/>
  <c r="G15" i="3"/>
  <c r="H15" i="3"/>
  <c r="I15" i="3"/>
  <c r="H9" i="3"/>
  <c r="I9" i="3"/>
  <c r="I14" i="3"/>
  <c r="H14" i="3"/>
  <c r="G14" i="3"/>
  <c r="F14" i="3"/>
  <c r="E14" i="3"/>
  <c r="C14" i="3"/>
  <c r="C59" i="3"/>
  <c r="D59" i="3"/>
  <c r="F59" i="3"/>
  <c r="G59" i="3"/>
  <c r="C40" i="3"/>
  <c r="C13" i="3"/>
  <c r="D13" i="3"/>
  <c r="E13" i="3"/>
  <c r="F13" i="3"/>
  <c r="G13" i="3"/>
  <c r="H13" i="3"/>
  <c r="I13" i="3"/>
  <c r="H7" i="3"/>
  <c r="G21" i="3"/>
  <c r="I6" i="3"/>
  <c r="D12" i="3"/>
  <c r="E12" i="3"/>
  <c r="F12" i="3"/>
  <c r="G12" i="3"/>
  <c r="H12" i="3"/>
  <c r="I12" i="3"/>
  <c r="C12" i="3"/>
  <c r="F22" i="3"/>
  <c r="D4" i="3"/>
  <c r="E4" i="3"/>
  <c r="F4" i="3"/>
  <c r="G4" i="3"/>
  <c r="H4" i="3"/>
  <c r="I4" i="3"/>
  <c r="C4" i="3"/>
  <c r="C70" i="3"/>
  <c r="I69" i="3"/>
  <c r="B69" i="3"/>
  <c r="G70" i="3"/>
  <c r="F70" i="3"/>
  <c r="E70" i="3"/>
  <c r="D70" i="3"/>
  <c r="C69" i="3"/>
  <c r="B70" i="3"/>
  <c r="G64" i="3"/>
  <c r="F63" i="3"/>
  <c r="E64" i="3"/>
  <c r="D64" i="3"/>
  <c r="C64" i="3"/>
  <c r="B64" i="3"/>
  <c r="I57" i="3"/>
  <c r="H57" i="3"/>
  <c r="G57" i="3"/>
  <c r="F57" i="3"/>
  <c r="E57" i="3"/>
  <c r="D57" i="3"/>
  <c r="C57" i="3"/>
  <c r="B57" i="3"/>
  <c r="I55" i="3"/>
  <c r="H55" i="3"/>
  <c r="H56" i="3" s="1"/>
  <c r="H58" i="3" s="1"/>
  <c r="G56" i="3"/>
  <c r="G58" i="3" s="1"/>
  <c r="E55" i="3"/>
  <c r="F56" i="3" s="1"/>
  <c r="F58" i="3" s="1"/>
  <c r="D55" i="3"/>
  <c r="C55" i="3"/>
  <c r="B55" i="3"/>
  <c r="B56" i="3" s="1"/>
  <c r="I53" i="3"/>
  <c r="H53" i="3"/>
  <c r="G53" i="3"/>
  <c r="F53" i="3"/>
  <c r="E53" i="3"/>
  <c r="D53" i="3"/>
  <c r="C53" i="3"/>
  <c r="B53" i="3"/>
  <c r="I51" i="3"/>
  <c r="H51" i="3"/>
  <c r="H52" i="3" s="1"/>
  <c r="H54" i="3" s="1"/>
  <c r="G52" i="3"/>
  <c r="G54" i="3" s="1"/>
  <c r="E51" i="3"/>
  <c r="F52" i="3" s="1"/>
  <c r="F54" i="3" s="1"/>
  <c r="D51" i="3"/>
  <c r="C51" i="3"/>
  <c r="B51" i="3"/>
  <c r="B52" i="3" s="1"/>
  <c r="I49" i="3"/>
  <c r="H49" i="3"/>
  <c r="G49" i="3"/>
  <c r="F49" i="3"/>
  <c r="E49" i="3"/>
  <c r="D49" i="3"/>
  <c r="C49" i="3"/>
  <c r="B49" i="3"/>
  <c r="I47" i="3"/>
  <c r="H47" i="3"/>
  <c r="H48" i="3" s="1"/>
  <c r="H50" i="3" s="1"/>
  <c r="G48" i="3"/>
  <c r="E47" i="3"/>
  <c r="F48" i="3" s="1"/>
  <c r="F50" i="3" s="1"/>
  <c r="D47" i="3"/>
  <c r="C47" i="3"/>
  <c r="B47" i="3"/>
  <c r="B48" i="3" s="1"/>
  <c r="G46" i="3"/>
  <c r="F46" i="3"/>
  <c r="E46" i="3"/>
  <c r="D46" i="3"/>
  <c r="C46" i="3"/>
  <c r="B46" i="3"/>
  <c r="B50" i="3" l="1"/>
  <c r="D56" i="3"/>
  <c r="D58" i="3" s="1"/>
  <c r="B58" i="3"/>
  <c r="G50" i="3"/>
  <c r="B54" i="3"/>
  <c r="G27" i="3"/>
  <c r="D52" i="3"/>
  <c r="D54" i="3" s="1"/>
  <c r="D48" i="3"/>
  <c r="D50" i="3" s="1"/>
  <c r="C48" i="3"/>
  <c r="C50" i="3" s="1"/>
  <c r="C52" i="3"/>
  <c r="C54" i="3" s="1"/>
  <c r="C56" i="3"/>
  <c r="C58" i="3" s="1"/>
  <c r="E48" i="3"/>
  <c r="E50" i="3" s="1"/>
  <c r="E52" i="3"/>
  <c r="E54" i="3" s="1"/>
  <c r="E56" i="3"/>
  <c r="E58" i="3" s="1"/>
  <c r="I52" i="3"/>
  <c r="I54" i="3" s="1"/>
  <c r="J51" i="3"/>
  <c r="I48" i="3"/>
  <c r="I50" i="3" s="1"/>
  <c r="J47" i="3"/>
  <c r="I56" i="3"/>
  <c r="I58" i="3" s="1"/>
  <c r="J55" i="3"/>
  <c r="D15" i="3"/>
  <c r="E15" i="3"/>
  <c r="G7" i="3"/>
  <c r="B63" i="3"/>
  <c r="C63" i="3"/>
  <c r="D63" i="3"/>
  <c r="D69" i="3"/>
  <c r="E63" i="3"/>
  <c r="E69" i="3"/>
  <c r="F64" i="3"/>
  <c r="F69" i="3"/>
  <c r="G63" i="3"/>
  <c r="G69" i="3"/>
  <c r="H63" i="3"/>
  <c r="H69" i="3"/>
  <c r="J56" i="3" l="1"/>
  <c r="K55" i="3"/>
  <c r="K51" i="3"/>
  <c r="J52" i="3"/>
  <c r="K47" i="3"/>
  <c r="J48" i="3"/>
  <c r="A17" i="3"/>
  <c r="A44" i="3"/>
  <c r="H42" i="3"/>
  <c r="C42" i="3"/>
  <c r="I35" i="3"/>
  <c r="J35" i="3" s="1"/>
  <c r="H35" i="3"/>
  <c r="G36" i="3"/>
  <c r="H38" i="3"/>
  <c r="E39" i="3"/>
  <c r="I38" i="3"/>
  <c r="B30" i="3"/>
  <c r="C30" i="3"/>
  <c r="D30" i="3"/>
  <c r="E30" i="3"/>
  <c r="H30" i="3"/>
  <c r="I30" i="3"/>
  <c r="I26" i="3"/>
  <c r="F26" i="3"/>
  <c r="E26" i="3"/>
  <c r="D26" i="3"/>
  <c r="C26" i="3"/>
  <c r="B26" i="3"/>
  <c r="H22" i="3"/>
  <c r="G22" i="3"/>
  <c r="G23" i="3" s="1"/>
  <c r="E22" i="3"/>
  <c r="D22" i="3"/>
  <c r="C22" i="3"/>
  <c r="B22" i="3"/>
  <c r="I22" i="3"/>
  <c r="I28" i="3"/>
  <c r="H28" i="3"/>
  <c r="H29" i="3" s="1"/>
  <c r="H31" i="3" s="1"/>
  <c r="E28" i="3"/>
  <c r="D28" i="3"/>
  <c r="C28" i="3"/>
  <c r="B28" i="3"/>
  <c r="B29" i="3" s="1"/>
  <c r="B31" i="3" s="1"/>
  <c r="I24" i="3"/>
  <c r="H24" i="3"/>
  <c r="E24" i="3"/>
  <c r="D24" i="3"/>
  <c r="C24" i="3"/>
  <c r="B24" i="3"/>
  <c r="B25" i="3" s="1"/>
  <c r="B20" i="3"/>
  <c r="B21" i="3" s="1"/>
  <c r="C20" i="3"/>
  <c r="D20" i="3"/>
  <c r="E20" i="3"/>
  <c r="H20" i="3"/>
  <c r="H21" i="3" s="1"/>
  <c r="I20" i="3"/>
  <c r="J1" i="3"/>
  <c r="K1" i="3" s="1"/>
  <c r="L1" i="3" s="1"/>
  <c r="M1" i="3" s="1"/>
  <c r="N1" i="3" s="1"/>
  <c r="H1" i="3"/>
  <c r="G1" i="3" s="1"/>
  <c r="F1" i="3" s="1"/>
  <c r="E1" i="3" s="1"/>
  <c r="D1" i="3" s="1"/>
  <c r="C1" i="3" s="1"/>
  <c r="B1" i="3" s="1"/>
  <c r="B23" i="3" l="1"/>
  <c r="C29" i="3"/>
  <c r="C31" i="3" s="1"/>
  <c r="H23" i="3"/>
  <c r="E21" i="3"/>
  <c r="E23" i="3" s="1"/>
  <c r="D25" i="3"/>
  <c r="D27" i="3" s="1"/>
  <c r="C21" i="3"/>
  <c r="C23" i="3" s="1"/>
  <c r="E29" i="3"/>
  <c r="E31" i="3" s="1"/>
  <c r="F29" i="3"/>
  <c r="F31" i="3" s="1"/>
  <c r="J38" i="3"/>
  <c r="I32" i="3"/>
  <c r="H32" i="3"/>
  <c r="H33" i="3" s="1"/>
  <c r="D21" i="3"/>
  <c r="D23" i="3" s="1"/>
  <c r="H25" i="3"/>
  <c r="H27" i="3" s="1"/>
  <c r="I29" i="3"/>
  <c r="I31" i="3" s="1"/>
  <c r="J28" i="3"/>
  <c r="L47" i="3"/>
  <c r="K48" i="3"/>
  <c r="E25" i="3"/>
  <c r="E27" i="3" s="1"/>
  <c r="F25" i="3"/>
  <c r="F27" i="3" s="1"/>
  <c r="I25" i="3"/>
  <c r="I27" i="3" s="1"/>
  <c r="J24" i="3"/>
  <c r="J36" i="3"/>
  <c r="K35" i="3"/>
  <c r="L51" i="3"/>
  <c r="K52" i="3"/>
  <c r="K56" i="3"/>
  <c r="L55" i="3"/>
  <c r="B27" i="3"/>
  <c r="I21" i="3"/>
  <c r="I23" i="3" s="1"/>
  <c r="J20" i="3"/>
  <c r="C25" i="3"/>
  <c r="C27" i="3" s="1"/>
  <c r="D29" i="3"/>
  <c r="D31" i="3" s="1"/>
  <c r="G33" i="3"/>
  <c r="B33" i="3"/>
  <c r="G39" i="3"/>
  <c r="D36" i="3"/>
  <c r="D39" i="3"/>
  <c r="D42" i="3"/>
  <c r="E42" i="3"/>
  <c r="E33" i="3"/>
  <c r="E36" i="3"/>
  <c r="F21" i="3"/>
  <c r="F23" i="3" s="1"/>
  <c r="F36" i="3"/>
  <c r="F39" i="3"/>
  <c r="F42" i="3"/>
  <c r="G42" i="3"/>
  <c r="H36" i="3"/>
  <c r="H39" i="3"/>
  <c r="I36" i="3"/>
  <c r="I39" i="3"/>
  <c r="I42" i="3"/>
  <c r="B36" i="3"/>
  <c r="B39" i="3"/>
  <c r="B42" i="3"/>
  <c r="C36" i="3"/>
  <c r="C39" i="3"/>
  <c r="I182" i="1"/>
  <c r="I185" i="1" s="1"/>
  <c r="I186" i="1" s="1"/>
  <c r="H182" i="1"/>
  <c r="H185" i="1" s="1"/>
  <c r="H186" i="1" s="1"/>
  <c r="G182" i="1"/>
  <c r="G185" i="1" s="1"/>
  <c r="G186" i="1" s="1"/>
  <c r="F182" i="1"/>
  <c r="F185" i="1" s="1"/>
  <c r="F186" i="1" s="1"/>
  <c r="E182" i="1"/>
  <c r="E185" i="1" s="1"/>
  <c r="E186" i="1" s="1"/>
  <c r="D182" i="1"/>
  <c r="D185" i="1" s="1"/>
  <c r="D186" i="1" s="1"/>
  <c r="C182" i="1"/>
  <c r="C185" i="1" s="1"/>
  <c r="C186" i="1" s="1"/>
  <c r="B182" i="1"/>
  <c r="B185" i="1" s="1"/>
  <c r="B186" i="1" s="1"/>
  <c r="I171" i="1"/>
  <c r="H171" i="1"/>
  <c r="G171" i="1"/>
  <c r="F171" i="1"/>
  <c r="E171" i="1"/>
  <c r="D171" i="1"/>
  <c r="C171" i="1"/>
  <c r="B171" i="1"/>
  <c r="H133" i="1"/>
  <c r="I133" i="1"/>
  <c r="I160" i="1"/>
  <c r="I163" i="1" s="1"/>
  <c r="I164" i="1" s="1"/>
  <c r="H160" i="1"/>
  <c r="H163" i="1" s="1"/>
  <c r="H164" i="1" s="1"/>
  <c r="G160" i="1"/>
  <c r="G163" i="1" s="1"/>
  <c r="G164" i="1" s="1"/>
  <c r="F160" i="1"/>
  <c r="F163" i="1" s="1"/>
  <c r="F164" i="1" s="1"/>
  <c r="E160" i="1"/>
  <c r="E163" i="1" s="1"/>
  <c r="E164" i="1" s="1"/>
  <c r="D160" i="1"/>
  <c r="D163" i="1" s="1"/>
  <c r="D164" i="1" s="1"/>
  <c r="C160" i="1"/>
  <c r="C163" i="1" s="1"/>
  <c r="C164" i="1" s="1"/>
  <c r="B160" i="1"/>
  <c r="B163" i="1" s="1"/>
  <c r="B164" i="1" s="1"/>
  <c r="I33" i="3" l="1"/>
  <c r="K24" i="3"/>
  <c r="J25" i="3"/>
  <c r="M55" i="3"/>
  <c r="L56" i="3"/>
  <c r="M51" i="3"/>
  <c r="L52" i="3"/>
  <c r="J32" i="3"/>
  <c r="K36" i="3"/>
  <c r="L35" i="3"/>
  <c r="M47" i="3"/>
  <c r="L48" i="3"/>
  <c r="J39" i="3"/>
  <c r="K38" i="3"/>
  <c r="J21" i="3"/>
  <c r="J23" i="3" s="1"/>
  <c r="K20" i="3"/>
  <c r="J29" i="3"/>
  <c r="K28" i="3"/>
  <c r="H173" i="1"/>
  <c r="H174" i="1" s="1"/>
  <c r="H175" i="1" s="1"/>
  <c r="H65" i="3"/>
  <c r="I173" i="1"/>
  <c r="I174" i="1" s="1"/>
  <c r="I175" i="1" s="1"/>
  <c r="I65" i="3"/>
  <c r="F174" i="1"/>
  <c r="F175" i="1" s="1"/>
  <c r="G174" i="1"/>
  <c r="G175" i="1" s="1"/>
  <c r="C174" i="1"/>
  <c r="C175" i="1" s="1"/>
  <c r="D174" i="1"/>
  <c r="D175" i="1" s="1"/>
  <c r="B67" i="3"/>
  <c r="B66" i="3"/>
  <c r="E174" i="1"/>
  <c r="E175" i="1" s="1"/>
  <c r="B174" i="1"/>
  <c r="B175" i="1" s="1"/>
  <c r="C33" i="3"/>
  <c r="C34" i="3"/>
  <c r="D33" i="3"/>
  <c r="F34" i="3"/>
  <c r="F33" i="3"/>
  <c r="I127" i="1"/>
  <c r="H127" i="1"/>
  <c r="I123" i="1"/>
  <c r="H123" i="1"/>
  <c r="I119" i="1"/>
  <c r="H119" i="1"/>
  <c r="H115" i="1"/>
  <c r="H18" i="3" s="1"/>
  <c r="D34" i="3"/>
  <c r="I115" i="1"/>
  <c r="I18" i="3" s="1"/>
  <c r="I147" i="1"/>
  <c r="I152" i="1" s="1"/>
  <c r="H147" i="1"/>
  <c r="H152" i="1" s="1"/>
  <c r="G147" i="1"/>
  <c r="G152" i="1" s="1"/>
  <c r="F147" i="1"/>
  <c r="F152" i="1" s="1"/>
  <c r="E147" i="1"/>
  <c r="E152" i="1" s="1"/>
  <c r="D147" i="1"/>
  <c r="D152" i="1" s="1"/>
  <c r="C147" i="1"/>
  <c r="C152" i="1" s="1"/>
  <c r="B147" i="1"/>
  <c r="B152" i="1" s="1"/>
  <c r="J33" i="3" l="1"/>
  <c r="K32" i="3"/>
  <c r="K29" i="3"/>
  <c r="L28" i="3"/>
  <c r="N47" i="3"/>
  <c r="N48" i="3" s="1"/>
  <c r="M48" i="3"/>
  <c r="L38" i="3"/>
  <c r="K39" i="3"/>
  <c r="H67" i="3"/>
  <c r="H59" i="3"/>
  <c r="H61" i="3" s="1"/>
  <c r="N51" i="3"/>
  <c r="N52" i="3" s="1"/>
  <c r="M52" i="3"/>
  <c r="N55" i="3"/>
  <c r="N56" i="3" s="1"/>
  <c r="M56" i="3"/>
  <c r="M35" i="3"/>
  <c r="L36" i="3"/>
  <c r="J18" i="3"/>
  <c r="J34" i="3" s="1"/>
  <c r="I70" i="3"/>
  <c r="I64" i="3"/>
  <c r="K25" i="3"/>
  <c r="L24" i="3"/>
  <c r="H64" i="3"/>
  <c r="H70" i="3"/>
  <c r="L20" i="3"/>
  <c r="K21" i="3"/>
  <c r="K23" i="3" s="1"/>
  <c r="I59" i="3"/>
  <c r="J65" i="3"/>
  <c r="I67" i="3"/>
  <c r="I66" i="3"/>
  <c r="I34" i="3"/>
  <c r="H34" i="3"/>
  <c r="D67" i="3"/>
  <c r="D66" i="3"/>
  <c r="E67" i="3"/>
  <c r="E66" i="3"/>
  <c r="G67" i="3"/>
  <c r="H66" i="3"/>
  <c r="G66" i="3"/>
  <c r="C66" i="3"/>
  <c r="C67" i="3"/>
  <c r="B61" i="3"/>
  <c r="B60" i="3"/>
  <c r="F67" i="3"/>
  <c r="F66" i="3"/>
  <c r="F19" i="3"/>
  <c r="F43" i="3"/>
  <c r="F40" i="3"/>
  <c r="F37" i="3"/>
  <c r="I19" i="3"/>
  <c r="I43" i="3"/>
  <c r="I40" i="3"/>
  <c r="I37" i="3"/>
  <c r="B19" i="3"/>
  <c r="B40" i="3"/>
  <c r="B37" i="3"/>
  <c r="B43" i="3"/>
  <c r="B34" i="3"/>
  <c r="C43" i="3"/>
  <c r="C19" i="3"/>
  <c r="C37" i="3"/>
  <c r="G40" i="3"/>
  <c r="G19" i="3"/>
  <c r="G34" i="3"/>
  <c r="G37" i="3"/>
  <c r="G43" i="3"/>
  <c r="H19" i="3"/>
  <c r="H43" i="3"/>
  <c r="H40" i="3"/>
  <c r="H37" i="3"/>
  <c r="D19" i="3"/>
  <c r="D37" i="3"/>
  <c r="D43" i="3"/>
  <c r="D40" i="3"/>
  <c r="E19" i="3"/>
  <c r="E40" i="3"/>
  <c r="E37" i="3"/>
  <c r="E34" i="3"/>
  <c r="E43" i="3"/>
  <c r="H132" i="1"/>
  <c r="H139" i="1" s="1"/>
  <c r="H140" i="1" s="1"/>
  <c r="C132" i="1"/>
  <c r="I132" i="1"/>
  <c r="E132" i="1"/>
  <c r="F132" i="1"/>
  <c r="D132" i="1"/>
  <c r="B132" i="1"/>
  <c r="B139" i="1" s="1"/>
  <c r="G132" i="1"/>
  <c r="I61" i="3" l="1"/>
  <c r="J59" i="3"/>
  <c r="I60" i="3"/>
  <c r="M28" i="3"/>
  <c r="L29" i="3"/>
  <c r="M24" i="3"/>
  <c r="L25" i="3"/>
  <c r="J66" i="3"/>
  <c r="J67" i="3"/>
  <c r="K65" i="3"/>
  <c r="M20" i="3"/>
  <c r="L21" i="3"/>
  <c r="L23" i="3" s="1"/>
  <c r="L32" i="3"/>
  <c r="K33" i="3"/>
  <c r="J70" i="3"/>
  <c r="J64" i="3"/>
  <c r="J43" i="3"/>
  <c r="K18" i="3"/>
  <c r="K34" i="3" s="1"/>
  <c r="J19" i="3"/>
  <c r="J37" i="3"/>
  <c r="J40" i="3"/>
  <c r="N35" i="3"/>
  <c r="M36" i="3"/>
  <c r="M38" i="3"/>
  <c r="L39" i="3"/>
  <c r="G61" i="3"/>
  <c r="H60" i="3"/>
  <c r="G60" i="3"/>
  <c r="E61" i="3"/>
  <c r="E60" i="3"/>
  <c r="C60" i="3"/>
  <c r="C61" i="3"/>
  <c r="D61" i="3"/>
  <c r="D60" i="3"/>
  <c r="F61" i="3"/>
  <c r="F60" i="3"/>
  <c r="E139" i="1"/>
  <c r="E140" i="1" s="1"/>
  <c r="D139" i="1"/>
  <c r="D140" i="1" s="1"/>
  <c r="F139" i="1"/>
  <c r="F140" i="1" s="1"/>
  <c r="I139" i="1"/>
  <c r="B140" i="1" s="1"/>
  <c r="C139" i="1"/>
  <c r="C140" i="1" s="1"/>
  <c r="G105" i="1"/>
  <c r="F105" i="1"/>
  <c r="E105" i="1"/>
  <c r="D105" i="1"/>
  <c r="C105" i="1"/>
  <c r="B105" i="1"/>
  <c r="H100" i="1"/>
  <c r="G100" i="1"/>
  <c r="F100" i="1"/>
  <c r="E100" i="1"/>
  <c r="D100" i="1"/>
  <c r="C100" i="1"/>
  <c r="B100" i="1"/>
  <c r="I100" i="1"/>
  <c r="H87" i="1"/>
  <c r="I87" i="1"/>
  <c r="G77" i="1"/>
  <c r="F77" i="1"/>
  <c r="E77" i="1"/>
  <c r="C77" i="1"/>
  <c r="B77" i="1"/>
  <c r="D77" i="1"/>
  <c r="H59" i="1"/>
  <c r="G59" i="1"/>
  <c r="F59" i="1"/>
  <c r="E59" i="1"/>
  <c r="D59" i="1"/>
  <c r="C59" i="1"/>
  <c r="B59" i="1"/>
  <c r="I59" i="1"/>
  <c r="H46" i="1"/>
  <c r="H60" i="1" s="1"/>
  <c r="G46" i="1"/>
  <c r="F46" i="1"/>
  <c r="E46" i="1"/>
  <c r="E60" i="1" s="1"/>
  <c r="D46" i="1"/>
  <c r="C46" i="1"/>
  <c r="C60" i="1" s="1"/>
  <c r="B46" i="1"/>
  <c r="I46" i="1"/>
  <c r="H31" i="1"/>
  <c r="H37" i="1" s="1"/>
  <c r="G31" i="1"/>
  <c r="G37" i="1" s="1"/>
  <c r="F31" i="1"/>
  <c r="F37" i="1" s="1"/>
  <c r="E31" i="1"/>
  <c r="E37" i="1" s="1"/>
  <c r="D31" i="1"/>
  <c r="D37" i="1" s="1"/>
  <c r="C31" i="1"/>
  <c r="C37" i="1" s="1"/>
  <c r="B31" i="1"/>
  <c r="B37" i="1" s="1"/>
  <c r="I31" i="1"/>
  <c r="I37" i="1" s="1"/>
  <c r="H7" i="1"/>
  <c r="I7" i="1"/>
  <c r="H4" i="1"/>
  <c r="I4" i="1"/>
  <c r="H10" i="1" l="1"/>
  <c r="H12" i="1" s="1"/>
  <c r="F60" i="1"/>
  <c r="F61" i="1" s="1"/>
  <c r="I10" i="1"/>
  <c r="I12" i="1" s="1"/>
  <c r="I20" i="1" s="1"/>
  <c r="G60" i="1"/>
  <c r="G61" i="1" s="1"/>
  <c r="B60" i="1"/>
  <c r="B61" i="1" s="1"/>
  <c r="D60" i="1"/>
  <c r="D61" i="1" s="1"/>
  <c r="N24" i="3"/>
  <c r="N25" i="3" s="1"/>
  <c r="M25" i="3"/>
  <c r="M32" i="3"/>
  <c r="L33" i="3"/>
  <c r="N28" i="3"/>
  <c r="N29" i="3" s="1"/>
  <c r="M29" i="3"/>
  <c r="L18" i="3"/>
  <c r="K19" i="3"/>
  <c r="K70" i="3"/>
  <c r="K64" i="3"/>
  <c r="K43" i="3"/>
  <c r="K37" i="3"/>
  <c r="K40" i="3"/>
  <c r="N20" i="3"/>
  <c r="N21" i="3" s="1"/>
  <c r="N23" i="3" s="1"/>
  <c r="M21" i="3"/>
  <c r="M23" i="3" s="1"/>
  <c r="N38" i="3"/>
  <c r="M39" i="3"/>
  <c r="L65" i="3"/>
  <c r="K66" i="3"/>
  <c r="K67" i="3"/>
  <c r="J60" i="3"/>
  <c r="K59" i="3"/>
  <c r="J61" i="3"/>
  <c r="N36" i="3"/>
  <c r="E20" i="1"/>
  <c r="E153" i="1"/>
  <c r="F20" i="1"/>
  <c r="F153" i="1"/>
  <c r="I153" i="1"/>
  <c r="B20" i="1"/>
  <c r="B153" i="1"/>
  <c r="C20" i="1"/>
  <c r="C153" i="1"/>
  <c r="D20" i="1"/>
  <c r="D153" i="1"/>
  <c r="E102" i="1"/>
  <c r="D102" i="1"/>
  <c r="C102" i="1"/>
  <c r="B102" i="1"/>
  <c r="F102" i="1"/>
  <c r="G102" i="1"/>
  <c r="E61" i="1"/>
  <c r="I60" i="1"/>
  <c r="I61" i="1" s="1"/>
  <c r="H61" i="1"/>
  <c r="C61" i="1"/>
  <c r="H153" i="1" l="1"/>
  <c r="H20" i="1"/>
  <c r="H65" i="1"/>
  <c r="H77" i="1" s="1"/>
  <c r="H102" i="1" s="1"/>
  <c r="H104" i="1" s="1"/>
  <c r="I103" i="1" s="1"/>
  <c r="L59" i="3"/>
  <c r="K61" i="3"/>
  <c r="K60" i="3"/>
  <c r="M18" i="3"/>
  <c r="M34" i="3" s="1"/>
  <c r="L19" i="3"/>
  <c r="L70" i="3"/>
  <c r="L64" i="3"/>
  <c r="L43" i="3"/>
  <c r="L37" i="3"/>
  <c r="L40" i="3"/>
  <c r="M65" i="3"/>
  <c r="L67" i="3"/>
  <c r="L66" i="3"/>
  <c r="N32" i="3"/>
  <c r="M33" i="3"/>
  <c r="L34" i="3"/>
  <c r="N39" i="3"/>
  <c r="I65" i="1"/>
  <c r="I77" i="1" s="1"/>
  <c r="I102" i="1" s="1"/>
  <c r="G20" i="1"/>
  <c r="G153" i="1"/>
  <c r="H105" i="1" l="1"/>
  <c r="I104" i="1"/>
  <c r="I105" i="1" s="1"/>
  <c r="N33" i="3"/>
  <c r="N18" i="3"/>
  <c r="M64" i="3"/>
  <c r="M19" i="3"/>
  <c r="M70" i="3"/>
  <c r="M43" i="3"/>
  <c r="M37" i="3"/>
  <c r="M40" i="3"/>
  <c r="N65" i="3"/>
  <c r="M66" i="3"/>
  <c r="M67" i="3"/>
  <c r="M59" i="3"/>
  <c r="L60" i="3"/>
  <c r="L61" i="3"/>
  <c r="H1" i="1"/>
  <c r="G1" i="1" s="1"/>
  <c r="F1" i="1" s="1"/>
  <c r="E1" i="1" s="1"/>
  <c r="D1" i="1" s="1"/>
  <c r="C1" i="1" s="1"/>
  <c r="B1" i="1" s="1"/>
  <c r="I46" i="3"/>
  <c r="H46" i="3"/>
  <c r="F7" i="3"/>
  <c r="F6" i="3"/>
  <c r="G6" i="3"/>
  <c r="C7" i="3"/>
  <c r="C6" i="3"/>
  <c r="E7" i="3"/>
  <c r="E6" i="3"/>
  <c r="D7" i="3"/>
  <c r="D6" i="3"/>
  <c r="G9" i="3"/>
  <c r="N19" i="3" l="1"/>
  <c r="N70" i="3"/>
  <c r="N64" i="3"/>
  <c r="N43" i="3"/>
  <c r="N37" i="3"/>
  <c r="N40" i="3"/>
  <c r="N67" i="3"/>
  <c r="N66" i="3"/>
  <c r="N59" i="3"/>
  <c r="M61" i="3"/>
  <c r="M60" i="3"/>
  <c r="N34" i="3"/>
  <c r="C9" i="3"/>
  <c r="D9" i="3"/>
  <c r="E9" i="3"/>
  <c r="B14" i="3"/>
  <c r="F9" i="3"/>
  <c r="N61" i="3" l="1"/>
  <c r="N60" i="3"/>
  <c r="C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<sst xmlns="http://schemas.openxmlformats.org/spreadsheetml/2006/main" count="283" uniqueCount="154">
  <si>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</si>
  <si>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</si>
  <si>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</si>
  <si>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</si>
  <si>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</si>
  <si>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</si>
  <si>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</si>
  <si>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</si>
  <si>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</si>
  <si>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</si>
  <si>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</si>
  <si>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</si>
  <si>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</si>
  <si>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</si>
  <si>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</si>
  <si>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</si>
  <si>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</si>
  <si>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</si>
  <si>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</si>
  <si>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</si>
  <si>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</si>
  <si>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</si>
  <si>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</si>
  <si>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</si>
  <si>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</si>
  <si>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</si>
  <si>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</si>
  <si>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</si>
  <si>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</si>
  <si>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</si>
  <si>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</si>
  <si>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</si>
  <si>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</si>
  <si>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</si>
  <si>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</si>
  <si>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</si>
  <si>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</si>
  <si>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</si>
  <si>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</si>
  <si>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</si>
  <si>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</si>
  <si>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</si>
  <si>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</si>
  <si>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</si>
  <si>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</si>
  <si>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</si>
  <si>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</si>
  <si>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</si>
  <si>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</si>
  <si>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</si>
  <si>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</si>
  <si>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</si>
  <si>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</si>
  <si>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</si>
  <si>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</si>
  <si>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</si>
  <si>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</si>
  <si>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</si>
  <si>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</si>
  <si>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</si>
  <si>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</si>
  <si>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</si>
  <si>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</si>
  <si>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</si>
  <si>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</si>
  <si>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</si>
  <si>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</si>
  <si>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</si>
  <si>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</si>
  <si>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</si>
  <si>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</si>
  <si>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</si>
  <si>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</si>
  <si>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</si>
  <si>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</si>
  <si>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</si>
  <si>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</si>
  <si>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</si>
  <si>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</si>
  <si>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</si>
  <si>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</si>
  <si>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</si>
  <si>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</si>
  <si>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</si>
  <si>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</si>
  <si>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</si>
  <si>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</si>
  <si>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</si>
  <si>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</si>
  <si>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</si>
  <si>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</si>
  <si>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</si>
  <si>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</si>
  <si>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</si>
  <si>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</si>
  <si>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</si>
  <si>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</si>
  <si>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</si>
  <si>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</si>
  <si>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</si>
  <si>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</si>
  <si>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</si>
  <si>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</si>
  <si>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</si>
  <si>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</si>
  <si>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</si>
  <si>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</si>
  <si>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</si>
  <si>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</si>
  <si>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</si>
  <si>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</si>
  <si>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</si>
  <si>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</si>
  <si>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</si>
  <si>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</si>
  <si>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</si>
  <si>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</si>
  <si>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</si>
  <si>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</si>
  <si>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</si>
  <si>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</si>
  <si>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</si>
  <si>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</si>
  <si>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</si>
  <si>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</si>
  <si>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</si>
  <si>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</si>
  <si>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</si>
  <si>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</si>
  <si>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</si>
  <si>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</si>
  <si>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</si>
  <si>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</si>
  <si>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</si>
  <si>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</si>
  <si>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</si>
  <si>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</si>
  <si>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</si>
  <si>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</si>
  <si>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</si>
  <si>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</si>
  <si>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</si>
  <si>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</si>
  <si>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</si>
  <si>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Deferred Income Taxes</t>
  </si>
  <si>
    <t>Disposal of PPE</t>
  </si>
  <si>
    <t>Investments in reverse repurchase agreements</t>
  </si>
  <si>
    <t>Decrease (increase) in other assets, net of other liabilities</t>
  </si>
  <si>
    <t>Long-term debt payments including current portion</t>
  </si>
  <si>
    <t xml:space="preserve">Excess tax benefits from share-based payment arrangements </t>
  </si>
  <si>
    <t>Tax payments for net share settlement of equity awards</t>
  </si>
  <si>
    <t>Payments on capital lease obligations</t>
  </si>
  <si>
    <t>Total Nike, INC. Income before interests and taxes</t>
  </si>
  <si>
    <t>Interest expense (income)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</si>
</sst>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_-* #,##0_-;\-* #,##0_-;_-* &quot;-&quot;??_-;_-@_-"/>
    <numFmt numFmtId="168"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9" fontId="0" fillId="0" borderId="0" xfId="2" applyFont="1"/>
    <xf numFmtId="166" fontId="0" fillId="0" borderId="0" xfId="2" applyNumberFormat="1" applyFont="1"/>
    <xf numFmtId="10" fontId="0" fillId="0" borderId="0" xfId="2" applyNumberFormat="1" applyFont="1"/>
    <xf numFmtId="168" fontId="11" fillId="0" borderId="0" xfId="2" applyNumberFormat="1" applyFont="1" applyAlignment="1">
      <alignment horizontal="right"/>
    </xf>
    <xf numFmtId="0" fontId="6" fillId="2" borderId="0" xfId="0" applyFont="1" applyFill="1"/>
    <xf numFmtId="167" fontId="2" fillId="0" borderId="5" xfId="0" applyNumberFormat="1" applyFont="1" applyBorder="1"/>
    <xf numFmtId="167" fontId="2" fillId="0" borderId="2" xfId="0" applyNumberFormat="1" applyFont="1" applyBorder="1"/>
    <xf numFmtId="165" fontId="2" fillId="0" borderId="2" xfId="0" applyNumberFormat="1" applyFont="1" applyBorder="1"/>
    <xf numFmtId="43" fontId="2" fillId="0" borderId="2" xfId="0" applyNumberFormat="1" applyFont="1" applyBorder="1"/>
    <xf numFmtId="9" fontId="12" fillId="0" borderId="0" xfId="2" applyFont="1"/>
    <xf numFmtId="0" fontId="2" fillId="6" borderId="0" xfId="0" applyFont="1" applyFill="1"/>
    <xf numFmtId="9" fontId="12" fillId="0" borderId="3" xfId="2" applyFont="1" applyBorder="1"/>
    <xf numFmtId="0" fontId="12" fillId="0" borderId="3" xfId="0" applyFont="1" applyBorder="1" applyAlignment="1">
      <alignment horizontal="left" indent="1"/>
    </xf>
    <xf numFmtId="10" fontId="12" fillId="0" borderId="3" xfId="2" applyNumberFormat="1" applyFont="1" applyBorder="1"/>
    <xf numFmtId="166" fontId="12" fillId="0" borderId="3" xfId="2" applyNumberFormat="1" applyFon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8" sqref="A8"/>
    </sheetView>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4"/>
  <sheetViews>
    <sheetView tabSelected="1" workbookViewId="0">
      <pane ySplit="1" topLeftCell="A2" activePane="bottomLeft" state="frozen"/>
      <selection pane="bottomLeft" activeCell="A189" sqref="A189:I189"/>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v>861.7</v>
      </c>
      <c r="C17">
        <v>1697.9</v>
      </c>
      <c r="D17">
        <v>1657.8</v>
      </c>
      <c r="E17">
        <v>1623.8</v>
      </c>
      <c r="F17">
        <v>1579.7</v>
      </c>
      <c r="G17" s="8">
        <v>1559</v>
      </c>
      <c r="H17" s="8">
        <v>1573</v>
      </c>
      <c r="I17" s="8">
        <v>1578.8</v>
      </c>
    </row>
    <row r="18" spans="1:9" x14ac:dyDescent="0.3">
      <c r="A18" s="2" t="s">
        <v>7</v>
      </c>
      <c r="B18">
        <v>884.4</v>
      </c>
      <c r="C18">
        <v>1742.5</v>
      </c>
      <c r="D18">
        <v>1692</v>
      </c>
      <c r="E18">
        <v>1659.1</v>
      </c>
      <c r="F18">
        <v>1648.4</v>
      </c>
      <c r="G18" s="8">
        <v>1592</v>
      </c>
      <c r="H18" s="8">
        <v>1609.4</v>
      </c>
      <c r="I18" s="8">
        <v>1610.8</v>
      </c>
    </row>
    <row r="20" spans="1:9" s="12" customFormat="1" x14ac:dyDescent="0.3">
      <c r="A20" s="12" t="s">
        <v>2</v>
      </c>
      <c r="B20" s="13">
        <f t="shared" ref="B20:H20" si="9">+ROUND(((B12/B18)-B15),2)</f>
        <v>0</v>
      </c>
      <c r="C20" s="13">
        <f t="shared" si="9"/>
        <v>0</v>
      </c>
      <c r="D20" s="13">
        <f t="shared" si="9"/>
        <v>0</v>
      </c>
      <c r="E20" s="13">
        <f t="shared" si="9"/>
        <v>0</v>
      </c>
      <c r="F20" s="13">
        <f t="shared" si="9"/>
        <v>-0.05</v>
      </c>
      <c r="G20" s="13">
        <f t="shared" si="9"/>
        <v>-0.01</v>
      </c>
      <c r="H20" s="13">
        <f t="shared" si="9"/>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v>3138</v>
      </c>
      <c r="D25" s="3">
        <v>3808</v>
      </c>
      <c r="E25" s="3">
        <v>4249</v>
      </c>
      <c r="F25" s="3">
        <v>4466</v>
      </c>
      <c r="G25" s="3">
        <v>8348</v>
      </c>
      <c r="H25" s="3">
        <v>9889</v>
      </c>
      <c r="I25" s="3">
        <v>8574</v>
      </c>
    </row>
    <row r="26" spans="1:9" x14ac:dyDescent="0.3">
      <c r="A26" s="11" t="s">
        <v>34</v>
      </c>
      <c r="B26" s="3">
        <v>2072</v>
      </c>
      <c r="C26">
        <v>2319</v>
      </c>
      <c r="D26" s="3">
        <v>2371</v>
      </c>
      <c r="E26" s="3">
        <v>996</v>
      </c>
      <c r="F26" s="3">
        <v>197</v>
      </c>
      <c r="G26" s="3">
        <v>439</v>
      </c>
      <c r="H26" s="3">
        <v>3587</v>
      </c>
      <c r="I26" s="3">
        <v>4423</v>
      </c>
    </row>
    <row r="27" spans="1:9" x14ac:dyDescent="0.3">
      <c r="A27" s="11" t="s">
        <v>35</v>
      </c>
      <c r="B27" s="3">
        <v>3358</v>
      </c>
      <c r="C27">
        <v>3241</v>
      </c>
      <c r="D27" s="3">
        <v>3677</v>
      </c>
      <c r="E27" s="3">
        <v>3498</v>
      </c>
      <c r="F27" s="3">
        <v>4272</v>
      </c>
      <c r="G27" s="3">
        <v>2749</v>
      </c>
      <c r="H27" s="3">
        <v>4463</v>
      </c>
      <c r="I27" s="3">
        <v>4667</v>
      </c>
    </row>
    <row r="28" spans="1:9" x14ac:dyDescent="0.3">
      <c r="A28" s="11" t="s">
        <v>36</v>
      </c>
      <c r="B28" s="3">
        <v>4337</v>
      </c>
      <c r="C28">
        <v>4838</v>
      </c>
      <c r="D28" s="3">
        <v>5055</v>
      </c>
      <c r="E28" s="3">
        <v>5261</v>
      </c>
      <c r="F28" s="3">
        <v>5622</v>
      </c>
      <c r="G28" s="3">
        <v>7367</v>
      </c>
      <c r="H28" s="3">
        <v>6854</v>
      </c>
      <c r="I28" s="3">
        <v>8420</v>
      </c>
    </row>
    <row r="29" spans="1:9" x14ac:dyDescent="0.3">
      <c r="A29" s="11" t="s">
        <v>144</v>
      </c>
      <c r="B29" s="3">
        <v>389</v>
      </c>
      <c r="C29" s="3"/>
      <c r="D29" s="3"/>
      <c r="E29" s="3"/>
      <c r="F29" s="3"/>
      <c r="G29" s="3"/>
      <c r="H29" s="3"/>
      <c r="I29" s="3"/>
    </row>
    <row r="30" spans="1:9" x14ac:dyDescent="0.3">
      <c r="A30" s="11" t="s">
        <v>37</v>
      </c>
      <c r="B30" s="3">
        <v>1968</v>
      </c>
      <c r="C30">
        <v>1489</v>
      </c>
      <c r="D30" s="3">
        <v>1150</v>
      </c>
      <c r="E30" s="3">
        <v>1130</v>
      </c>
      <c r="F30" s="3">
        <v>1968</v>
      </c>
      <c r="G30" s="3">
        <v>1653</v>
      </c>
      <c r="H30" s="3">
        <v>1498</v>
      </c>
      <c r="I30" s="3">
        <v>2129</v>
      </c>
    </row>
    <row r="31" spans="1:9" x14ac:dyDescent="0.3">
      <c r="A31" s="4" t="s">
        <v>10</v>
      </c>
      <c r="B31" s="5">
        <f t="shared" ref="B31:H31" si="10">+SUM(B25:B30)</f>
        <v>15976</v>
      </c>
      <c r="C31" s="5">
        <f t="shared" si="10"/>
        <v>15025</v>
      </c>
      <c r="D31" s="5">
        <f t="shared" si="10"/>
        <v>16061</v>
      </c>
      <c r="E31" s="5">
        <f t="shared" si="10"/>
        <v>15134</v>
      </c>
      <c r="F31" s="5">
        <f t="shared" si="10"/>
        <v>16525</v>
      </c>
      <c r="G31" s="5">
        <f t="shared" si="10"/>
        <v>20556</v>
      </c>
      <c r="H31" s="5">
        <f t="shared" si="10"/>
        <v>26291</v>
      </c>
      <c r="I31" s="5">
        <f>+SUM(I25:I30)</f>
        <v>28213</v>
      </c>
    </row>
    <row r="32" spans="1:9" x14ac:dyDescent="0.3">
      <c r="A32" s="2" t="s">
        <v>38</v>
      </c>
      <c r="B32" s="3">
        <v>3011</v>
      </c>
      <c r="C32">
        <v>3520</v>
      </c>
      <c r="D32" s="3">
        <v>3989</v>
      </c>
      <c r="E32" s="3">
        <v>4454</v>
      </c>
      <c r="F32" s="3">
        <v>4744</v>
      </c>
      <c r="G32" s="3">
        <v>4866</v>
      </c>
      <c r="H32" s="3">
        <v>4904</v>
      </c>
      <c r="I32" s="3">
        <v>4791</v>
      </c>
    </row>
    <row r="33" spans="1:9" x14ac:dyDescent="0.3">
      <c r="A33" s="2" t="s">
        <v>39</v>
      </c>
      <c r="B33" s="3"/>
      <c r="D33" s="3"/>
      <c r="E33" s="3"/>
      <c r="F33" s="3"/>
      <c r="G33" s="3">
        <v>3097</v>
      </c>
      <c r="H33" s="3">
        <v>3113</v>
      </c>
      <c r="I33" s="3">
        <v>2926</v>
      </c>
    </row>
    <row r="34" spans="1:9" x14ac:dyDescent="0.3">
      <c r="A34" s="2" t="s">
        <v>40</v>
      </c>
      <c r="B34" s="3">
        <v>281</v>
      </c>
      <c r="C34">
        <v>281</v>
      </c>
      <c r="D34" s="3">
        <v>283</v>
      </c>
      <c r="E34" s="3">
        <v>285</v>
      </c>
      <c r="F34" s="3">
        <v>283</v>
      </c>
      <c r="G34" s="3">
        <v>274</v>
      </c>
      <c r="H34" s="3">
        <v>269</v>
      </c>
      <c r="I34" s="3">
        <v>286</v>
      </c>
    </row>
    <row r="35" spans="1:9" x14ac:dyDescent="0.3">
      <c r="A35" s="2" t="s">
        <v>41</v>
      </c>
      <c r="B35" s="3">
        <v>131</v>
      </c>
      <c r="C35">
        <v>131</v>
      </c>
      <c r="D35" s="3">
        <v>139</v>
      </c>
      <c r="E35" s="3">
        <v>154</v>
      </c>
      <c r="F35" s="3">
        <v>154</v>
      </c>
      <c r="G35" s="3">
        <v>223</v>
      </c>
      <c r="H35" s="3">
        <v>242</v>
      </c>
      <c r="I35" s="3">
        <v>284</v>
      </c>
    </row>
    <row r="36" spans="1:9" x14ac:dyDescent="0.3">
      <c r="A36" s="2" t="s">
        <v>42</v>
      </c>
      <c r="B36" s="3">
        <v>2201</v>
      </c>
      <c r="C36">
        <v>2439</v>
      </c>
      <c r="D36" s="3">
        <v>2787</v>
      </c>
      <c r="E36" s="3">
        <v>2509</v>
      </c>
      <c r="F36" s="3">
        <v>2011</v>
      </c>
      <c r="G36" s="3">
        <v>2326</v>
      </c>
      <c r="H36" s="3">
        <v>2921</v>
      </c>
      <c r="I36" s="3">
        <v>3821</v>
      </c>
    </row>
    <row r="37" spans="1:9" ht="15" thickBot="1" x14ac:dyDescent="0.35">
      <c r="A37" s="6" t="s">
        <v>43</v>
      </c>
      <c r="B37" s="7">
        <f t="shared" ref="B37:H37" si="11">+SUM(B31:B36)</f>
        <v>21600</v>
      </c>
      <c r="C37" s="7">
        <f t="shared" si="11"/>
        <v>21396</v>
      </c>
      <c r="D37" s="7">
        <f t="shared" si="11"/>
        <v>23259</v>
      </c>
      <c r="E37" s="7">
        <f t="shared" si="11"/>
        <v>22536</v>
      </c>
      <c r="F37" s="7">
        <f t="shared" si="11"/>
        <v>23717</v>
      </c>
      <c r="G37" s="7">
        <f t="shared" si="11"/>
        <v>31342</v>
      </c>
      <c r="H37" s="7">
        <f t="shared" si="11"/>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1" t="s">
        <v>46</v>
      </c>
      <c r="B40" s="3">
        <v>107</v>
      </c>
      <c r="C40">
        <v>44</v>
      </c>
      <c r="D40" s="3">
        <v>6</v>
      </c>
      <c r="E40" s="3">
        <v>6</v>
      </c>
      <c r="F40" s="3">
        <v>6</v>
      </c>
      <c r="G40" s="3">
        <v>3</v>
      </c>
      <c r="H40" s="3">
        <v>0</v>
      </c>
      <c r="I40" s="3">
        <v>500</v>
      </c>
    </row>
    <row r="41" spans="1:9" x14ac:dyDescent="0.3">
      <c r="A41" s="11" t="s">
        <v>47</v>
      </c>
      <c r="B41" s="3">
        <v>74</v>
      </c>
      <c r="C41">
        <v>1</v>
      </c>
      <c r="D41" s="3">
        <v>325</v>
      </c>
      <c r="E41" s="3">
        <v>336</v>
      </c>
      <c r="F41" s="3">
        <v>9</v>
      </c>
      <c r="G41" s="3">
        <v>248</v>
      </c>
      <c r="H41" s="3">
        <v>2</v>
      </c>
      <c r="I41" s="3">
        <v>10</v>
      </c>
    </row>
    <row r="42" spans="1:9" x14ac:dyDescent="0.3">
      <c r="A42" s="11" t="s">
        <v>11</v>
      </c>
      <c r="B42" s="3">
        <v>2131</v>
      </c>
      <c r="C42">
        <v>2191</v>
      </c>
      <c r="D42" s="3">
        <v>2048</v>
      </c>
      <c r="E42" s="3">
        <v>2279</v>
      </c>
      <c r="F42" s="3">
        <v>2612</v>
      </c>
      <c r="G42" s="3">
        <v>2248</v>
      </c>
      <c r="H42" s="3">
        <v>2836</v>
      </c>
      <c r="I42" s="3">
        <v>3358</v>
      </c>
    </row>
    <row r="43" spans="1:9" x14ac:dyDescent="0.3">
      <c r="A43" s="11" t="s">
        <v>48</v>
      </c>
      <c r="B43" s="3"/>
      <c r="D43" s="3"/>
      <c r="E43" s="3"/>
      <c r="F43" s="3"/>
      <c r="G43" s="3">
        <v>445</v>
      </c>
      <c r="H43" s="3">
        <v>467</v>
      </c>
      <c r="I43" s="3">
        <v>420</v>
      </c>
    </row>
    <row r="44" spans="1:9" x14ac:dyDescent="0.3">
      <c r="A44" s="11" t="s">
        <v>12</v>
      </c>
      <c r="B44" s="3">
        <v>3951</v>
      </c>
      <c r="C44">
        <v>3037</v>
      </c>
      <c r="D44" s="3">
        <v>3011</v>
      </c>
      <c r="E44" s="3">
        <v>3269</v>
      </c>
      <c r="F44" s="3">
        <v>5010</v>
      </c>
      <c r="G44" s="3">
        <v>5184</v>
      </c>
      <c r="H44" s="3">
        <v>6063</v>
      </c>
      <c r="I44" s="3">
        <v>6220</v>
      </c>
    </row>
    <row r="45" spans="1:9" x14ac:dyDescent="0.3">
      <c r="A45" s="11" t="s">
        <v>49</v>
      </c>
      <c r="B45" s="3">
        <v>71</v>
      </c>
      <c r="C45">
        <v>85</v>
      </c>
      <c r="D45" s="3">
        <v>84</v>
      </c>
      <c r="E45" s="3">
        <v>150</v>
      </c>
      <c r="F45" s="3">
        <v>229</v>
      </c>
      <c r="G45" s="3">
        <v>156</v>
      </c>
      <c r="H45" s="3">
        <v>306</v>
      </c>
      <c r="I45" s="3">
        <v>222</v>
      </c>
    </row>
    <row r="46" spans="1:9" x14ac:dyDescent="0.3">
      <c r="A46" s="4" t="s">
        <v>13</v>
      </c>
      <c r="B46" s="5">
        <f t="shared" ref="B46:H46" si="12">+SUM(B40:B45)</f>
        <v>6334</v>
      </c>
      <c r="C46" s="5">
        <f t="shared" si="12"/>
        <v>5358</v>
      </c>
      <c r="D46" s="5">
        <f t="shared" si="12"/>
        <v>5474</v>
      </c>
      <c r="E46" s="5">
        <f t="shared" si="12"/>
        <v>6040</v>
      </c>
      <c r="F46" s="5">
        <f t="shared" si="12"/>
        <v>7866</v>
      </c>
      <c r="G46" s="5">
        <f t="shared" si="12"/>
        <v>8284</v>
      </c>
      <c r="H46" s="5">
        <f t="shared" si="12"/>
        <v>9674</v>
      </c>
      <c r="I46" s="5">
        <f>+SUM(I40:I45)</f>
        <v>10730</v>
      </c>
    </row>
    <row r="47" spans="1:9" x14ac:dyDescent="0.3">
      <c r="A47" s="2" t="s">
        <v>50</v>
      </c>
      <c r="B47" s="3">
        <v>1079</v>
      </c>
      <c r="C47">
        <v>2010</v>
      </c>
      <c r="D47" s="3">
        <v>3471</v>
      </c>
      <c r="E47" s="3">
        <v>3468</v>
      </c>
      <c r="F47" s="3">
        <v>3464</v>
      </c>
      <c r="G47" s="3">
        <v>9406</v>
      </c>
      <c r="H47" s="3">
        <v>9413</v>
      </c>
      <c r="I47" s="3">
        <v>8920</v>
      </c>
    </row>
    <row r="48" spans="1:9" x14ac:dyDescent="0.3">
      <c r="A48" s="2" t="s">
        <v>51</v>
      </c>
      <c r="B48" s="3"/>
      <c r="D48" s="3"/>
      <c r="E48" s="3"/>
      <c r="F48" s="3"/>
      <c r="G48" s="3">
        <v>2913</v>
      </c>
      <c r="H48" s="3">
        <v>2931</v>
      </c>
      <c r="I48" s="3">
        <v>2777</v>
      </c>
    </row>
    <row r="49" spans="1:9" x14ac:dyDescent="0.3">
      <c r="A49" s="2" t="s">
        <v>52</v>
      </c>
      <c r="B49" s="3">
        <v>1480</v>
      </c>
      <c r="C49">
        <v>1770</v>
      </c>
      <c r="D49" s="3">
        <v>1907</v>
      </c>
      <c r="E49" s="3">
        <v>3216</v>
      </c>
      <c r="F49" s="3">
        <v>3347</v>
      </c>
      <c r="G49" s="3">
        <v>2684</v>
      </c>
      <c r="H49" s="3">
        <v>2955</v>
      </c>
      <c r="I49" s="3">
        <v>2613</v>
      </c>
    </row>
    <row r="50" spans="1:9" x14ac:dyDescent="0.3">
      <c r="A50" s="2" t="s">
        <v>53</v>
      </c>
      <c r="B50" s="3"/>
      <c r="D50" s="3"/>
      <c r="E50" s="3"/>
      <c r="F50" s="3"/>
      <c r="G50" s="3"/>
      <c r="H50" s="3"/>
      <c r="I50" s="3"/>
    </row>
    <row r="51" spans="1:9" x14ac:dyDescent="0.3">
      <c r="A51" s="11" t="s">
        <v>54</v>
      </c>
      <c r="B51" s="3"/>
      <c r="D51" s="3"/>
      <c r="E51" s="3"/>
      <c r="F51" s="3"/>
      <c r="G51" s="3"/>
      <c r="H51" s="3">
        <v>0</v>
      </c>
      <c r="I51" s="3">
        <v>0</v>
      </c>
    </row>
    <row r="52" spans="1:9" x14ac:dyDescent="0.3">
      <c r="A52" s="2" t="s">
        <v>55</v>
      </c>
      <c r="B52" s="3"/>
      <c r="D52" s="3"/>
      <c r="E52" s="3"/>
      <c r="F52" s="3"/>
      <c r="G52" s="3"/>
      <c r="H52" s="3"/>
      <c r="I52" s="3"/>
    </row>
    <row r="53" spans="1:9" x14ac:dyDescent="0.3">
      <c r="A53" s="11" t="s">
        <v>56</v>
      </c>
      <c r="B53" s="3"/>
      <c r="D53" s="3"/>
      <c r="E53" s="3"/>
      <c r="F53" s="3"/>
      <c r="G53" s="3"/>
      <c r="H53" s="3"/>
      <c r="I53" s="3"/>
    </row>
    <row r="54" spans="1:9" x14ac:dyDescent="0.3">
      <c r="A54" s="17" t="s">
        <v>57</v>
      </c>
      <c r="B54" s="3"/>
      <c r="D54" s="3"/>
      <c r="E54" s="3"/>
      <c r="F54" s="3"/>
      <c r="G54" s="3"/>
      <c r="H54" s="3"/>
      <c r="I54" s="3"/>
    </row>
    <row r="55" spans="1:9" x14ac:dyDescent="0.3">
      <c r="A55" s="17" t="s">
        <v>58</v>
      </c>
      <c r="B55" s="3">
        <v>3</v>
      </c>
      <c r="C55">
        <v>3</v>
      </c>
      <c r="D55" s="3">
        <v>3</v>
      </c>
      <c r="E55" s="3">
        <v>3</v>
      </c>
      <c r="F55" s="3">
        <v>3</v>
      </c>
      <c r="G55" s="3">
        <v>3</v>
      </c>
      <c r="H55" s="3">
        <v>3</v>
      </c>
      <c r="I55" s="3">
        <v>3</v>
      </c>
    </row>
    <row r="56" spans="1:9" x14ac:dyDescent="0.3">
      <c r="A56" s="17" t="s">
        <v>59</v>
      </c>
      <c r="B56" s="3">
        <v>6773</v>
      </c>
      <c r="C56">
        <v>7786</v>
      </c>
      <c r="D56" s="3">
        <v>5710</v>
      </c>
      <c r="E56" s="3">
        <v>6384</v>
      </c>
      <c r="F56" s="3">
        <v>7163</v>
      </c>
      <c r="G56" s="3">
        <v>8299</v>
      </c>
      <c r="H56" s="3">
        <v>9965</v>
      </c>
      <c r="I56" s="3">
        <v>11484</v>
      </c>
    </row>
    <row r="57" spans="1:9" x14ac:dyDescent="0.3">
      <c r="A57" s="17" t="s">
        <v>60</v>
      </c>
      <c r="B57" s="3">
        <v>1246</v>
      </c>
      <c r="C57">
        <v>318</v>
      </c>
      <c r="D57" s="3">
        <v>-213</v>
      </c>
      <c r="E57" s="3">
        <v>-92</v>
      </c>
      <c r="F57" s="3">
        <v>231</v>
      </c>
      <c r="G57" s="3">
        <v>-56</v>
      </c>
      <c r="H57" s="3">
        <v>-380</v>
      </c>
      <c r="I57" s="3">
        <v>318</v>
      </c>
    </row>
    <row r="58" spans="1:9" x14ac:dyDescent="0.3">
      <c r="A58" s="17" t="s">
        <v>61</v>
      </c>
      <c r="B58" s="3">
        <v>4685</v>
      </c>
      <c r="C58">
        <v>4151</v>
      </c>
      <c r="D58" s="3">
        <v>6907</v>
      </c>
      <c r="E58" s="3">
        <v>3517</v>
      </c>
      <c r="F58" s="3">
        <v>1643</v>
      </c>
      <c r="G58" s="3">
        <v>-191</v>
      </c>
      <c r="H58" s="3">
        <v>3179</v>
      </c>
      <c r="I58" s="3">
        <v>3476</v>
      </c>
    </row>
    <row r="59" spans="1:9" x14ac:dyDescent="0.3">
      <c r="A59" s="4" t="s">
        <v>62</v>
      </c>
      <c r="B59" s="5">
        <f t="shared" ref="B59:H59" si="13">+SUM(B54:B58)</f>
        <v>12707</v>
      </c>
      <c r="C59" s="5">
        <f t="shared" si="13"/>
        <v>12258</v>
      </c>
      <c r="D59" s="5">
        <f t="shared" si="13"/>
        <v>12407</v>
      </c>
      <c r="E59" s="5">
        <f t="shared" si="13"/>
        <v>9812</v>
      </c>
      <c r="F59" s="5">
        <f t="shared" si="13"/>
        <v>9040</v>
      </c>
      <c r="G59" s="5">
        <f t="shared" si="13"/>
        <v>8055</v>
      </c>
      <c r="H59" s="5">
        <f t="shared" si="13"/>
        <v>12767</v>
      </c>
      <c r="I59" s="5">
        <f>+SUM(I54:I58)</f>
        <v>15281</v>
      </c>
    </row>
    <row r="60" spans="1:9" ht="15" thickBot="1" x14ac:dyDescent="0.35">
      <c r="A60" s="6" t="s">
        <v>63</v>
      </c>
      <c r="B60" s="7">
        <f t="shared" ref="B60:H60" si="14">+SUM(B46:B51)+B59</f>
        <v>21600</v>
      </c>
      <c r="C60" s="7">
        <f t="shared" si="14"/>
        <v>21396</v>
      </c>
      <c r="D60" s="7">
        <f t="shared" si="14"/>
        <v>23259</v>
      </c>
      <c r="E60" s="7">
        <f t="shared" si="14"/>
        <v>22536</v>
      </c>
      <c r="F60" s="7">
        <f t="shared" si="14"/>
        <v>23717</v>
      </c>
      <c r="G60" s="7">
        <f t="shared" si="14"/>
        <v>31342</v>
      </c>
      <c r="H60" s="7">
        <f t="shared" si="14"/>
        <v>37740</v>
      </c>
      <c r="I60" s="7">
        <f>+SUM(I46:I51)+I59</f>
        <v>40321</v>
      </c>
    </row>
    <row r="61" spans="1:9" s="12" customFormat="1" ht="15" thickTop="1" x14ac:dyDescent="0.3">
      <c r="A61" s="12" t="s">
        <v>3</v>
      </c>
      <c r="B61" s="13">
        <f t="shared" ref="B61:H61" si="15">+B60-B37</f>
        <v>0</v>
      </c>
      <c r="C61" s="13">
        <f t="shared" si="15"/>
        <v>0</v>
      </c>
      <c r="D61" s="13">
        <f t="shared" si="15"/>
        <v>0</v>
      </c>
      <c r="E61" s="13">
        <f t="shared" si="15"/>
        <v>0</v>
      </c>
      <c r="F61" s="13">
        <f t="shared" si="15"/>
        <v>0</v>
      </c>
      <c r="G61" s="13">
        <f t="shared" si="15"/>
        <v>0</v>
      </c>
      <c r="H61" s="13">
        <f t="shared" si="15"/>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64</v>
      </c>
    </row>
    <row r="65" spans="1:9" s="1" customFormat="1" x14ac:dyDescent="0.3">
      <c r="A65" s="10" t="s">
        <v>65</v>
      </c>
      <c r="B65" s="9">
        <v>3273</v>
      </c>
      <c r="C65" s="1">
        <v>3760</v>
      </c>
      <c r="D65" s="9">
        <v>4240</v>
      </c>
      <c r="E65" s="9">
        <v>1933</v>
      </c>
      <c r="F65" s="9">
        <v>4029</v>
      </c>
      <c r="G65" s="9">
        <v>2539</v>
      </c>
      <c r="H65" s="9">
        <f>+H12</f>
        <v>5727</v>
      </c>
      <c r="I65" s="9">
        <f>+I12</f>
        <v>6046</v>
      </c>
    </row>
    <row r="66" spans="1:9" s="1" customFormat="1" x14ac:dyDescent="0.3">
      <c r="A66" s="2" t="s">
        <v>66</v>
      </c>
      <c r="B66" s="3"/>
      <c r="D66" s="3"/>
      <c r="E66" s="3"/>
      <c r="F66" s="3"/>
      <c r="G66" s="3"/>
      <c r="H66" s="3"/>
      <c r="I66" s="3"/>
    </row>
    <row r="67" spans="1:9" x14ac:dyDescent="0.3">
      <c r="A67" s="11" t="s">
        <v>67</v>
      </c>
      <c r="B67" s="3">
        <v>606</v>
      </c>
      <c r="C67">
        <v>649</v>
      </c>
      <c r="D67" s="3">
        <v>706</v>
      </c>
      <c r="E67" s="3">
        <v>747</v>
      </c>
      <c r="F67" s="3">
        <v>705</v>
      </c>
      <c r="G67" s="3">
        <v>721</v>
      </c>
      <c r="H67" s="3">
        <v>744</v>
      </c>
      <c r="I67" s="3">
        <v>717</v>
      </c>
    </row>
    <row r="68" spans="1:9" x14ac:dyDescent="0.3">
      <c r="A68" s="11" t="s">
        <v>68</v>
      </c>
      <c r="B68" s="3">
        <v>-113</v>
      </c>
      <c r="C68">
        <v>-80</v>
      </c>
      <c r="D68" s="3">
        <v>-273</v>
      </c>
      <c r="E68" s="3">
        <v>647</v>
      </c>
      <c r="F68" s="3">
        <v>34</v>
      </c>
      <c r="G68" s="3">
        <v>-380</v>
      </c>
      <c r="H68" s="3">
        <v>-385</v>
      </c>
      <c r="I68" s="3">
        <v>-650</v>
      </c>
    </row>
    <row r="69" spans="1:9" x14ac:dyDescent="0.3">
      <c r="A69" s="11" t="s">
        <v>69</v>
      </c>
      <c r="B69" s="3">
        <v>191</v>
      </c>
      <c r="C69">
        <v>236</v>
      </c>
      <c r="D69" s="3">
        <v>215</v>
      </c>
      <c r="E69" s="3">
        <v>218</v>
      </c>
      <c r="F69" s="3">
        <v>325</v>
      </c>
      <c r="G69" s="3">
        <v>429</v>
      </c>
      <c r="H69" s="3">
        <v>611</v>
      </c>
      <c r="I69" s="3">
        <v>638</v>
      </c>
    </row>
    <row r="70" spans="1:9" x14ac:dyDescent="0.3">
      <c r="A70" s="11" t="s">
        <v>70</v>
      </c>
      <c r="B70" s="3">
        <v>43</v>
      </c>
      <c r="C70">
        <v>13</v>
      </c>
      <c r="D70" s="3">
        <v>10</v>
      </c>
      <c r="E70" s="3">
        <v>27</v>
      </c>
      <c r="F70" s="3">
        <v>15</v>
      </c>
      <c r="G70" s="3">
        <v>398</v>
      </c>
      <c r="H70" s="3">
        <v>53</v>
      </c>
      <c r="I70" s="3">
        <v>123</v>
      </c>
    </row>
    <row r="71" spans="1:9" x14ac:dyDescent="0.3">
      <c r="A71" s="11" t="s">
        <v>71</v>
      </c>
      <c r="B71" s="3">
        <v>424</v>
      </c>
      <c r="C71">
        <v>98</v>
      </c>
      <c r="D71" s="3">
        <v>-117</v>
      </c>
      <c r="E71" s="3">
        <v>-99</v>
      </c>
      <c r="F71" s="3">
        <v>233</v>
      </c>
      <c r="G71" s="3">
        <v>23</v>
      </c>
      <c r="H71" s="3">
        <v>-138</v>
      </c>
      <c r="I71" s="3">
        <v>-26</v>
      </c>
    </row>
    <row r="72" spans="1:9" x14ac:dyDescent="0.3">
      <c r="A72" s="2" t="s">
        <v>72</v>
      </c>
      <c r="B72" s="3"/>
      <c r="D72" s="3"/>
      <c r="E72" s="3"/>
      <c r="F72" s="3"/>
      <c r="G72" s="3"/>
      <c r="H72" s="3"/>
      <c r="I72" s="3"/>
    </row>
    <row r="73" spans="1:9" x14ac:dyDescent="0.3">
      <c r="A73" s="11" t="s">
        <v>73</v>
      </c>
      <c r="B73" s="3">
        <v>-216</v>
      </c>
      <c r="C73">
        <v>60</v>
      </c>
      <c r="D73" s="3">
        <v>-426</v>
      </c>
      <c r="E73" s="3">
        <v>187</v>
      </c>
      <c r="F73" s="3">
        <v>-270</v>
      </c>
      <c r="G73" s="3">
        <v>1239</v>
      </c>
      <c r="H73" s="3">
        <v>-1606</v>
      </c>
      <c r="I73" s="3">
        <v>-504</v>
      </c>
    </row>
    <row r="74" spans="1:9" x14ac:dyDescent="0.3">
      <c r="A74" s="11" t="s">
        <v>74</v>
      </c>
      <c r="B74" s="3">
        <v>-621</v>
      </c>
      <c r="C74">
        <v>-590</v>
      </c>
      <c r="D74" s="3">
        <v>-231</v>
      </c>
      <c r="E74" s="3">
        <v>-255</v>
      </c>
      <c r="F74" s="3">
        <v>-490</v>
      </c>
      <c r="G74" s="3">
        <v>-1854</v>
      </c>
      <c r="H74" s="3">
        <v>507</v>
      </c>
      <c r="I74" s="3">
        <v>-1676</v>
      </c>
    </row>
    <row r="75" spans="1:9" x14ac:dyDescent="0.3">
      <c r="A75" s="11" t="s">
        <v>99</v>
      </c>
      <c r="B75" s="3">
        <v>-144</v>
      </c>
      <c r="C75">
        <v>-161</v>
      </c>
      <c r="D75" s="3">
        <v>-120</v>
      </c>
      <c r="E75" s="3">
        <v>35</v>
      </c>
      <c r="F75" s="3">
        <v>-203</v>
      </c>
      <c r="G75" s="3">
        <v>-654</v>
      </c>
      <c r="H75" s="3">
        <v>-182</v>
      </c>
      <c r="I75" s="3">
        <v>-845</v>
      </c>
    </row>
    <row r="76" spans="1:9" x14ac:dyDescent="0.3">
      <c r="A76" s="11" t="s">
        <v>98</v>
      </c>
      <c r="B76" s="3">
        <v>1237</v>
      </c>
      <c r="C76">
        <v>-889</v>
      </c>
      <c r="D76" s="3">
        <v>-158</v>
      </c>
      <c r="E76" s="3">
        <v>1515</v>
      </c>
      <c r="F76" s="3">
        <v>1525</v>
      </c>
      <c r="G76" s="3">
        <v>24</v>
      </c>
      <c r="H76" s="3">
        <v>1326</v>
      </c>
      <c r="I76" s="3">
        <v>1365</v>
      </c>
    </row>
    <row r="77" spans="1:9" x14ac:dyDescent="0.3">
      <c r="A77" s="25" t="s">
        <v>75</v>
      </c>
      <c r="B77" s="26">
        <f t="shared" ref="B77:I77" si="16">+SUM(B65:B76)</f>
        <v>4680</v>
      </c>
      <c r="C77" s="26">
        <f t="shared" si="16"/>
        <v>3096</v>
      </c>
      <c r="D77" s="26">
        <f t="shared" si="16"/>
        <v>3846</v>
      </c>
      <c r="E77" s="26">
        <f t="shared" si="16"/>
        <v>4955</v>
      </c>
      <c r="F77" s="26">
        <f t="shared" si="16"/>
        <v>5903</v>
      </c>
      <c r="G77" s="26">
        <f t="shared" si="16"/>
        <v>2485</v>
      </c>
      <c r="H77" s="26">
        <f t="shared" si="16"/>
        <v>6657</v>
      </c>
      <c r="I77" s="26">
        <f t="shared" si="16"/>
        <v>5188</v>
      </c>
    </row>
    <row r="78" spans="1:9" x14ac:dyDescent="0.3">
      <c r="A78" s="1" t="s">
        <v>76</v>
      </c>
      <c r="B78" s="3"/>
      <c r="C78" s="3"/>
      <c r="D78" s="3"/>
      <c r="E78" s="3"/>
      <c r="F78" s="3"/>
      <c r="G78" s="3"/>
      <c r="H78" s="3"/>
      <c r="I78" s="3"/>
    </row>
    <row r="79" spans="1:9" x14ac:dyDescent="0.3">
      <c r="A79" s="2" t="s">
        <v>77</v>
      </c>
      <c r="B79" s="3">
        <v>-4936</v>
      </c>
      <c r="C79">
        <v>-5367</v>
      </c>
      <c r="D79" s="3">
        <v>-5928</v>
      </c>
      <c r="E79" s="3">
        <v>-4783</v>
      </c>
      <c r="F79" s="3">
        <v>-2937</v>
      </c>
      <c r="G79" s="3">
        <v>-2426</v>
      </c>
      <c r="H79" s="3">
        <v>-9961</v>
      </c>
      <c r="I79" s="3">
        <v>-12913</v>
      </c>
    </row>
    <row r="80" spans="1:9" x14ac:dyDescent="0.3">
      <c r="A80" s="2" t="s">
        <v>78</v>
      </c>
      <c r="B80" s="3">
        <v>3655</v>
      </c>
      <c r="C80">
        <v>2924</v>
      </c>
      <c r="D80" s="3">
        <v>3623</v>
      </c>
      <c r="E80" s="3">
        <v>3613</v>
      </c>
      <c r="F80" s="3">
        <v>1715</v>
      </c>
      <c r="G80" s="3">
        <v>74</v>
      </c>
      <c r="H80" s="3">
        <v>4236</v>
      </c>
      <c r="I80" s="3">
        <v>8199</v>
      </c>
    </row>
    <row r="81" spans="1:9" x14ac:dyDescent="0.3">
      <c r="A81" s="2" t="s">
        <v>79</v>
      </c>
      <c r="B81" s="3">
        <v>2216</v>
      </c>
      <c r="C81">
        <v>2386</v>
      </c>
      <c r="D81" s="3">
        <v>2423</v>
      </c>
      <c r="E81" s="3">
        <v>2496</v>
      </c>
      <c r="F81" s="3">
        <v>2072</v>
      </c>
      <c r="G81" s="3">
        <v>2379</v>
      </c>
      <c r="H81" s="3">
        <v>2449</v>
      </c>
      <c r="I81" s="3">
        <v>3967</v>
      </c>
    </row>
    <row r="82" spans="1:9" x14ac:dyDescent="0.3">
      <c r="A82" s="2" t="s">
        <v>14</v>
      </c>
      <c r="B82" s="3">
        <v>-963</v>
      </c>
      <c r="C82">
        <v>-1143</v>
      </c>
      <c r="D82" s="3">
        <v>-1105</v>
      </c>
      <c r="E82" s="3">
        <v>-1028</v>
      </c>
      <c r="F82" s="3">
        <v>-1119</v>
      </c>
      <c r="G82" s="3">
        <v>-1086</v>
      </c>
      <c r="H82" s="3">
        <v>-695</v>
      </c>
      <c r="I82" s="3">
        <v>-758</v>
      </c>
    </row>
    <row r="83" spans="1:9" x14ac:dyDescent="0.3">
      <c r="A83" s="2" t="s">
        <v>145</v>
      </c>
      <c r="B83" s="3">
        <v>3</v>
      </c>
      <c r="C83" s="3">
        <v>10</v>
      </c>
      <c r="D83" s="3">
        <v>13</v>
      </c>
      <c r="E83" s="3">
        <v>3</v>
      </c>
      <c r="F83" s="3"/>
      <c r="G83" s="3"/>
      <c r="H83" s="3"/>
      <c r="I83" s="3"/>
    </row>
    <row r="84" spans="1:9" x14ac:dyDescent="0.3">
      <c r="A84" s="2" t="s">
        <v>146</v>
      </c>
      <c r="B84" s="3">
        <v>-150</v>
      </c>
      <c r="C84" s="3">
        <v>150</v>
      </c>
      <c r="D84" s="3"/>
      <c r="E84" s="3"/>
      <c r="F84" s="3"/>
      <c r="G84" s="3"/>
      <c r="H84" s="3"/>
      <c r="I84" s="3"/>
    </row>
    <row r="85" spans="1:9" x14ac:dyDescent="0.3">
      <c r="A85" s="2" t="s">
        <v>80</v>
      </c>
      <c r="B85" s="3"/>
      <c r="C85" s="3"/>
      <c r="D85" s="3">
        <v>-34</v>
      </c>
      <c r="E85" s="3">
        <v>-25</v>
      </c>
      <c r="F85" s="3">
        <v>5</v>
      </c>
      <c r="G85" s="3">
        <v>31</v>
      </c>
      <c r="H85" s="3">
        <v>171</v>
      </c>
      <c r="I85" s="3">
        <v>-19</v>
      </c>
    </row>
    <row r="86" spans="1:9" x14ac:dyDescent="0.3">
      <c r="A86" s="2" t="s">
        <v>147</v>
      </c>
      <c r="B86" s="3"/>
      <c r="C86" s="3">
        <v>6</v>
      </c>
      <c r="D86" s="3"/>
      <c r="E86" s="3"/>
      <c r="F86" s="3"/>
      <c r="G86" s="3"/>
      <c r="H86" s="3"/>
      <c r="I86" s="3"/>
    </row>
    <row r="87" spans="1:9" x14ac:dyDescent="0.3">
      <c r="A87" s="27" t="s">
        <v>81</v>
      </c>
      <c r="B87" s="26">
        <f t="shared" ref="B87:H87" si="17">+SUM(B79:B85)</f>
        <v>-175</v>
      </c>
      <c r="C87" s="26">
        <f t="shared" si="17"/>
        <v>-1040</v>
      </c>
      <c r="D87" s="26">
        <f t="shared" si="17"/>
        <v>-1008</v>
      </c>
      <c r="E87" s="26">
        <f t="shared" si="17"/>
        <v>276</v>
      </c>
      <c r="F87" s="26">
        <f t="shared" si="17"/>
        <v>-264</v>
      </c>
      <c r="G87" s="26">
        <f t="shared" si="17"/>
        <v>-1028</v>
      </c>
      <c r="H87" s="26">
        <f t="shared" si="17"/>
        <v>-3800</v>
      </c>
      <c r="I87" s="26">
        <f>+SUM(I79:I85)</f>
        <v>-1524</v>
      </c>
    </row>
    <row r="88" spans="1:9" x14ac:dyDescent="0.3">
      <c r="A88" s="1" t="s">
        <v>82</v>
      </c>
      <c r="B88" s="3"/>
      <c r="C88" s="3"/>
      <c r="D88" s="3"/>
      <c r="E88" s="3"/>
      <c r="F88" s="3"/>
      <c r="G88" s="3"/>
      <c r="H88" s="3"/>
      <c r="I88" s="3"/>
    </row>
    <row r="89" spans="1:9" x14ac:dyDescent="0.3">
      <c r="A89" s="2" t="s">
        <v>83</v>
      </c>
      <c r="B89" s="3"/>
      <c r="C89" s="3">
        <v>981</v>
      </c>
      <c r="D89" s="3">
        <v>1482</v>
      </c>
      <c r="E89" s="3"/>
      <c r="F89" s="3"/>
      <c r="G89" s="3">
        <v>6134</v>
      </c>
      <c r="H89" s="3">
        <v>0</v>
      </c>
      <c r="I89" s="3">
        <v>0</v>
      </c>
    </row>
    <row r="90" spans="1:9" x14ac:dyDescent="0.3">
      <c r="A90" s="2" t="s">
        <v>148</v>
      </c>
      <c r="B90" s="3">
        <v>-7</v>
      </c>
      <c r="C90" s="3">
        <v>-106</v>
      </c>
      <c r="D90" s="3">
        <v>-44</v>
      </c>
      <c r="E90" s="3">
        <v>-6</v>
      </c>
      <c r="F90" s="3"/>
      <c r="G90" s="3"/>
      <c r="H90" s="3"/>
      <c r="I90" s="3"/>
    </row>
    <row r="91" spans="1:9" x14ac:dyDescent="0.3">
      <c r="A91" s="2" t="s">
        <v>84</v>
      </c>
      <c r="B91" s="3">
        <v>-63</v>
      </c>
      <c r="C91" s="3">
        <v>-67</v>
      </c>
      <c r="D91" s="3">
        <v>327</v>
      </c>
      <c r="E91" s="3">
        <v>13</v>
      </c>
      <c r="F91" s="3">
        <v>-325</v>
      </c>
      <c r="G91" s="3">
        <v>49</v>
      </c>
      <c r="H91" s="3">
        <v>-52</v>
      </c>
      <c r="I91" s="3">
        <v>15</v>
      </c>
    </row>
    <row r="92" spans="1:9" x14ac:dyDescent="0.3">
      <c r="A92" s="2" t="s">
        <v>151</v>
      </c>
      <c r="B92" s="3">
        <v>-19</v>
      </c>
      <c r="C92" s="3">
        <v>-7</v>
      </c>
      <c r="D92" s="3">
        <v>-17</v>
      </c>
      <c r="E92" s="3">
        <v>-23</v>
      </c>
      <c r="F92" s="3"/>
      <c r="G92" s="3"/>
      <c r="H92" s="3"/>
      <c r="I92" s="3"/>
    </row>
    <row r="93" spans="1:9" x14ac:dyDescent="0.3">
      <c r="A93" s="2" t="s">
        <v>85</v>
      </c>
      <c r="B93" s="3"/>
      <c r="C93" s="3"/>
      <c r="D93" s="3"/>
      <c r="E93" s="3"/>
      <c r="F93" s="3"/>
      <c r="G93" s="3"/>
      <c r="H93" s="3">
        <v>-197</v>
      </c>
      <c r="I93" s="3">
        <v>0</v>
      </c>
    </row>
    <row r="94" spans="1:9" x14ac:dyDescent="0.3">
      <c r="A94" s="2" t="s">
        <v>86</v>
      </c>
      <c r="B94" s="3">
        <v>514</v>
      </c>
      <c r="C94" s="3">
        <v>507</v>
      </c>
      <c r="D94" s="3">
        <v>489</v>
      </c>
      <c r="E94" s="3">
        <v>733</v>
      </c>
      <c r="F94" s="3">
        <v>700</v>
      </c>
      <c r="G94" s="3">
        <v>885</v>
      </c>
      <c r="H94" s="3">
        <v>1172</v>
      </c>
      <c r="I94" s="3">
        <v>1151</v>
      </c>
    </row>
    <row r="95" spans="1:9" x14ac:dyDescent="0.3">
      <c r="A95" s="2" t="s">
        <v>16</v>
      </c>
      <c r="B95" s="3">
        <v>-2534</v>
      </c>
      <c r="C95" s="3">
        <v>-3238</v>
      </c>
      <c r="D95" s="3">
        <v>-3223</v>
      </c>
      <c r="E95" s="3">
        <v>-4254</v>
      </c>
      <c r="F95" s="3">
        <v>-4286</v>
      </c>
      <c r="G95" s="3">
        <v>-3067</v>
      </c>
      <c r="H95" s="3">
        <v>-608</v>
      </c>
      <c r="I95" s="3">
        <v>-4014</v>
      </c>
    </row>
    <row r="96" spans="1:9" x14ac:dyDescent="0.3">
      <c r="A96" s="2" t="s">
        <v>149</v>
      </c>
      <c r="B96" s="3">
        <v>218</v>
      </c>
      <c r="C96" s="3">
        <v>281</v>
      </c>
      <c r="D96" s="3"/>
      <c r="E96" s="3"/>
      <c r="F96" s="3"/>
      <c r="G96" s="3"/>
      <c r="H96" s="3"/>
      <c r="I96" s="3"/>
    </row>
    <row r="97" spans="1:9" x14ac:dyDescent="0.3">
      <c r="A97" s="2" t="s">
        <v>87</v>
      </c>
      <c r="B97" s="3">
        <v>-899</v>
      </c>
      <c r="C97" s="3">
        <v>-1022</v>
      </c>
      <c r="D97" s="3">
        <v>-1133</v>
      </c>
      <c r="E97" s="3">
        <v>-1243</v>
      </c>
      <c r="F97" s="3">
        <v>-1332</v>
      </c>
      <c r="G97" s="3">
        <v>-1452</v>
      </c>
      <c r="H97" s="3">
        <v>-1638</v>
      </c>
      <c r="I97" s="3">
        <v>-1837</v>
      </c>
    </row>
    <row r="98" spans="1:9" x14ac:dyDescent="0.3">
      <c r="A98" s="2" t="s">
        <v>150</v>
      </c>
      <c r="B98" s="3"/>
      <c r="C98" s="3"/>
      <c r="D98" s="3">
        <v>-29</v>
      </c>
      <c r="E98" s="3">
        <v>-55</v>
      </c>
      <c r="F98" s="3"/>
      <c r="G98" s="3"/>
      <c r="H98" s="3"/>
      <c r="I98" s="3"/>
    </row>
    <row r="99" spans="1:9" x14ac:dyDescent="0.3">
      <c r="A99" s="2" t="s">
        <v>88</v>
      </c>
      <c r="B99" s="3"/>
      <c r="C99" s="3"/>
      <c r="D99" s="3"/>
      <c r="E99" s="3"/>
      <c r="F99" s="3">
        <v>-50</v>
      </c>
      <c r="G99" s="3">
        <v>-58</v>
      </c>
      <c r="H99" s="3">
        <v>-136</v>
      </c>
      <c r="I99" s="3">
        <v>-151</v>
      </c>
    </row>
    <row r="100" spans="1:9" x14ac:dyDescent="0.3">
      <c r="A100" s="27" t="s">
        <v>89</v>
      </c>
      <c r="B100" s="26">
        <f t="shared" ref="B100:H100" si="18">+SUM(B89:B99)</f>
        <v>-2790</v>
      </c>
      <c r="C100" s="26">
        <f t="shared" si="18"/>
        <v>-2671</v>
      </c>
      <c r="D100" s="26">
        <f t="shared" si="18"/>
        <v>-2148</v>
      </c>
      <c r="E100" s="26">
        <f t="shared" si="18"/>
        <v>-4835</v>
      </c>
      <c r="F100" s="26">
        <f t="shared" si="18"/>
        <v>-5293</v>
      </c>
      <c r="G100" s="26">
        <f t="shared" si="18"/>
        <v>2491</v>
      </c>
      <c r="H100" s="26">
        <f t="shared" si="18"/>
        <v>-1459</v>
      </c>
      <c r="I100" s="26">
        <f>+SUM(I89:I99)</f>
        <v>-4836</v>
      </c>
    </row>
    <row r="101" spans="1:9" x14ac:dyDescent="0.3">
      <c r="A101" s="2" t="s">
        <v>90</v>
      </c>
      <c r="B101" s="3">
        <v>-83</v>
      </c>
      <c r="C101" s="3">
        <v>-105</v>
      </c>
      <c r="D101" s="3">
        <v>-20</v>
      </c>
      <c r="E101" s="3">
        <v>45</v>
      </c>
      <c r="F101" s="3">
        <v>-129</v>
      </c>
      <c r="G101" s="3">
        <v>-66</v>
      </c>
      <c r="H101" s="3">
        <v>143</v>
      </c>
      <c r="I101" s="3">
        <v>-143</v>
      </c>
    </row>
    <row r="102" spans="1:9" x14ac:dyDescent="0.3">
      <c r="A102" s="27" t="s">
        <v>91</v>
      </c>
      <c r="B102" s="26">
        <f t="shared" ref="B102:H102" si="19">+B77+B87+B100+B101</f>
        <v>1632</v>
      </c>
      <c r="C102" s="26">
        <f t="shared" si="19"/>
        <v>-720</v>
      </c>
      <c r="D102" s="26">
        <f t="shared" si="19"/>
        <v>670</v>
      </c>
      <c r="E102" s="26">
        <f t="shared" si="19"/>
        <v>441</v>
      </c>
      <c r="F102" s="26">
        <f t="shared" si="19"/>
        <v>217</v>
      </c>
      <c r="G102" s="26">
        <f t="shared" si="19"/>
        <v>3882</v>
      </c>
      <c r="H102" s="26">
        <f t="shared" si="19"/>
        <v>1541</v>
      </c>
      <c r="I102" s="26">
        <f>+I77+I87+I100+I101</f>
        <v>-1315</v>
      </c>
    </row>
    <row r="103" spans="1:9" x14ac:dyDescent="0.3">
      <c r="A103" t="s">
        <v>92</v>
      </c>
      <c r="B103" s="3">
        <v>2220</v>
      </c>
      <c r="C103" s="3">
        <v>3852</v>
      </c>
      <c r="D103" s="3">
        <v>3138</v>
      </c>
      <c r="E103" s="3">
        <v>3808</v>
      </c>
      <c r="F103" s="3">
        <v>4249</v>
      </c>
      <c r="G103" s="3">
        <v>4466</v>
      </c>
      <c r="H103" s="3">
        <v>8348</v>
      </c>
      <c r="I103" s="3">
        <f>+H104</f>
        <v>9889</v>
      </c>
    </row>
    <row r="104" spans="1:9" ht="15" thickBot="1" x14ac:dyDescent="0.35">
      <c r="A104" s="6" t="s">
        <v>93</v>
      </c>
      <c r="B104" s="7">
        <v>3852</v>
      </c>
      <c r="C104" s="7">
        <v>3138</v>
      </c>
      <c r="D104" s="7">
        <v>3808</v>
      </c>
      <c r="E104" s="7">
        <v>4249</v>
      </c>
      <c r="F104" s="7">
        <v>4466</v>
      </c>
      <c r="G104" s="7">
        <v>8348</v>
      </c>
      <c r="H104" s="7">
        <f>+H102+H103</f>
        <v>9889</v>
      </c>
      <c r="I104" s="7">
        <f>+I102+I103</f>
        <v>8574</v>
      </c>
    </row>
    <row r="105" spans="1:9" s="12" customFormat="1" ht="15" thickTop="1" x14ac:dyDescent="0.3">
      <c r="A105" s="12" t="s">
        <v>19</v>
      </c>
      <c r="B105" s="13">
        <f t="shared" ref="B105:I105" si="20">+B104-B25</f>
        <v>0</v>
      </c>
      <c r="C105" s="13">
        <f t="shared" si="20"/>
        <v>0</v>
      </c>
      <c r="D105" s="13">
        <f t="shared" si="20"/>
        <v>0</v>
      </c>
      <c r="E105" s="13">
        <f t="shared" si="20"/>
        <v>0</v>
      </c>
      <c r="F105" s="13">
        <f t="shared" si="20"/>
        <v>0</v>
      </c>
      <c r="G105" s="13">
        <f t="shared" si="20"/>
        <v>0</v>
      </c>
      <c r="H105" s="13">
        <f t="shared" si="20"/>
        <v>0</v>
      </c>
      <c r="I105" s="13">
        <f t="shared" si="20"/>
        <v>0</v>
      </c>
    </row>
    <row r="106" spans="1:9" x14ac:dyDescent="0.3">
      <c r="A106" t="s">
        <v>94</v>
      </c>
      <c r="B106" s="3"/>
      <c r="C106" s="3"/>
      <c r="D106" s="3"/>
      <c r="E106" s="3"/>
      <c r="F106" s="3"/>
      <c r="G106" s="3"/>
      <c r="H106" s="3"/>
      <c r="I106" s="3"/>
    </row>
    <row r="107" spans="1:9" x14ac:dyDescent="0.3">
      <c r="A107" s="2" t="s">
        <v>17</v>
      </c>
      <c r="B107" s="3"/>
      <c r="C107" s="3"/>
      <c r="D107" s="3"/>
      <c r="E107" s="3"/>
      <c r="F107" s="3"/>
      <c r="G107" s="3"/>
      <c r="H107" s="3"/>
      <c r="I107" s="3"/>
    </row>
    <row r="108" spans="1:9" x14ac:dyDescent="0.3">
      <c r="A108" s="11" t="s">
        <v>95</v>
      </c>
      <c r="B108" s="3">
        <v>53</v>
      </c>
      <c r="C108" s="3">
        <v>70</v>
      </c>
      <c r="D108" s="3">
        <v>98</v>
      </c>
      <c r="E108" s="3">
        <v>125</v>
      </c>
      <c r="F108" s="3">
        <v>153</v>
      </c>
      <c r="G108" s="3">
        <v>140</v>
      </c>
      <c r="H108" s="3">
        <v>293</v>
      </c>
      <c r="I108" s="3">
        <v>290</v>
      </c>
    </row>
    <row r="109" spans="1:9" x14ac:dyDescent="0.3">
      <c r="A109" s="11" t="s">
        <v>18</v>
      </c>
      <c r="B109" s="3">
        <v>1262</v>
      </c>
      <c r="C109" s="3">
        <v>748</v>
      </c>
      <c r="D109" s="3">
        <v>703</v>
      </c>
      <c r="E109" s="3">
        <v>529</v>
      </c>
      <c r="F109" s="3">
        <v>757</v>
      </c>
      <c r="G109" s="3">
        <v>1028</v>
      </c>
      <c r="H109" s="3">
        <v>1177</v>
      </c>
      <c r="I109" s="3">
        <v>1231</v>
      </c>
    </row>
    <row r="110" spans="1:9" x14ac:dyDescent="0.3">
      <c r="A110" s="11" t="s">
        <v>96</v>
      </c>
      <c r="B110" s="3">
        <v>206</v>
      </c>
      <c r="C110" s="3">
        <v>252</v>
      </c>
      <c r="D110" s="3">
        <v>266</v>
      </c>
      <c r="E110" s="3">
        <v>294</v>
      </c>
      <c r="F110" s="3">
        <v>160</v>
      </c>
      <c r="G110" s="3">
        <v>121</v>
      </c>
      <c r="H110" s="3">
        <v>179</v>
      </c>
      <c r="I110" s="3">
        <v>160</v>
      </c>
    </row>
    <row r="111" spans="1:9" x14ac:dyDescent="0.3">
      <c r="A111" s="11" t="s">
        <v>97</v>
      </c>
      <c r="B111" s="3">
        <v>240</v>
      </c>
      <c r="C111" s="3">
        <v>271</v>
      </c>
      <c r="D111" s="3">
        <v>300</v>
      </c>
      <c r="E111" s="3">
        <v>320</v>
      </c>
      <c r="F111" s="3">
        <v>347</v>
      </c>
      <c r="G111" s="3">
        <v>385</v>
      </c>
      <c r="H111" s="3">
        <v>438</v>
      </c>
      <c r="I111" s="3">
        <v>480</v>
      </c>
    </row>
    <row r="113" spans="1:9" x14ac:dyDescent="0.3">
      <c r="A113" s="14" t="s">
        <v>100</v>
      </c>
      <c r="B113" s="14"/>
      <c r="C113" s="14"/>
      <c r="D113" s="14"/>
      <c r="E113" s="14"/>
      <c r="F113" s="14"/>
      <c r="G113" s="14"/>
      <c r="H113" s="14"/>
      <c r="I113" s="14"/>
    </row>
    <row r="114" spans="1:9" x14ac:dyDescent="0.3">
      <c r="A114" s="28" t="s">
        <v>110</v>
      </c>
      <c r="B114" s="3"/>
      <c r="C114" s="3"/>
      <c r="D114" s="3"/>
      <c r="E114" s="3"/>
      <c r="F114" s="3"/>
      <c r="G114" s="3"/>
      <c r="H114" s="3"/>
      <c r="I114" s="3"/>
    </row>
    <row r="115" spans="1:9" x14ac:dyDescent="0.3">
      <c r="A115" s="2" t="s">
        <v>101</v>
      </c>
      <c r="B115" s="3">
        <v>13740</v>
      </c>
      <c r="C115" s="3">
        <v>14764</v>
      </c>
      <c r="D115" s="3">
        <v>15216</v>
      </c>
      <c r="E115" s="3">
        <v>14855</v>
      </c>
      <c r="F115" s="3">
        <v>15902</v>
      </c>
      <c r="G115" s="3">
        <v>14484</v>
      </c>
      <c r="H115" s="3">
        <f t="shared" ref="H115" si="21">+SUM(H116:H118)</f>
        <v>17179</v>
      </c>
      <c r="I115" s="3">
        <f>+SUM(I116:I118)</f>
        <v>18353</v>
      </c>
    </row>
    <row r="116" spans="1:9" x14ac:dyDescent="0.3">
      <c r="A116" s="11" t="s">
        <v>114</v>
      </c>
      <c r="F116">
        <v>10045</v>
      </c>
      <c r="G116">
        <v>9329</v>
      </c>
      <c r="H116" s="8">
        <v>11644</v>
      </c>
      <c r="I116" s="8">
        <v>12228</v>
      </c>
    </row>
    <row r="117" spans="1:9" x14ac:dyDescent="0.3">
      <c r="A117" s="11" t="s">
        <v>115</v>
      </c>
      <c r="F117">
        <v>5260</v>
      </c>
      <c r="G117">
        <v>4639</v>
      </c>
      <c r="H117" s="8">
        <v>5028</v>
      </c>
      <c r="I117" s="8">
        <v>5492</v>
      </c>
    </row>
    <row r="118" spans="1:9" x14ac:dyDescent="0.3">
      <c r="A118" s="11" t="s">
        <v>116</v>
      </c>
      <c r="F118">
        <v>597</v>
      </c>
      <c r="G118">
        <v>516</v>
      </c>
      <c r="H118">
        <v>507</v>
      </c>
      <c r="I118">
        <v>633</v>
      </c>
    </row>
    <row r="119" spans="1:9" x14ac:dyDescent="0.3">
      <c r="A119" s="2" t="s">
        <v>102</v>
      </c>
      <c r="B119" s="3">
        <v>7126</v>
      </c>
      <c r="C119" s="3">
        <v>7315</v>
      </c>
      <c r="D119" s="3">
        <v>7698</v>
      </c>
      <c r="E119" s="3">
        <v>9242</v>
      </c>
      <c r="F119" s="3">
        <v>9812</v>
      </c>
      <c r="G119" s="3">
        <v>9347</v>
      </c>
      <c r="H119" s="3">
        <f t="shared" ref="H119" si="22">+SUM(H120:H122)</f>
        <v>11456</v>
      </c>
      <c r="I119" s="3">
        <f>+SUM(I120:I122)</f>
        <v>12479</v>
      </c>
    </row>
    <row r="120" spans="1:9" x14ac:dyDescent="0.3">
      <c r="A120" s="11" t="s">
        <v>114</v>
      </c>
      <c r="F120">
        <v>6293</v>
      </c>
      <c r="G120">
        <v>5892</v>
      </c>
      <c r="H120" s="8">
        <v>6970</v>
      </c>
      <c r="I120" s="8">
        <v>7388</v>
      </c>
    </row>
    <row r="121" spans="1:9" x14ac:dyDescent="0.3">
      <c r="A121" s="11" t="s">
        <v>115</v>
      </c>
      <c r="F121">
        <v>3087</v>
      </c>
      <c r="G121">
        <v>3053</v>
      </c>
      <c r="H121" s="8">
        <v>3996</v>
      </c>
      <c r="I121" s="8">
        <v>4527</v>
      </c>
    </row>
    <row r="122" spans="1:9" x14ac:dyDescent="0.3">
      <c r="A122" s="11" t="s">
        <v>116</v>
      </c>
      <c r="F122">
        <v>432</v>
      </c>
      <c r="G122">
        <v>402</v>
      </c>
      <c r="H122">
        <v>490</v>
      </c>
      <c r="I122">
        <v>564</v>
      </c>
    </row>
    <row r="123" spans="1:9" x14ac:dyDescent="0.3">
      <c r="A123" s="2" t="s">
        <v>103</v>
      </c>
      <c r="B123" s="3">
        <v>3067</v>
      </c>
      <c r="C123" s="3">
        <v>3785</v>
      </c>
      <c r="D123" s="3">
        <v>4237</v>
      </c>
      <c r="E123" s="3">
        <v>5134</v>
      </c>
      <c r="F123" s="3">
        <v>6208</v>
      </c>
      <c r="G123" s="3">
        <v>6679</v>
      </c>
      <c r="H123" s="3">
        <f t="shared" ref="H123" si="23">+SUM(H124:H126)</f>
        <v>8290</v>
      </c>
      <c r="I123" s="3">
        <f>+SUM(I124:I126)</f>
        <v>7547</v>
      </c>
    </row>
    <row r="124" spans="1:9" x14ac:dyDescent="0.3">
      <c r="A124" s="11" t="s">
        <v>114</v>
      </c>
      <c r="F124">
        <v>4262</v>
      </c>
      <c r="G124">
        <v>4635</v>
      </c>
      <c r="H124" s="8">
        <v>5748</v>
      </c>
      <c r="I124" s="8">
        <v>5416</v>
      </c>
    </row>
    <row r="125" spans="1:9" x14ac:dyDescent="0.3">
      <c r="A125" s="11" t="s">
        <v>115</v>
      </c>
      <c r="F125">
        <v>1808</v>
      </c>
      <c r="G125">
        <v>1896</v>
      </c>
      <c r="H125" s="8">
        <v>2347</v>
      </c>
      <c r="I125" s="8">
        <v>1938</v>
      </c>
    </row>
    <row r="126" spans="1:9" x14ac:dyDescent="0.3">
      <c r="A126" s="11" t="s">
        <v>116</v>
      </c>
      <c r="F126">
        <v>138</v>
      </c>
      <c r="G126">
        <v>148</v>
      </c>
      <c r="H126">
        <v>195</v>
      </c>
      <c r="I126">
        <v>193</v>
      </c>
    </row>
    <row r="127" spans="1:9" x14ac:dyDescent="0.3">
      <c r="A127" s="2" t="s">
        <v>107</v>
      </c>
      <c r="B127" s="3">
        <v>4653</v>
      </c>
      <c r="C127" s="3">
        <v>4570</v>
      </c>
      <c r="D127" s="3">
        <v>5009</v>
      </c>
      <c r="E127" s="3">
        <v>5166</v>
      </c>
      <c r="F127" s="3">
        <v>5254</v>
      </c>
      <c r="G127" s="3">
        <v>5028</v>
      </c>
      <c r="H127" s="3">
        <f t="shared" ref="H127" si="24">+SUM(H128:H130)</f>
        <v>5343</v>
      </c>
      <c r="I127" s="3">
        <f>+SUM(I128:I130)</f>
        <v>5955</v>
      </c>
    </row>
    <row r="128" spans="1:9" x14ac:dyDescent="0.3">
      <c r="A128" s="11" t="s">
        <v>114</v>
      </c>
      <c r="F128">
        <v>3622</v>
      </c>
      <c r="G128">
        <v>3449</v>
      </c>
      <c r="H128" s="8">
        <v>3659</v>
      </c>
      <c r="I128" s="8">
        <v>4111</v>
      </c>
    </row>
    <row r="129" spans="1:9" x14ac:dyDescent="0.3">
      <c r="A129" s="11" t="s">
        <v>115</v>
      </c>
      <c r="F129">
        <v>1395</v>
      </c>
      <c r="G129">
        <v>1365</v>
      </c>
      <c r="H129" s="8">
        <v>1494</v>
      </c>
      <c r="I129" s="8">
        <v>1610</v>
      </c>
    </row>
    <row r="130" spans="1:9" x14ac:dyDescent="0.3">
      <c r="A130" s="11" t="s">
        <v>116</v>
      </c>
      <c r="F130">
        <v>237</v>
      </c>
      <c r="G130">
        <v>214</v>
      </c>
      <c r="H130">
        <v>190</v>
      </c>
      <c r="I130">
        <v>234</v>
      </c>
    </row>
    <row r="131" spans="1:9" x14ac:dyDescent="0.3">
      <c r="A131" s="2" t="s">
        <v>108</v>
      </c>
      <c r="B131" s="3">
        <v>115</v>
      </c>
      <c r="C131" s="3">
        <v>73</v>
      </c>
      <c r="D131" s="3">
        <v>73</v>
      </c>
      <c r="E131" s="3">
        <v>88</v>
      </c>
      <c r="F131" s="3">
        <v>42</v>
      </c>
      <c r="G131" s="3">
        <v>30</v>
      </c>
      <c r="H131" s="3">
        <v>25</v>
      </c>
      <c r="I131" s="3">
        <v>102</v>
      </c>
    </row>
    <row r="132" spans="1:9" x14ac:dyDescent="0.3">
      <c r="A132" s="4" t="s">
        <v>104</v>
      </c>
      <c r="B132" s="5">
        <f t="shared" ref="B132:I132" si="25">+B115+B119+B123+B127+B131</f>
        <v>28701</v>
      </c>
      <c r="C132" s="5">
        <f t="shared" si="25"/>
        <v>30507</v>
      </c>
      <c r="D132" s="5">
        <f t="shared" si="25"/>
        <v>32233</v>
      </c>
      <c r="E132" s="5">
        <f t="shared" si="25"/>
        <v>34485</v>
      </c>
      <c r="F132" s="5">
        <f t="shared" si="25"/>
        <v>37218</v>
      </c>
      <c r="G132" s="5">
        <f t="shared" si="25"/>
        <v>35568</v>
      </c>
      <c r="H132" s="5">
        <f t="shared" si="25"/>
        <v>42293</v>
      </c>
      <c r="I132" s="5">
        <f t="shared" si="25"/>
        <v>44436</v>
      </c>
    </row>
    <row r="133" spans="1:9" x14ac:dyDescent="0.3">
      <c r="A133" s="2" t="s">
        <v>105</v>
      </c>
      <c r="B133" s="3">
        <v>1982</v>
      </c>
      <c r="C133" s="3">
        <v>1955</v>
      </c>
      <c r="D133" s="3">
        <v>2042</v>
      </c>
      <c r="E133" s="3">
        <v>1912</v>
      </c>
      <c r="F133" s="3">
        <v>1906</v>
      </c>
      <c r="G133" s="3">
        <v>1846</v>
      </c>
      <c r="H133" s="3">
        <f>+SUM(H134:H137)</f>
        <v>2205</v>
      </c>
      <c r="I133" s="3">
        <f>+SUM(I134:I137)</f>
        <v>2346</v>
      </c>
    </row>
    <row r="134" spans="1:9" x14ac:dyDescent="0.3">
      <c r="A134" s="11" t="s">
        <v>114</v>
      </c>
      <c r="B134" s="3"/>
      <c r="C134" s="3"/>
      <c r="D134" s="3"/>
      <c r="E134" s="3"/>
      <c r="F134" s="3">
        <v>1658</v>
      </c>
      <c r="G134" s="3">
        <v>-11</v>
      </c>
      <c r="H134" s="3">
        <v>1986</v>
      </c>
      <c r="I134" s="3">
        <v>2094</v>
      </c>
    </row>
    <row r="135" spans="1:9" x14ac:dyDescent="0.3">
      <c r="A135" s="11" t="s">
        <v>115</v>
      </c>
      <c r="B135" s="3"/>
      <c r="C135" s="3"/>
      <c r="D135" s="3"/>
      <c r="E135" s="3"/>
      <c r="F135" s="3">
        <v>118</v>
      </c>
      <c r="G135" s="3"/>
      <c r="H135" s="3">
        <v>104</v>
      </c>
      <c r="I135" s="3">
        <v>103</v>
      </c>
    </row>
    <row r="136" spans="1:9" x14ac:dyDescent="0.3">
      <c r="A136" s="11" t="s">
        <v>116</v>
      </c>
      <c r="B136" s="3"/>
      <c r="C136" s="3"/>
      <c r="D136" s="3"/>
      <c r="E136" s="3"/>
      <c r="F136" s="3">
        <v>24</v>
      </c>
      <c r="G136" s="3"/>
      <c r="H136" s="3">
        <v>29</v>
      </c>
      <c r="I136" s="3">
        <v>26</v>
      </c>
    </row>
    <row r="137" spans="1:9" x14ac:dyDescent="0.3">
      <c r="A137" s="11" t="s">
        <v>122</v>
      </c>
      <c r="B137" s="3"/>
      <c r="C137" s="3"/>
      <c r="D137" s="3"/>
      <c r="E137" s="3"/>
      <c r="F137" s="3">
        <v>106</v>
      </c>
      <c r="G137" s="3"/>
      <c r="H137" s="3">
        <v>86</v>
      </c>
      <c r="I137" s="3">
        <v>123</v>
      </c>
    </row>
    <row r="138" spans="1:9" x14ac:dyDescent="0.3">
      <c r="A138" s="2" t="s">
        <v>109</v>
      </c>
      <c r="B138" s="3">
        <v>-82</v>
      </c>
      <c r="C138" s="3">
        <v>-86</v>
      </c>
      <c r="D138" s="3">
        <v>75</v>
      </c>
      <c r="E138" s="3"/>
      <c r="F138" s="3">
        <v>-7</v>
      </c>
      <c r="G138" s="3"/>
      <c r="H138" s="3">
        <v>40</v>
      </c>
      <c r="I138" s="3">
        <v>-72</v>
      </c>
    </row>
    <row r="139" spans="1:9" ht="15" thickBot="1" x14ac:dyDescent="0.35">
      <c r="A139" s="6" t="s">
        <v>106</v>
      </c>
      <c r="B139" s="7">
        <f t="shared" ref="B139:H139" si="26">+B132+B133+B138</f>
        <v>30601</v>
      </c>
      <c r="C139" s="7">
        <f t="shared" si="26"/>
        <v>32376</v>
      </c>
      <c r="D139" s="7">
        <f t="shared" si="26"/>
        <v>34350</v>
      </c>
      <c r="E139" s="7">
        <f t="shared" si="26"/>
        <v>36397</v>
      </c>
      <c r="F139" s="7">
        <f t="shared" si="26"/>
        <v>39117</v>
      </c>
      <c r="G139" s="7">
        <f>+G132+G133+G134</f>
        <v>37403</v>
      </c>
      <c r="H139" s="7">
        <f t="shared" si="26"/>
        <v>44538</v>
      </c>
      <c r="I139" s="7">
        <f>+I132+I133+I138</f>
        <v>46710</v>
      </c>
    </row>
    <row r="140" spans="1:9" s="12" customFormat="1" ht="15" thickTop="1" x14ac:dyDescent="0.3">
      <c r="A140" s="12" t="s">
        <v>112</v>
      </c>
      <c r="B140" s="13">
        <f>+I139-I2</f>
        <v>0</v>
      </c>
      <c r="C140" s="13">
        <f t="shared" ref="C140:H140" si="27">+C139-C2</f>
        <v>0</v>
      </c>
      <c r="D140" s="13">
        <f t="shared" si="27"/>
        <v>0</v>
      </c>
      <c r="E140" s="13">
        <f t="shared" si="27"/>
        <v>0</v>
      </c>
      <c r="F140" s="13">
        <f t="shared" si="27"/>
        <v>0</v>
      </c>
      <c r="G140" s="13">
        <f t="shared" si="27"/>
        <v>0</v>
      </c>
      <c r="H140" s="13">
        <f t="shared" si="27"/>
        <v>0</v>
      </c>
    </row>
    <row r="141" spans="1:9" x14ac:dyDescent="0.3">
      <c r="A141" s="1" t="s">
        <v>111</v>
      </c>
    </row>
    <row r="142" spans="1:9" x14ac:dyDescent="0.3">
      <c r="A142" s="2" t="s">
        <v>101</v>
      </c>
      <c r="B142" s="3">
        <v>3645</v>
      </c>
      <c r="C142" s="3">
        <v>3763</v>
      </c>
      <c r="D142" s="3">
        <v>3875</v>
      </c>
      <c r="E142" s="3">
        <v>3600</v>
      </c>
      <c r="F142" s="3">
        <v>3925</v>
      </c>
      <c r="G142" s="3">
        <v>2899</v>
      </c>
      <c r="H142" s="3">
        <v>5089</v>
      </c>
      <c r="I142" s="3">
        <v>5114</v>
      </c>
    </row>
    <row r="143" spans="1:9" x14ac:dyDescent="0.3">
      <c r="A143" s="2" t="s">
        <v>102</v>
      </c>
      <c r="B143" s="3">
        <v>1524</v>
      </c>
      <c r="C143" s="3">
        <v>1723</v>
      </c>
      <c r="D143" s="3">
        <v>1507</v>
      </c>
      <c r="E143" s="3">
        <v>1587</v>
      </c>
      <c r="F143" s="3">
        <v>1995</v>
      </c>
      <c r="G143" s="3">
        <v>1541</v>
      </c>
      <c r="H143" s="3">
        <v>2435</v>
      </c>
      <c r="I143" s="3">
        <v>3293</v>
      </c>
    </row>
    <row r="144" spans="1:9" x14ac:dyDescent="0.3">
      <c r="A144" s="2" t="s">
        <v>103</v>
      </c>
      <c r="B144" s="3">
        <v>993</v>
      </c>
      <c r="C144" s="3">
        <v>1372</v>
      </c>
      <c r="D144" s="3">
        <v>1507</v>
      </c>
      <c r="E144" s="3">
        <v>1807</v>
      </c>
      <c r="F144" s="3">
        <v>2376</v>
      </c>
      <c r="G144" s="3">
        <v>2490</v>
      </c>
      <c r="H144" s="3">
        <v>3243</v>
      </c>
      <c r="I144" s="3">
        <v>2365</v>
      </c>
    </row>
    <row r="145" spans="1:9" x14ac:dyDescent="0.3">
      <c r="A145" s="2" t="s">
        <v>107</v>
      </c>
      <c r="B145" s="3">
        <v>918</v>
      </c>
      <c r="C145" s="3">
        <v>1066</v>
      </c>
      <c r="D145" s="3">
        <v>980</v>
      </c>
      <c r="E145" s="3">
        <v>1189</v>
      </c>
      <c r="F145" s="3">
        <v>1323</v>
      </c>
      <c r="G145" s="3">
        <v>1184</v>
      </c>
      <c r="H145" s="3">
        <v>1530</v>
      </c>
      <c r="I145" s="3">
        <v>1896</v>
      </c>
    </row>
    <row r="146" spans="1:9" x14ac:dyDescent="0.3">
      <c r="A146" s="2" t="s">
        <v>108</v>
      </c>
      <c r="B146" s="3">
        <v>-2267</v>
      </c>
      <c r="C146" s="3">
        <v>-2596</v>
      </c>
      <c r="D146" s="3">
        <v>-2677</v>
      </c>
      <c r="E146" s="3">
        <v>-2658</v>
      </c>
      <c r="F146" s="3">
        <v>-3262</v>
      </c>
      <c r="G146" s="3">
        <v>-3468</v>
      </c>
      <c r="H146" s="3">
        <v>-3656</v>
      </c>
      <c r="I146" s="3">
        <v>-4262</v>
      </c>
    </row>
    <row r="147" spans="1:9" x14ac:dyDescent="0.3">
      <c r="A147" s="4" t="s">
        <v>104</v>
      </c>
      <c r="B147" s="5">
        <f t="shared" ref="B147:I147" si="28">+SUM(B142:B146)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3">
      <c r="A148" s="2" t="s">
        <v>105</v>
      </c>
      <c r="B148" s="3">
        <v>517</v>
      </c>
      <c r="C148" s="3">
        <v>487</v>
      </c>
      <c r="D148" s="3">
        <v>477</v>
      </c>
      <c r="E148" s="3">
        <v>310</v>
      </c>
      <c r="F148" s="3">
        <v>303</v>
      </c>
      <c r="G148" s="3">
        <v>297</v>
      </c>
      <c r="H148" s="3">
        <v>543</v>
      </c>
      <c r="I148" s="3">
        <v>669</v>
      </c>
    </row>
    <row r="149" spans="1:9" x14ac:dyDescent="0.3">
      <c r="A149" s="2" t="s">
        <v>109</v>
      </c>
      <c r="B149" s="3">
        <v>-1097</v>
      </c>
      <c r="C149" s="3">
        <v>-1173</v>
      </c>
      <c r="D149" s="3">
        <v>-724</v>
      </c>
      <c r="E149" s="3">
        <v>-1456</v>
      </c>
      <c r="F149" s="3">
        <v>-1810</v>
      </c>
      <c r="G149" s="3">
        <v>-1967</v>
      </c>
      <c r="H149" s="3">
        <v>-2261</v>
      </c>
      <c r="I149" s="3">
        <v>-2219</v>
      </c>
    </row>
    <row r="150" spans="1:9" x14ac:dyDescent="0.3">
      <c r="A150" s="2" t="s">
        <v>152</v>
      </c>
      <c r="B150" s="3"/>
      <c r="C150" s="3"/>
      <c r="D150" s="3">
        <f>D147+D148+D149</f>
        <v>4945</v>
      </c>
      <c r="E150" s="3"/>
      <c r="F150" s="3"/>
      <c r="G150" s="3"/>
      <c r="H150" s="3"/>
      <c r="I150" s="3"/>
    </row>
    <row r="151" spans="1:9" x14ac:dyDescent="0.3">
      <c r="A151" s="2" t="s">
        <v>153</v>
      </c>
      <c r="B151" s="3"/>
      <c r="C151" s="3"/>
      <c r="D151" s="3">
        <v>-59</v>
      </c>
      <c r="E151" s="3">
        <v>-54</v>
      </c>
      <c r="F151" s="3">
        <v>-49</v>
      </c>
      <c r="G151" s="3"/>
      <c r="H151" s="3"/>
      <c r="I151" s="3"/>
    </row>
    <row r="152" spans="1:9" ht="15" thickBot="1" x14ac:dyDescent="0.35">
      <c r="A152" s="6" t="s">
        <v>113</v>
      </c>
      <c r="B152" s="7">
        <f t="shared" ref="B152" si="29">+SUM(B147:B149)</f>
        <v>4233</v>
      </c>
      <c r="C152" s="7">
        <f t="shared" ref="C152" si="30">+SUM(C147:C149)</f>
        <v>4642</v>
      </c>
      <c r="D152" s="7">
        <f t="shared" ref="D152" si="31">+SUM(D147:D149)</f>
        <v>4945</v>
      </c>
      <c r="E152" s="7">
        <f t="shared" ref="E152" si="32">+SUM(E147:E149)</f>
        <v>4379</v>
      </c>
      <c r="F152" s="7">
        <f t="shared" ref="F152" si="33">+SUM(F147:F149)</f>
        <v>4850</v>
      </c>
      <c r="G152" s="7">
        <f t="shared" ref="G152" si="34">+SUM(G147:G149)</f>
        <v>2976</v>
      </c>
      <c r="H152" s="7">
        <f t="shared" ref="H152" si="35">+SUM(H147:H149)</f>
        <v>6923</v>
      </c>
      <c r="I152" s="7">
        <f>+SUM(I147:I149)</f>
        <v>6856</v>
      </c>
    </row>
    <row r="153" spans="1:9" s="12" customFormat="1" ht="15" thickTop="1" x14ac:dyDescent="0.3">
      <c r="A153" s="12" t="s">
        <v>112</v>
      </c>
      <c r="B153" s="13">
        <f t="shared" ref="B153:I153" si="36">+B152-B10-B8</f>
        <v>0</v>
      </c>
      <c r="C153" s="13">
        <f t="shared" si="36"/>
        <v>0</v>
      </c>
      <c r="D153" s="13">
        <f t="shared" si="36"/>
        <v>0</v>
      </c>
      <c r="E153" s="13">
        <f t="shared" si="36"/>
        <v>0</v>
      </c>
      <c r="F153" s="13">
        <f t="shared" si="36"/>
        <v>0</v>
      </c>
      <c r="G153" s="13">
        <f t="shared" si="36"/>
        <v>0</v>
      </c>
      <c r="H153" s="13">
        <f t="shared" si="36"/>
        <v>0</v>
      </c>
      <c r="I153" s="13">
        <f t="shared" si="36"/>
        <v>0</v>
      </c>
    </row>
    <row r="154" spans="1:9" x14ac:dyDescent="0.3">
      <c r="A154" s="1" t="s">
        <v>118</v>
      </c>
    </row>
    <row r="155" spans="1:9" x14ac:dyDescent="0.3">
      <c r="A155" s="2" t="s">
        <v>101</v>
      </c>
      <c r="B155" s="3">
        <v>632</v>
      </c>
      <c r="C155" s="3">
        <v>742</v>
      </c>
      <c r="D155" s="3">
        <v>819</v>
      </c>
      <c r="E155" s="3">
        <v>848</v>
      </c>
      <c r="F155" s="3">
        <v>814</v>
      </c>
      <c r="G155" s="3">
        <v>645</v>
      </c>
      <c r="H155" s="3">
        <v>617</v>
      </c>
      <c r="I155" s="3">
        <v>639</v>
      </c>
    </row>
    <row r="156" spans="1:9" x14ac:dyDescent="0.3">
      <c r="A156" s="2" t="s">
        <v>102</v>
      </c>
      <c r="B156" s="3">
        <v>498</v>
      </c>
      <c r="C156" s="3">
        <v>639</v>
      </c>
      <c r="D156" s="3">
        <v>709</v>
      </c>
      <c r="E156" s="3">
        <v>849</v>
      </c>
      <c r="F156" s="3">
        <v>929</v>
      </c>
      <c r="G156" s="3">
        <v>885</v>
      </c>
      <c r="H156" s="3">
        <v>982</v>
      </c>
      <c r="I156" s="3">
        <v>920</v>
      </c>
    </row>
    <row r="157" spans="1:9" x14ac:dyDescent="0.3">
      <c r="A157" s="2" t="s">
        <v>103</v>
      </c>
      <c r="B157" s="3">
        <v>254</v>
      </c>
      <c r="C157" s="3">
        <v>234</v>
      </c>
      <c r="D157" s="3">
        <v>225</v>
      </c>
      <c r="E157" s="3">
        <v>256</v>
      </c>
      <c r="F157" s="3">
        <v>237</v>
      </c>
      <c r="G157" s="3">
        <v>214</v>
      </c>
      <c r="H157" s="3">
        <v>288</v>
      </c>
      <c r="I157" s="3">
        <v>303</v>
      </c>
    </row>
    <row r="158" spans="1:9" x14ac:dyDescent="0.3">
      <c r="A158" s="2" t="s">
        <v>119</v>
      </c>
      <c r="B158" s="3">
        <v>308</v>
      </c>
      <c r="C158" s="3">
        <v>332</v>
      </c>
      <c r="D158" s="3">
        <v>340</v>
      </c>
      <c r="E158" s="3">
        <v>339</v>
      </c>
      <c r="F158" s="3">
        <v>326</v>
      </c>
      <c r="G158" s="3">
        <v>296</v>
      </c>
      <c r="H158" s="3">
        <v>304</v>
      </c>
      <c r="I158" s="3">
        <v>274</v>
      </c>
    </row>
    <row r="159" spans="1:9" x14ac:dyDescent="0.3">
      <c r="A159" s="2" t="s">
        <v>108</v>
      </c>
      <c r="B159" s="3">
        <v>484</v>
      </c>
      <c r="C159" s="3">
        <v>511</v>
      </c>
      <c r="D159" s="3">
        <v>533</v>
      </c>
      <c r="E159" s="3">
        <v>597</v>
      </c>
      <c r="F159" s="3">
        <v>665</v>
      </c>
      <c r="G159" s="3">
        <v>830</v>
      </c>
      <c r="H159" s="3">
        <v>780</v>
      </c>
      <c r="I159" s="3">
        <v>789</v>
      </c>
    </row>
    <row r="160" spans="1:9" x14ac:dyDescent="0.3">
      <c r="A160" s="4" t="s">
        <v>120</v>
      </c>
      <c r="B160" s="5">
        <f t="shared" ref="B160:I160" si="37">+SUM(B155:B159)</f>
        <v>2176</v>
      </c>
      <c r="C160" s="5">
        <f t="shared" si="37"/>
        <v>2458</v>
      </c>
      <c r="D160" s="5">
        <f t="shared" si="37"/>
        <v>2626</v>
      </c>
      <c r="E160" s="5">
        <f t="shared" si="37"/>
        <v>2889</v>
      </c>
      <c r="F160" s="5">
        <f t="shared" si="37"/>
        <v>2971</v>
      </c>
      <c r="G160" s="5">
        <f t="shared" si="37"/>
        <v>2870</v>
      </c>
      <c r="H160" s="5">
        <f t="shared" si="37"/>
        <v>2971</v>
      </c>
      <c r="I160" s="5">
        <f t="shared" si="37"/>
        <v>2925</v>
      </c>
    </row>
    <row r="161" spans="1:9" x14ac:dyDescent="0.3">
      <c r="A161" s="2" t="s">
        <v>105</v>
      </c>
      <c r="B161" s="3">
        <v>122</v>
      </c>
      <c r="C161" s="3">
        <v>125</v>
      </c>
      <c r="D161" s="3">
        <v>125</v>
      </c>
      <c r="E161" s="3">
        <v>115</v>
      </c>
      <c r="F161" s="3">
        <v>100</v>
      </c>
      <c r="G161" s="3">
        <v>80</v>
      </c>
      <c r="H161" s="3">
        <v>63</v>
      </c>
      <c r="I161" s="3">
        <v>49</v>
      </c>
    </row>
    <row r="162" spans="1:9" x14ac:dyDescent="0.3">
      <c r="A162" s="2" t="s">
        <v>109</v>
      </c>
      <c r="B162" s="3">
        <v>713</v>
      </c>
      <c r="C162" s="3">
        <v>937</v>
      </c>
      <c r="D162" s="3">
        <v>1238</v>
      </c>
      <c r="E162" s="3">
        <v>1450</v>
      </c>
      <c r="F162" s="3">
        <v>1673</v>
      </c>
      <c r="G162" s="3">
        <v>1916</v>
      </c>
      <c r="H162" s="3">
        <v>1870</v>
      </c>
      <c r="I162" s="3">
        <v>1817</v>
      </c>
    </row>
    <row r="163" spans="1:9" ht="15" thickBot="1" x14ac:dyDescent="0.35">
      <c r="A163" s="6" t="s">
        <v>121</v>
      </c>
      <c r="B163" s="7">
        <f t="shared" ref="B163:H163" si="38">+SUM(B160:B162)</f>
        <v>3011</v>
      </c>
      <c r="C163" s="7">
        <f t="shared" si="38"/>
        <v>3520</v>
      </c>
      <c r="D163" s="7">
        <f t="shared" si="38"/>
        <v>3989</v>
      </c>
      <c r="E163" s="7">
        <f t="shared" si="38"/>
        <v>4454</v>
      </c>
      <c r="F163" s="7">
        <f t="shared" si="38"/>
        <v>4744</v>
      </c>
      <c r="G163" s="7">
        <f t="shared" si="38"/>
        <v>4866</v>
      </c>
      <c r="H163" s="7">
        <f t="shared" si="38"/>
        <v>4904</v>
      </c>
      <c r="I163" s="7">
        <f>+SUM(I160:I162)</f>
        <v>4791</v>
      </c>
    </row>
    <row r="164" spans="1:9" ht="15" thickTop="1" x14ac:dyDescent="0.3">
      <c r="A164" s="12" t="s">
        <v>112</v>
      </c>
      <c r="B164" s="13">
        <f t="shared" ref="B164:I164" si="39">+B163-B32</f>
        <v>0</v>
      </c>
      <c r="C164" s="13">
        <f t="shared" si="39"/>
        <v>0</v>
      </c>
      <c r="D164" s="13">
        <f t="shared" si="39"/>
        <v>0</v>
      </c>
      <c r="E164" s="13">
        <f t="shared" si="39"/>
        <v>0</v>
      </c>
      <c r="F164" s="13">
        <f t="shared" si="39"/>
        <v>0</v>
      </c>
      <c r="G164" s="13">
        <f t="shared" si="39"/>
        <v>0</v>
      </c>
      <c r="H164" s="13">
        <f t="shared" si="39"/>
        <v>0</v>
      </c>
      <c r="I164" s="13">
        <f t="shared" si="39"/>
        <v>0</v>
      </c>
    </row>
    <row r="165" spans="1:9" x14ac:dyDescent="0.3">
      <c r="A165" s="1" t="s">
        <v>123</v>
      </c>
    </row>
    <row r="166" spans="1:9" x14ac:dyDescent="0.3">
      <c r="A166" s="2" t="s">
        <v>101</v>
      </c>
      <c r="B166" s="3">
        <v>208</v>
      </c>
      <c r="C166" s="3">
        <v>242</v>
      </c>
      <c r="D166" s="3">
        <v>223</v>
      </c>
      <c r="E166" s="3">
        <v>196</v>
      </c>
      <c r="F166" s="3">
        <v>117</v>
      </c>
      <c r="G166" s="3">
        <v>110</v>
      </c>
      <c r="H166" s="3">
        <v>98</v>
      </c>
      <c r="I166" s="3">
        <v>146</v>
      </c>
    </row>
    <row r="167" spans="1:9" x14ac:dyDescent="0.3">
      <c r="A167" s="2" t="s">
        <v>102</v>
      </c>
      <c r="B167" s="3">
        <v>236</v>
      </c>
      <c r="C167" s="3">
        <v>232</v>
      </c>
      <c r="D167" s="3">
        <v>173</v>
      </c>
      <c r="E167" s="3">
        <v>240</v>
      </c>
      <c r="F167" s="3">
        <v>233</v>
      </c>
      <c r="G167" s="3">
        <v>139</v>
      </c>
      <c r="H167" s="3">
        <v>153</v>
      </c>
      <c r="I167" s="3">
        <v>197</v>
      </c>
    </row>
    <row r="168" spans="1:9" x14ac:dyDescent="0.3">
      <c r="A168" s="2" t="s">
        <v>103</v>
      </c>
      <c r="B168" s="3">
        <v>69</v>
      </c>
      <c r="C168" s="3">
        <v>44</v>
      </c>
      <c r="D168" s="3">
        <v>51</v>
      </c>
      <c r="E168" s="3">
        <v>76</v>
      </c>
      <c r="F168" s="3">
        <v>49</v>
      </c>
      <c r="G168" s="3">
        <v>28</v>
      </c>
      <c r="H168" s="3">
        <v>94</v>
      </c>
      <c r="I168" s="3">
        <v>78</v>
      </c>
    </row>
    <row r="169" spans="1:9" x14ac:dyDescent="0.3">
      <c r="A169" s="2" t="s">
        <v>119</v>
      </c>
      <c r="B169" s="3">
        <v>52</v>
      </c>
      <c r="C169" s="3">
        <v>64</v>
      </c>
      <c r="D169" s="3">
        <v>59</v>
      </c>
      <c r="E169" s="3">
        <v>49</v>
      </c>
      <c r="F169" s="3">
        <v>47</v>
      </c>
      <c r="G169" s="3">
        <v>41</v>
      </c>
      <c r="H169" s="3">
        <v>54</v>
      </c>
      <c r="I169" s="3">
        <v>56</v>
      </c>
    </row>
    <row r="170" spans="1:9" x14ac:dyDescent="0.3">
      <c r="A170" s="2" t="s">
        <v>108</v>
      </c>
      <c r="B170" s="3">
        <v>225</v>
      </c>
      <c r="C170" s="3">
        <v>258</v>
      </c>
      <c r="D170" s="3">
        <v>278</v>
      </c>
      <c r="E170" s="3">
        <v>286</v>
      </c>
      <c r="F170" s="3">
        <v>278</v>
      </c>
      <c r="G170" s="3">
        <v>438</v>
      </c>
      <c r="H170" s="3">
        <v>278</v>
      </c>
      <c r="I170" s="3">
        <v>222</v>
      </c>
    </row>
    <row r="171" spans="1:9" x14ac:dyDescent="0.3">
      <c r="A171" s="4" t="s">
        <v>120</v>
      </c>
      <c r="B171" s="5">
        <f t="shared" ref="B171:I171" si="40">+SUM(B166:B170)</f>
        <v>790</v>
      </c>
      <c r="C171" s="5">
        <f t="shared" si="40"/>
        <v>840</v>
      </c>
      <c r="D171" s="5">
        <f t="shared" si="40"/>
        <v>784</v>
      </c>
      <c r="E171" s="5">
        <f t="shared" si="40"/>
        <v>847</v>
      </c>
      <c r="F171" s="5">
        <f t="shared" si="40"/>
        <v>724</v>
      </c>
      <c r="G171" s="5">
        <f t="shared" si="40"/>
        <v>756</v>
      </c>
      <c r="H171" s="5">
        <f t="shared" si="40"/>
        <v>677</v>
      </c>
      <c r="I171" s="5">
        <f t="shared" si="40"/>
        <v>699</v>
      </c>
    </row>
    <row r="172" spans="1:9" x14ac:dyDescent="0.3">
      <c r="A172" s="2" t="s">
        <v>105</v>
      </c>
      <c r="B172" s="3">
        <v>69</v>
      </c>
      <c r="C172" s="3">
        <v>39</v>
      </c>
      <c r="D172" s="3">
        <v>30</v>
      </c>
      <c r="E172" s="3">
        <v>22</v>
      </c>
      <c r="F172" s="3">
        <v>18</v>
      </c>
      <c r="G172" s="3">
        <v>12</v>
      </c>
      <c r="H172" s="3">
        <v>7</v>
      </c>
      <c r="I172" s="3">
        <v>9</v>
      </c>
    </row>
    <row r="173" spans="1:9" x14ac:dyDescent="0.3">
      <c r="A173" s="2" t="s">
        <v>109</v>
      </c>
      <c r="B173" s="3">
        <v>144</v>
      </c>
      <c r="C173" s="3">
        <v>312</v>
      </c>
      <c r="D173" s="3">
        <v>387</v>
      </c>
      <c r="E173" s="3">
        <v>325</v>
      </c>
      <c r="F173" s="3">
        <v>333</v>
      </c>
      <c r="G173" s="3">
        <v>356</v>
      </c>
      <c r="H173" s="3">
        <f t="shared" ref="H173" si="41">-(SUM(H171:H172)+H82)</f>
        <v>11</v>
      </c>
      <c r="I173" s="3">
        <f>-(SUM(I171:I172)+I82)</f>
        <v>50</v>
      </c>
    </row>
    <row r="174" spans="1:9" ht="15" thickBot="1" x14ac:dyDescent="0.35">
      <c r="A174" s="6" t="s">
        <v>124</v>
      </c>
      <c r="B174" s="7">
        <f t="shared" ref="B174:H174" si="42">+SUM(B171:B173)</f>
        <v>1003</v>
      </c>
      <c r="C174" s="7">
        <f t="shared" si="42"/>
        <v>1191</v>
      </c>
      <c r="D174" s="7">
        <f t="shared" si="42"/>
        <v>1201</v>
      </c>
      <c r="E174" s="7">
        <f t="shared" si="42"/>
        <v>1194</v>
      </c>
      <c r="F174" s="7">
        <f t="shared" si="42"/>
        <v>1075</v>
      </c>
      <c r="G174" s="7">
        <f t="shared" si="42"/>
        <v>1124</v>
      </c>
      <c r="H174" s="7">
        <f t="shared" si="42"/>
        <v>695</v>
      </c>
      <c r="I174" s="7">
        <f>+SUM(I171:I173)</f>
        <v>758</v>
      </c>
    </row>
    <row r="175" spans="1:9" ht="15" thickTop="1" x14ac:dyDescent="0.3">
      <c r="A175" s="12" t="s">
        <v>112</v>
      </c>
      <c r="B175" s="13">
        <f t="shared" ref="B175:H175" si="43">+B174+B82</f>
        <v>40</v>
      </c>
      <c r="C175" s="13">
        <f t="shared" si="43"/>
        <v>48</v>
      </c>
      <c r="D175" s="13">
        <f t="shared" si="43"/>
        <v>96</v>
      </c>
      <c r="E175" s="13">
        <f t="shared" si="43"/>
        <v>166</v>
      </c>
      <c r="F175" s="13">
        <f t="shared" si="43"/>
        <v>-44</v>
      </c>
      <c r="G175" s="13">
        <f t="shared" si="43"/>
        <v>38</v>
      </c>
      <c r="H175" s="13">
        <f t="shared" si="43"/>
        <v>0</v>
      </c>
      <c r="I175" s="13">
        <f>+I174+I82</f>
        <v>0</v>
      </c>
    </row>
    <row r="176" spans="1:9" x14ac:dyDescent="0.3">
      <c r="A176" s="1" t="s">
        <v>125</v>
      </c>
    </row>
    <row r="177" spans="1:9" x14ac:dyDescent="0.3">
      <c r="A177" s="2" t="s">
        <v>101</v>
      </c>
      <c r="B177" s="3">
        <v>121</v>
      </c>
      <c r="C177" s="3">
        <v>133</v>
      </c>
      <c r="D177" s="3">
        <v>140</v>
      </c>
      <c r="E177" s="3">
        <v>160</v>
      </c>
      <c r="F177" s="3">
        <v>149</v>
      </c>
      <c r="G177" s="3">
        <v>148</v>
      </c>
      <c r="H177" s="3">
        <v>130</v>
      </c>
      <c r="I177" s="3">
        <v>124</v>
      </c>
    </row>
    <row r="178" spans="1:9" x14ac:dyDescent="0.3">
      <c r="A178" s="2" t="s">
        <v>102</v>
      </c>
      <c r="B178" s="3">
        <v>87</v>
      </c>
      <c r="C178" s="3">
        <v>85</v>
      </c>
      <c r="D178" s="3">
        <v>106</v>
      </c>
      <c r="E178" s="3">
        <v>116</v>
      </c>
      <c r="F178" s="3">
        <v>111</v>
      </c>
      <c r="G178" s="3">
        <v>132</v>
      </c>
      <c r="H178" s="3">
        <v>136</v>
      </c>
      <c r="I178" s="3">
        <v>134</v>
      </c>
    </row>
    <row r="179" spans="1:9" x14ac:dyDescent="0.3">
      <c r="A179" s="2" t="s">
        <v>103</v>
      </c>
      <c r="B179" s="3">
        <v>46</v>
      </c>
      <c r="C179" s="3">
        <v>48</v>
      </c>
      <c r="D179" s="3">
        <v>54</v>
      </c>
      <c r="E179" s="3">
        <v>56</v>
      </c>
      <c r="F179" s="3">
        <v>50</v>
      </c>
      <c r="G179" s="3">
        <v>44</v>
      </c>
      <c r="H179" s="3">
        <v>46</v>
      </c>
      <c r="I179" s="3">
        <v>41</v>
      </c>
    </row>
    <row r="180" spans="1:9" x14ac:dyDescent="0.3">
      <c r="A180" s="2" t="s">
        <v>107</v>
      </c>
      <c r="B180" s="3">
        <v>49</v>
      </c>
      <c r="C180" s="3">
        <v>42</v>
      </c>
      <c r="D180" s="3">
        <v>54</v>
      </c>
      <c r="E180" s="3">
        <v>55</v>
      </c>
      <c r="F180" s="3">
        <v>53</v>
      </c>
      <c r="G180" s="3">
        <v>46</v>
      </c>
      <c r="H180" s="3">
        <v>43</v>
      </c>
      <c r="I180" s="3">
        <v>42</v>
      </c>
    </row>
    <row r="181" spans="1:9" x14ac:dyDescent="0.3">
      <c r="A181" s="2" t="s">
        <v>108</v>
      </c>
      <c r="B181" s="3">
        <v>210</v>
      </c>
      <c r="C181" s="3">
        <v>230</v>
      </c>
      <c r="D181" s="3">
        <v>233</v>
      </c>
      <c r="E181" s="3">
        <v>217</v>
      </c>
      <c r="F181" s="3">
        <v>195</v>
      </c>
      <c r="G181" s="3">
        <v>214</v>
      </c>
      <c r="H181" s="3">
        <v>222</v>
      </c>
      <c r="I181" s="3">
        <v>220</v>
      </c>
    </row>
    <row r="182" spans="1:9" x14ac:dyDescent="0.3">
      <c r="A182" s="4" t="s">
        <v>120</v>
      </c>
      <c r="B182" s="5">
        <f t="shared" ref="B182:I182" si="44">+SUM(B177:B181)</f>
        <v>513</v>
      </c>
      <c r="C182" s="5">
        <f t="shared" si="44"/>
        <v>538</v>
      </c>
      <c r="D182" s="5">
        <f t="shared" si="44"/>
        <v>587</v>
      </c>
      <c r="E182" s="5">
        <f t="shared" si="44"/>
        <v>604</v>
      </c>
      <c r="F182" s="5">
        <f t="shared" si="44"/>
        <v>558</v>
      </c>
      <c r="G182" s="5">
        <f t="shared" si="44"/>
        <v>584</v>
      </c>
      <c r="H182" s="5">
        <f t="shared" si="44"/>
        <v>577</v>
      </c>
      <c r="I182" s="5">
        <f t="shared" si="44"/>
        <v>561</v>
      </c>
    </row>
    <row r="183" spans="1:9" x14ac:dyDescent="0.3">
      <c r="A183" s="2" t="s">
        <v>105</v>
      </c>
      <c r="B183" s="3">
        <v>18</v>
      </c>
      <c r="C183" s="3">
        <v>27</v>
      </c>
      <c r="D183" s="3">
        <v>28</v>
      </c>
      <c r="E183" s="3">
        <v>33</v>
      </c>
      <c r="F183" s="3">
        <v>31</v>
      </c>
      <c r="G183" s="3">
        <v>25</v>
      </c>
      <c r="H183" s="3">
        <v>26</v>
      </c>
      <c r="I183" s="3">
        <v>22</v>
      </c>
    </row>
    <row r="184" spans="1:9" x14ac:dyDescent="0.3">
      <c r="A184" s="2" t="s">
        <v>109</v>
      </c>
      <c r="B184" s="3">
        <v>75</v>
      </c>
      <c r="C184" s="3">
        <v>84</v>
      </c>
      <c r="D184" s="3">
        <v>91</v>
      </c>
      <c r="E184" s="3">
        <v>110</v>
      </c>
      <c r="F184" s="3">
        <v>116</v>
      </c>
      <c r="G184" s="3">
        <v>112</v>
      </c>
      <c r="H184" s="3">
        <v>141</v>
      </c>
      <c r="I184" s="3">
        <v>134</v>
      </c>
    </row>
    <row r="185" spans="1:9" ht="15" thickBot="1" x14ac:dyDescent="0.35">
      <c r="A185" s="6" t="s">
        <v>126</v>
      </c>
      <c r="B185" s="7">
        <f t="shared" ref="B185:H185" si="45">+SUM(B182:B184)</f>
        <v>606</v>
      </c>
      <c r="C185" s="7">
        <f t="shared" si="45"/>
        <v>649</v>
      </c>
      <c r="D185" s="7">
        <f t="shared" si="45"/>
        <v>706</v>
      </c>
      <c r="E185" s="7">
        <f t="shared" si="45"/>
        <v>747</v>
      </c>
      <c r="F185" s="7">
        <f t="shared" si="45"/>
        <v>705</v>
      </c>
      <c r="G185" s="7">
        <f t="shared" si="45"/>
        <v>721</v>
      </c>
      <c r="H185" s="7">
        <f t="shared" si="45"/>
        <v>744</v>
      </c>
      <c r="I185" s="7">
        <f>+SUM(I182:I184)</f>
        <v>717</v>
      </c>
    </row>
    <row r="186" spans="1:9" ht="15" thickTop="1" x14ac:dyDescent="0.3">
      <c r="A186" s="12" t="s">
        <v>112</v>
      </c>
      <c r="B186" s="13">
        <f t="shared" ref="B186:I186" si="46">+B185-B67</f>
        <v>0</v>
      </c>
      <c r="C186" s="13">
        <f t="shared" si="46"/>
        <v>0</v>
      </c>
      <c r="D186" s="13">
        <f t="shared" si="46"/>
        <v>0</v>
      </c>
      <c r="E186" s="13">
        <f t="shared" si="46"/>
        <v>0</v>
      </c>
      <c r="F186" s="13">
        <f t="shared" si="46"/>
        <v>0</v>
      </c>
      <c r="G186" s="13">
        <f t="shared" si="46"/>
        <v>0</v>
      </c>
      <c r="H186" s="13">
        <f t="shared" si="46"/>
        <v>0</v>
      </c>
      <c r="I186" s="13">
        <f t="shared" si="46"/>
        <v>0</v>
      </c>
    </row>
    <row r="187" spans="1:9" x14ac:dyDescent="0.3">
      <c r="A187" s="14" t="s">
        <v>127</v>
      </c>
      <c r="B187" s="14"/>
      <c r="C187" s="14"/>
      <c r="D187" s="14"/>
      <c r="E187" s="14"/>
      <c r="F187" s="14"/>
      <c r="G187" s="14"/>
      <c r="H187" s="14"/>
      <c r="I187" s="14"/>
    </row>
    <row r="188" spans="1:9" x14ac:dyDescent="0.3">
      <c r="A188" s="28" t="s">
        <v>128</v>
      </c>
    </row>
    <row r="189" spans="1:9" x14ac:dyDescent="0.3">
      <c r="A189" s="59" t="s">
        <v>101</v>
      </c>
      <c r="B189" s="58">
        <v>0.12</v>
      </c>
      <c r="C189" s="58">
        <f t="shared" ref="C189:G192" si="47">C115/B115-1</f>
        <v>7.4526928675400228E-2</v>
      </c>
      <c r="D189" s="58">
        <f t="shared" si="47"/>
        <v>3.0615009482525046E-2</v>
      </c>
      <c r="E189" s="58">
        <f t="shared" si="47"/>
        <v>-2.372502628811779E-2</v>
      </c>
      <c r="F189" s="58">
        <f t="shared" si="47"/>
        <v>7.0481319421070276E-2</v>
      </c>
      <c r="G189" s="58">
        <f t="shared" si="47"/>
        <v>-8.9171173437303519E-2</v>
      </c>
      <c r="H189" s="58">
        <f>H115/G115-1</f>
        <v>0.18606738470035911</v>
      </c>
      <c r="I189" s="61">
        <v>7.0000000000000007E-2</v>
      </c>
    </row>
    <row r="190" spans="1:9" x14ac:dyDescent="0.3">
      <c r="A190" s="31" t="s">
        <v>114</v>
      </c>
      <c r="B190" s="56"/>
      <c r="C190" s="56"/>
      <c r="D190" s="56"/>
      <c r="E190" s="56"/>
      <c r="F190" s="56"/>
      <c r="G190" s="56">
        <f>G116/F116-1</f>
        <v>-7.1279243404678949E-2</v>
      </c>
      <c r="H190" s="56">
        <f t="shared" ref="H190:H213" si="48">H116/G116-1</f>
        <v>0.24815092721620746</v>
      </c>
      <c r="I190" s="30">
        <v>0.05</v>
      </c>
    </row>
    <row r="191" spans="1:9" x14ac:dyDescent="0.3">
      <c r="A191" s="31" t="s">
        <v>115</v>
      </c>
      <c r="B191" s="56"/>
      <c r="C191" s="56"/>
      <c r="D191" s="56"/>
      <c r="E191" s="56"/>
      <c r="F191" s="56"/>
      <c r="G191" s="56">
        <f t="shared" si="47"/>
        <v>-0.11806083650190113</v>
      </c>
      <c r="H191" s="56">
        <f t="shared" si="48"/>
        <v>8.3854278939426541E-2</v>
      </c>
      <c r="I191" s="30">
        <v>0.09</v>
      </c>
    </row>
    <row r="192" spans="1:9" x14ac:dyDescent="0.3">
      <c r="A192" s="31" t="s">
        <v>116</v>
      </c>
      <c r="B192" s="56"/>
      <c r="C192" s="56"/>
      <c r="D192" s="56"/>
      <c r="E192" s="56"/>
      <c r="F192" s="56"/>
      <c r="G192" s="56">
        <f t="shared" si="47"/>
        <v>-0.13567839195979903</v>
      </c>
      <c r="H192" s="56">
        <f>H118/G118-1</f>
        <v>-1.744186046511631E-2</v>
      </c>
      <c r="I192" s="30">
        <v>0.25</v>
      </c>
    </row>
    <row r="193" spans="1:9" x14ac:dyDescent="0.3">
      <c r="A193" s="59" t="s">
        <v>102</v>
      </c>
      <c r="B193" s="58">
        <v>0.09</v>
      </c>
      <c r="C193" s="58">
        <f t="shared" ref="C193:G207" si="49">C119/B119-1</f>
        <v>2.6522593320235766E-2</v>
      </c>
      <c r="D193" s="58">
        <f t="shared" si="49"/>
        <v>5.2358168147641937E-2</v>
      </c>
      <c r="E193" s="58">
        <f t="shared" si="49"/>
        <v>0.20057157703299566</v>
      </c>
      <c r="F193" s="58">
        <f t="shared" si="49"/>
        <v>6.1674962129409261E-2</v>
      </c>
      <c r="G193" s="58">
        <f t="shared" si="49"/>
        <v>-4.7390949857317621E-2</v>
      </c>
      <c r="H193" s="58">
        <f>H119/G119-1</f>
        <v>0.22563389322777372</v>
      </c>
      <c r="I193" s="61">
        <v>0.12</v>
      </c>
    </row>
    <row r="194" spans="1:9" x14ac:dyDescent="0.3">
      <c r="A194" s="31" t="s">
        <v>114</v>
      </c>
      <c r="B194" s="56"/>
      <c r="C194" s="56"/>
      <c r="D194" s="56"/>
      <c r="E194" s="56"/>
      <c r="F194" s="56"/>
      <c r="G194" s="56">
        <f t="shared" si="49"/>
        <v>-6.3721595423486432E-2</v>
      </c>
      <c r="H194" s="56">
        <f t="shared" si="48"/>
        <v>0.18295994568907004</v>
      </c>
      <c r="I194" s="30">
        <v>0.09</v>
      </c>
    </row>
    <row r="195" spans="1:9" x14ac:dyDescent="0.3">
      <c r="A195" s="31" t="s">
        <v>115</v>
      </c>
      <c r="B195" s="56"/>
      <c r="C195" s="56"/>
      <c r="D195" s="56"/>
      <c r="E195" s="56"/>
      <c r="F195" s="56"/>
      <c r="G195" s="56">
        <f t="shared" si="49"/>
        <v>-1.1013929381276322E-2</v>
      </c>
      <c r="H195" s="56">
        <f t="shared" si="48"/>
        <v>0.30887651490337364</v>
      </c>
      <c r="I195" s="30">
        <v>0.16</v>
      </c>
    </row>
    <row r="196" spans="1:9" x14ac:dyDescent="0.3">
      <c r="A196" s="31" t="s">
        <v>116</v>
      </c>
      <c r="B196" s="56"/>
      <c r="C196" s="56"/>
      <c r="D196" s="56"/>
      <c r="E196" s="56"/>
      <c r="F196" s="56"/>
      <c r="G196" s="56">
        <f t="shared" si="49"/>
        <v>-6.944444444444442E-2</v>
      </c>
      <c r="H196" s="56">
        <f t="shared" si="48"/>
        <v>0.21890547263681581</v>
      </c>
      <c r="I196" s="30">
        <v>0.17</v>
      </c>
    </row>
    <row r="197" spans="1:9" x14ac:dyDescent="0.3">
      <c r="A197" s="59" t="s">
        <v>103</v>
      </c>
      <c r="B197" s="58">
        <v>0.18</v>
      </c>
      <c r="C197" s="58">
        <f t="shared" ref="C197:F197" si="50">C123/B123-1</f>
        <v>0.23410498858819695</v>
      </c>
      <c r="D197" s="58">
        <f t="shared" si="50"/>
        <v>0.11941875825627468</v>
      </c>
      <c r="E197" s="58">
        <f t="shared" si="50"/>
        <v>0.21170639603493036</v>
      </c>
      <c r="F197" s="58">
        <f t="shared" si="50"/>
        <v>0.20919361121932223</v>
      </c>
      <c r="G197" s="58">
        <f t="shared" si="49"/>
        <v>7.5869845360824639E-2</v>
      </c>
      <c r="H197" s="58">
        <f t="shared" si="48"/>
        <v>0.24120377301991325</v>
      </c>
      <c r="I197" s="61">
        <v>-0.13</v>
      </c>
    </row>
    <row r="198" spans="1:9" x14ac:dyDescent="0.3">
      <c r="A198" s="31" t="s">
        <v>114</v>
      </c>
      <c r="B198" s="56"/>
      <c r="C198" s="56"/>
      <c r="D198" s="56"/>
      <c r="E198" s="56"/>
      <c r="F198" s="56"/>
      <c r="G198" s="56">
        <f t="shared" si="49"/>
        <v>8.7517597372125833E-2</v>
      </c>
      <c r="H198" s="56">
        <f t="shared" si="48"/>
        <v>0.24012944983818763</v>
      </c>
      <c r="I198" s="30">
        <v>-0.1</v>
      </c>
    </row>
    <row r="199" spans="1:9" x14ac:dyDescent="0.3">
      <c r="A199" s="31" t="s">
        <v>115</v>
      </c>
      <c r="B199" s="56"/>
      <c r="C199" s="56"/>
      <c r="D199" s="56"/>
      <c r="E199" s="56"/>
      <c r="F199" s="56"/>
      <c r="G199" s="56">
        <f t="shared" si="49"/>
        <v>4.8672566371681381E-2</v>
      </c>
      <c r="H199" s="56">
        <f t="shared" si="48"/>
        <v>0.2378691983122363</v>
      </c>
      <c r="I199" s="30">
        <v>-0.21</v>
      </c>
    </row>
    <row r="200" spans="1:9" x14ac:dyDescent="0.3">
      <c r="A200" s="31" t="s">
        <v>116</v>
      </c>
      <c r="B200" s="56"/>
      <c r="C200" s="56"/>
      <c r="D200" s="56"/>
      <c r="E200" s="56"/>
      <c r="F200" s="56"/>
      <c r="G200" s="56">
        <f t="shared" si="49"/>
        <v>7.2463768115942129E-2</v>
      </c>
      <c r="H200" s="56">
        <f t="shared" si="48"/>
        <v>0.31756756756756754</v>
      </c>
      <c r="I200" s="30">
        <v>-0.06</v>
      </c>
    </row>
    <row r="201" spans="1:9" x14ac:dyDescent="0.3">
      <c r="A201" s="59" t="s">
        <v>107</v>
      </c>
      <c r="B201" s="60">
        <v>-1.5E-3</v>
      </c>
      <c r="C201" s="58">
        <f t="shared" ref="C201:F201" si="51">C127/B127-1</f>
        <v>-1.783795400816679E-2</v>
      </c>
      <c r="D201" s="58">
        <f t="shared" si="51"/>
        <v>9.6061269146608286E-2</v>
      </c>
      <c r="E201" s="58">
        <f t="shared" si="51"/>
        <v>3.1343581553204158E-2</v>
      </c>
      <c r="F201" s="58">
        <f t="shared" si="51"/>
        <v>1.7034456058846237E-2</v>
      </c>
      <c r="G201" s="58">
        <f t="shared" si="49"/>
        <v>-4.3014845831747195E-2</v>
      </c>
      <c r="H201" s="58">
        <f t="shared" si="48"/>
        <v>6.2649164677804237E-2</v>
      </c>
      <c r="I201" s="61">
        <v>0.16</v>
      </c>
    </row>
    <row r="202" spans="1:9" x14ac:dyDescent="0.3">
      <c r="A202" s="31" t="s">
        <v>114</v>
      </c>
      <c r="B202" s="56"/>
      <c r="C202" s="56"/>
      <c r="D202" s="56"/>
      <c r="E202" s="56"/>
      <c r="F202" s="56"/>
      <c r="G202" s="56">
        <f t="shared" si="49"/>
        <v>-4.7763666482606326E-2</v>
      </c>
      <c r="H202" s="56">
        <f t="shared" si="48"/>
        <v>6.0887213685126174E-2</v>
      </c>
      <c r="I202" s="30">
        <v>0.17</v>
      </c>
    </row>
    <row r="203" spans="1:9" x14ac:dyDescent="0.3">
      <c r="A203" s="31" t="s">
        <v>115</v>
      </c>
      <c r="B203" s="56"/>
      <c r="C203" s="56"/>
      <c r="D203" s="56"/>
      <c r="E203" s="56"/>
      <c r="F203" s="56"/>
      <c r="G203" s="56">
        <f t="shared" si="49"/>
        <v>-2.1505376344086002E-2</v>
      </c>
      <c r="H203" s="56">
        <f t="shared" si="48"/>
        <v>9.4505494505494614E-2</v>
      </c>
      <c r="I203" s="30">
        <v>0.12</v>
      </c>
    </row>
    <row r="204" spans="1:9" x14ac:dyDescent="0.3">
      <c r="A204" s="31" t="s">
        <v>116</v>
      </c>
      <c r="B204" s="56"/>
      <c r="C204" s="56"/>
      <c r="D204" s="56"/>
      <c r="E204" s="56"/>
      <c r="F204" s="56"/>
      <c r="G204" s="56">
        <f t="shared" si="49"/>
        <v>-9.7046413502109741E-2</v>
      </c>
      <c r="H204" s="56">
        <f t="shared" si="48"/>
        <v>-0.11214953271028039</v>
      </c>
      <c r="I204" s="30">
        <v>0.28000000000000003</v>
      </c>
    </row>
    <row r="205" spans="1:9" x14ac:dyDescent="0.3">
      <c r="A205" s="33" t="s">
        <v>108</v>
      </c>
      <c r="B205" s="58">
        <v>-0.08</v>
      </c>
      <c r="C205" s="58">
        <f t="shared" ref="C205:D207" si="52">C131/B131-1</f>
        <v>-0.36521739130434783</v>
      </c>
      <c r="D205" s="58">
        <f>D131/C131-1</f>
        <v>0</v>
      </c>
      <c r="E205" s="58">
        <f t="shared" ref="E205:F207" si="53">E131/D131-1</f>
        <v>0.20547945205479445</v>
      </c>
      <c r="F205" s="58">
        <f t="shared" si="53"/>
        <v>-0.52272727272727271</v>
      </c>
      <c r="G205" s="58">
        <f t="shared" si="49"/>
        <v>-0.2857142857142857</v>
      </c>
      <c r="H205" s="58">
        <f t="shared" si="48"/>
        <v>-0.16666666666666663</v>
      </c>
      <c r="I205" s="34">
        <v>3.02</v>
      </c>
    </row>
    <row r="206" spans="1:9" x14ac:dyDescent="0.3">
      <c r="A206" s="35" t="s">
        <v>104</v>
      </c>
      <c r="B206" s="56">
        <v>0.1</v>
      </c>
      <c r="C206" s="56">
        <f t="shared" si="52"/>
        <v>6.2924636772237807E-2</v>
      </c>
      <c r="D206" s="56">
        <f t="shared" si="52"/>
        <v>5.6577179008096445E-2</v>
      </c>
      <c r="E206" s="56">
        <f t="shared" si="53"/>
        <v>6.9866286104303121E-2</v>
      </c>
      <c r="F206" s="56">
        <f t="shared" si="53"/>
        <v>7.9251848629839028E-2</v>
      </c>
      <c r="G206" s="56">
        <f t="shared" si="49"/>
        <v>-4.4333387070772168E-2</v>
      </c>
      <c r="H206" s="56">
        <f t="shared" si="48"/>
        <v>0.18907444894286995</v>
      </c>
      <c r="I206" s="37">
        <v>0.06</v>
      </c>
    </row>
    <row r="207" spans="1:9" x14ac:dyDescent="0.3">
      <c r="A207" s="33" t="s">
        <v>105</v>
      </c>
      <c r="B207" s="56">
        <v>0.18</v>
      </c>
      <c r="C207" s="56">
        <f t="shared" si="52"/>
        <v>-1.3622603430877955E-2</v>
      </c>
      <c r="D207" s="56">
        <f t="shared" si="52"/>
        <v>4.4501278772378416E-2</v>
      </c>
      <c r="E207" s="56">
        <f t="shared" si="53"/>
        <v>-6.3663075416258597E-2</v>
      </c>
      <c r="F207" s="56">
        <f t="shared" si="53"/>
        <v>-3.1380753138074979E-3</v>
      </c>
      <c r="G207" s="56">
        <f t="shared" si="49"/>
        <v>-3.147953830010497E-2</v>
      </c>
      <c r="H207" s="56">
        <f t="shared" si="48"/>
        <v>0.19447453954496208</v>
      </c>
      <c r="I207" s="34">
        <v>7.0000000000000007E-2</v>
      </c>
    </row>
    <row r="208" spans="1:9" x14ac:dyDescent="0.3">
      <c r="A208" s="31" t="s">
        <v>114</v>
      </c>
      <c r="B208" s="56"/>
      <c r="C208" s="56"/>
      <c r="D208" s="56"/>
      <c r="E208" s="56"/>
      <c r="F208" s="56"/>
      <c r="G208" s="56">
        <f>G134/F134-1</f>
        <v>-1.0066344993968637</v>
      </c>
      <c r="H208" s="56">
        <f t="shared" si="48"/>
        <v>-181.54545454545453</v>
      </c>
      <c r="I208" s="30">
        <v>0.06</v>
      </c>
    </row>
    <row r="209" spans="1:9" x14ac:dyDescent="0.3">
      <c r="A209" s="31" t="s">
        <v>115</v>
      </c>
      <c r="B209" s="56"/>
      <c r="C209" s="56"/>
      <c r="D209" s="56"/>
      <c r="E209" s="56"/>
      <c r="F209" s="56"/>
      <c r="G209" s="56">
        <f t="shared" ref="G209:G213" si="54">G135/F135-1</f>
        <v>-1</v>
      </c>
      <c r="H209" s="56"/>
      <c r="I209" s="30">
        <v>-0.03</v>
      </c>
    </row>
    <row r="210" spans="1:9" x14ac:dyDescent="0.3">
      <c r="A210" s="31" t="s">
        <v>116</v>
      </c>
      <c r="B210" s="56"/>
      <c r="C210" s="56"/>
      <c r="D210" s="56"/>
      <c r="E210" s="56"/>
      <c r="F210" s="56"/>
      <c r="G210" s="56">
        <f t="shared" si="54"/>
        <v>-1</v>
      </c>
      <c r="H210" s="56"/>
      <c r="I210" s="30">
        <v>-0.16</v>
      </c>
    </row>
    <row r="211" spans="1:9" x14ac:dyDescent="0.3">
      <c r="A211" s="31" t="s">
        <v>122</v>
      </c>
      <c r="B211" s="56"/>
      <c r="C211" s="56"/>
      <c r="D211" s="56"/>
      <c r="E211" s="56"/>
      <c r="F211" s="56"/>
      <c r="G211" s="56">
        <f t="shared" si="54"/>
        <v>-1</v>
      </c>
      <c r="H211" s="56"/>
      <c r="I211" s="30">
        <v>0.42</v>
      </c>
    </row>
    <row r="212" spans="1:9" x14ac:dyDescent="0.3">
      <c r="A212" s="29" t="s">
        <v>109</v>
      </c>
      <c r="B212" s="56"/>
      <c r="C212" s="56">
        <f t="shared" ref="C212:E213" si="55">C138/B138-1</f>
        <v>4.8780487804878092E-2</v>
      </c>
      <c r="D212" s="56">
        <f t="shared" si="55"/>
        <v>-1.8720930232558139</v>
      </c>
      <c r="E212" s="56">
        <f t="shared" si="55"/>
        <v>-1</v>
      </c>
      <c r="F212" s="56">
        <f>G139/F139-1</f>
        <v>-4.3817266150267153E-2</v>
      </c>
      <c r="G212" s="56">
        <f t="shared" si="54"/>
        <v>-1</v>
      </c>
      <c r="H212" s="56"/>
      <c r="I212" s="30">
        <v>0</v>
      </c>
    </row>
    <row r="213" spans="1:9" ht="15" thickBot="1" x14ac:dyDescent="0.35">
      <c r="A213" s="32" t="s">
        <v>106</v>
      </c>
      <c r="B213" s="36">
        <v>0.1</v>
      </c>
      <c r="C213" s="58">
        <f>C139/B139-1</f>
        <v>5.8004640371229765E-2</v>
      </c>
      <c r="D213" s="58">
        <f t="shared" si="55"/>
        <v>6.0971089696071123E-2</v>
      </c>
      <c r="E213" s="58">
        <f t="shared" si="55"/>
        <v>5.95924308588065E-2</v>
      </c>
      <c r="F213" s="58">
        <f>F139/E139-1</f>
        <v>7.4731433909388079E-2</v>
      </c>
      <c r="G213" s="58">
        <f t="shared" si="54"/>
        <v>-4.3817266150267153E-2</v>
      </c>
      <c r="H213" s="58">
        <f t="shared" si="48"/>
        <v>0.19076009945726269</v>
      </c>
      <c r="I213" s="36">
        <v>0.06</v>
      </c>
    </row>
    <row r="21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0"/>
  <sheetViews>
    <sheetView workbookViewId="0">
      <selection activeCell="B55" sqref="B55:E55"/>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51">
        <f>+I1+1</f>
        <v>2023</v>
      </c>
      <c r="K1" s="51">
        <f t="shared" ref="K1:N1" si="1">+J1+1</f>
        <v>2024</v>
      </c>
      <c r="L1" s="51">
        <f t="shared" si="1"/>
        <v>2025</v>
      </c>
      <c r="M1" s="51">
        <f t="shared" si="1"/>
        <v>2026</v>
      </c>
      <c r="N1" s="51">
        <f t="shared" si="1"/>
        <v>2027</v>
      </c>
    </row>
    <row r="2" spans="1:14" x14ac:dyDescent="0.3">
      <c r="A2" s="39" t="s">
        <v>129</v>
      </c>
      <c r="B2" s="39"/>
      <c r="C2" s="39"/>
      <c r="D2" s="39"/>
      <c r="E2" s="39"/>
      <c r="F2" s="39"/>
      <c r="G2" s="39"/>
      <c r="H2" s="39"/>
      <c r="I2" s="39"/>
      <c r="J2" s="39"/>
      <c r="K2" s="39"/>
      <c r="L2" s="39"/>
      <c r="M2" s="39"/>
      <c r="N2" s="39"/>
    </row>
    <row r="3" spans="1:14" ht="15" thickBot="1" x14ac:dyDescent="0.35">
      <c r="A3" s="40" t="s">
        <v>140</v>
      </c>
      <c r="B3" s="7">
        <v>30601</v>
      </c>
      <c r="C3" s="7">
        <v>32376</v>
      </c>
      <c r="D3" s="7">
        <v>34350</v>
      </c>
      <c r="E3" s="7">
        <v>36397</v>
      </c>
      <c r="F3" s="7">
        <v>39117</v>
      </c>
      <c r="G3" s="7">
        <v>37403</v>
      </c>
      <c r="H3" s="7">
        <v>44538</v>
      </c>
      <c r="I3" s="7">
        <v>46710</v>
      </c>
      <c r="J3" s="53">
        <f>I3*1.06</f>
        <v>49512.600000000006</v>
      </c>
      <c r="K3" s="53">
        <f>J3*1.06</f>
        <v>52483.356000000007</v>
      </c>
      <c r="L3" s="53">
        <f t="shared" ref="L3:N3" si="2">K3*1.06</f>
        <v>55632.357360000009</v>
      </c>
      <c r="M3" s="53">
        <f t="shared" si="2"/>
        <v>58970.298801600009</v>
      </c>
      <c r="N3" s="53">
        <f t="shared" si="2"/>
        <v>62508.516729696013</v>
      </c>
    </row>
    <row r="4" spans="1:14" ht="15" thickTop="1" x14ac:dyDescent="0.3">
      <c r="A4" s="41" t="s">
        <v>130</v>
      </c>
      <c r="B4" s="47"/>
      <c r="C4" s="47">
        <f>C3/B3-1</f>
        <v>5.8004640371229765E-2</v>
      </c>
      <c r="D4" s="47">
        <f t="shared" ref="D4:I4" si="3">D3/C3-1</f>
        <v>6.0971089696071123E-2</v>
      </c>
      <c r="E4" s="47">
        <f t="shared" si="3"/>
        <v>5.95924308588065E-2</v>
      </c>
      <c r="F4" s="47">
        <f t="shared" si="3"/>
        <v>7.4731433909388079E-2</v>
      </c>
      <c r="G4" s="47">
        <f t="shared" si="3"/>
        <v>-4.3817266150267153E-2</v>
      </c>
      <c r="H4" s="47">
        <f t="shared" si="3"/>
        <v>0.19076009945726269</v>
      </c>
      <c r="I4" s="47">
        <f t="shared" si="3"/>
        <v>4.8767344739323759E-2</v>
      </c>
      <c r="J4" s="47">
        <f t="shared" ref="J4" si="4">J3/I3-1</f>
        <v>6.0000000000000053E-2</v>
      </c>
      <c r="K4" s="47">
        <f t="shared" ref="K4" si="5">K3/J3-1</f>
        <v>6.0000000000000053E-2</v>
      </c>
      <c r="L4" s="47">
        <f t="shared" ref="L4" si="6">L3/K3-1</f>
        <v>6.0000000000000053E-2</v>
      </c>
      <c r="M4" s="47">
        <f t="shared" ref="M4" si="7">M3/L3-1</f>
        <v>6.0000000000000053E-2</v>
      </c>
      <c r="N4" s="47">
        <f t="shared" ref="N4" si="8">N3/M3-1</f>
        <v>6.0000000000000053E-2</v>
      </c>
    </row>
    <row r="5" spans="1:14" ht="15" thickBot="1" x14ac:dyDescent="0.35">
      <c r="A5" s="40" t="s">
        <v>131</v>
      </c>
      <c r="B5" s="54">
        <f>B11+B8</f>
        <v>4839</v>
      </c>
      <c r="C5" s="54">
        <f>C11+C8</f>
        <v>5291</v>
      </c>
      <c r="D5" s="54">
        <f>D11+D8</f>
        <v>5651</v>
      </c>
      <c r="E5" s="54">
        <f>E11+E8</f>
        <v>5126</v>
      </c>
      <c r="F5" s="54">
        <v>5573</v>
      </c>
      <c r="G5" s="54">
        <f>G8+G11</f>
        <v>3697</v>
      </c>
      <c r="H5" s="54">
        <f>H11+H8</f>
        <v>7667</v>
      </c>
      <c r="I5" s="54">
        <f>I11+I8</f>
        <v>7573</v>
      </c>
      <c r="J5" s="53">
        <f>I5*1.13</f>
        <v>8557.49</v>
      </c>
      <c r="K5" s="53">
        <f t="shared" ref="K5:N5" si="9">J5*1.13</f>
        <v>9669.9636999999984</v>
      </c>
      <c r="L5" s="53">
        <f t="shared" si="9"/>
        <v>10927.058980999996</v>
      </c>
      <c r="M5" s="53">
        <f t="shared" si="9"/>
        <v>12347.576648529996</v>
      </c>
      <c r="N5" s="53">
        <f t="shared" si="9"/>
        <v>13952.761612838895</v>
      </c>
    </row>
    <row r="6" spans="1:14" ht="15" thickTop="1" x14ac:dyDescent="0.3">
      <c r="A6" s="41" t="s">
        <v>130</v>
      </c>
      <c r="C6" s="47">
        <f t="shared" ref="C6:H6" si="10">C5/B5-1</f>
        <v>9.3407728869601137E-2</v>
      </c>
      <c r="D6" s="47">
        <f t="shared" si="10"/>
        <v>6.8040068040068125E-2</v>
      </c>
      <c r="E6" s="47">
        <f t="shared" si="10"/>
        <v>-9.2903910812245583E-2</v>
      </c>
      <c r="F6" s="47">
        <f t="shared" si="10"/>
        <v>8.7202497073741725E-2</v>
      </c>
      <c r="G6" s="47">
        <f t="shared" si="10"/>
        <v>-0.33662300376816801</v>
      </c>
      <c r="H6" s="47">
        <f t="shared" si="10"/>
        <v>1.0738436570192049</v>
      </c>
      <c r="I6" s="47">
        <f>I5/H5-1</f>
        <v>-1.2260336507108338E-2</v>
      </c>
      <c r="J6" s="47">
        <f t="shared" ref="J6:N6" si="11">J5/I5-1</f>
        <v>0.12999999999999989</v>
      </c>
      <c r="K6" s="47">
        <f t="shared" si="11"/>
        <v>0.12999999999999989</v>
      </c>
      <c r="L6" s="47">
        <f t="shared" si="11"/>
        <v>0.12999999999999989</v>
      </c>
      <c r="M6" s="47">
        <f t="shared" si="11"/>
        <v>0.12999999999999989</v>
      </c>
      <c r="N6" s="47">
        <f t="shared" si="11"/>
        <v>0.12999999999999989</v>
      </c>
    </row>
    <row r="7" spans="1:14" x14ac:dyDescent="0.3">
      <c r="A7" s="41" t="s">
        <v>132</v>
      </c>
      <c r="B7" s="47">
        <f>B5/B3</f>
        <v>0.15813208718669325</v>
      </c>
      <c r="C7" s="47">
        <f t="shared" ref="C7:N7" si="12">C5/C3</f>
        <v>0.16342352359772672</v>
      </c>
      <c r="D7" s="47">
        <f t="shared" si="12"/>
        <v>0.16451237263464338</v>
      </c>
      <c r="E7" s="47">
        <f t="shared" si="12"/>
        <v>0.14083578316894249</v>
      </c>
      <c r="F7" s="47">
        <f t="shared" si="12"/>
        <v>0.14247002581997598</v>
      </c>
      <c r="G7" s="47">
        <f t="shared" si="12"/>
        <v>9.8842338849824879E-2</v>
      </c>
      <c r="H7" s="47">
        <f t="shared" si="12"/>
        <v>0.17214513449189456</v>
      </c>
      <c r="I7" s="47">
        <f t="shared" si="12"/>
        <v>0.16212802397773496</v>
      </c>
      <c r="J7" s="47">
        <f>J5/J3</f>
        <v>0.1728345915989061</v>
      </c>
      <c r="K7" s="47">
        <f t="shared" si="12"/>
        <v>0.18424819670449422</v>
      </c>
      <c r="L7" s="47">
        <f t="shared" si="12"/>
        <v>0.1964155304491306</v>
      </c>
      <c r="M7" s="47">
        <f t="shared" si="12"/>
        <v>0.20938636736558261</v>
      </c>
      <c r="N7" s="47">
        <f t="shared" si="12"/>
        <v>0.22321376898406445</v>
      </c>
    </row>
    <row r="8" spans="1:14" ht="15" thickBot="1" x14ac:dyDescent="0.35">
      <c r="A8" s="40" t="s">
        <v>133</v>
      </c>
      <c r="B8" s="7">
        <v>606</v>
      </c>
      <c r="C8" s="7">
        <v>649</v>
      </c>
      <c r="D8" s="7">
        <v>706</v>
      </c>
      <c r="E8" s="7">
        <v>747</v>
      </c>
      <c r="F8" s="7">
        <v>705</v>
      </c>
      <c r="G8" s="7">
        <v>721</v>
      </c>
      <c r="H8" s="7">
        <v>744</v>
      </c>
      <c r="I8" s="7">
        <v>717</v>
      </c>
      <c r="J8" s="52">
        <f>I8*1.03</f>
        <v>738.51</v>
      </c>
      <c r="K8" s="52">
        <f t="shared" ref="K8:N8" si="13">J8*1.03</f>
        <v>760.6653</v>
      </c>
      <c r="L8" s="52">
        <f t="shared" si="13"/>
        <v>783.48525900000004</v>
      </c>
      <c r="M8" s="52">
        <f t="shared" si="13"/>
        <v>806.98981677000006</v>
      </c>
      <c r="N8" s="52">
        <f t="shared" si="13"/>
        <v>831.19951127310003</v>
      </c>
    </row>
    <row r="9" spans="1:14" ht="15" thickTop="1" x14ac:dyDescent="0.3">
      <c r="A9" s="41" t="s">
        <v>130</v>
      </c>
      <c r="C9" s="47">
        <f>C8/B8-1</f>
        <v>7.0957095709570872E-2</v>
      </c>
      <c r="D9" s="47">
        <f t="shared" ref="D9:I9" si="14">D8/C8-1</f>
        <v>8.7827426810477727E-2</v>
      </c>
      <c r="E9" s="47">
        <f t="shared" si="14"/>
        <v>5.8073654390934815E-2</v>
      </c>
      <c r="F9" s="47">
        <f t="shared" si="14"/>
        <v>-5.6224899598393607E-2</v>
      </c>
      <c r="G9" s="47">
        <f t="shared" si="14"/>
        <v>2.2695035460992941E-2</v>
      </c>
      <c r="H9" s="47">
        <f t="shared" si="14"/>
        <v>3.1900138696255187E-2</v>
      </c>
      <c r="I9" s="47">
        <f t="shared" si="14"/>
        <v>-3.6290322580645129E-2</v>
      </c>
      <c r="J9" s="47">
        <f t="shared" ref="J9" si="15">J8/I8-1</f>
        <v>3.0000000000000027E-2</v>
      </c>
      <c r="K9" s="47">
        <f t="shared" ref="K9" si="16">K8/J8-1</f>
        <v>3.0000000000000027E-2</v>
      </c>
      <c r="L9" s="47">
        <f t="shared" ref="L9" si="17">L8/K8-1</f>
        <v>3.0000000000000027E-2</v>
      </c>
      <c r="M9" s="47">
        <f t="shared" ref="M9" si="18">M8/L8-1</f>
        <v>3.0000000000000027E-2</v>
      </c>
      <c r="N9" s="47">
        <f t="shared" ref="N9" si="19">N8/M8-1</f>
        <v>3.0000000000000027E-2</v>
      </c>
    </row>
    <row r="10" spans="1:14" x14ac:dyDescent="0.3">
      <c r="A10" s="41" t="s">
        <v>134</v>
      </c>
      <c r="B10" s="49">
        <f>B8/B3</f>
        <v>1.9803274402797295E-2</v>
      </c>
      <c r="C10" s="49">
        <f>C8/C3</f>
        <v>2.0045712873733631E-2</v>
      </c>
      <c r="D10" s="49">
        <f>D8/D3</f>
        <v>2.0553129548762736E-2</v>
      </c>
      <c r="E10" s="49">
        <f>E8/E3</f>
        <v>2.0523669533203285E-2</v>
      </c>
      <c r="F10" s="49">
        <f>F8/F3</f>
        <v>1.8022854513382928E-2</v>
      </c>
      <c r="G10" s="49">
        <f t="shared" ref="G10:N10" si="20">G8/G3</f>
        <v>1.9276528620698875E-2</v>
      </c>
      <c r="H10" s="49">
        <f t="shared" si="20"/>
        <v>1.6704836319547355E-2</v>
      </c>
      <c r="I10" s="49">
        <f t="shared" si="20"/>
        <v>1.5350032113037893E-2</v>
      </c>
      <c r="J10" s="49">
        <f>J8/J3</f>
        <v>1.4915597241914177E-2</v>
      </c>
      <c r="K10" s="49">
        <f>K8/K3</f>
        <v>1.4493457697331701E-2</v>
      </c>
      <c r="L10" s="49">
        <f t="shared" si="20"/>
        <v>1.4083265498350615E-2</v>
      </c>
      <c r="M10" s="48">
        <f t="shared" si="20"/>
        <v>1.368468251254824E-2</v>
      </c>
      <c r="N10" s="48">
        <f t="shared" si="20"/>
        <v>1.3297380177287439E-2</v>
      </c>
    </row>
    <row r="11" spans="1:14" ht="15" thickBot="1" x14ac:dyDescent="0.35">
      <c r="A11" s="40" t="s">
        <v>135</v>
      </c>
      <c r="B11" s="7">
        <v>4233</v>
      </c>
      <c r="C11" s="7">
        <v>4642</v>
      </c>
      <c r="D11" s="7">
        <v>4945</v>
      </c>
      <c r="E11" s="7">
        <v>4379</v>
      </c>
      <c r="F11" s="7">
        <v>4850</v>
      </c>
      <c r="G11" s="7">
        <v>2976</v>
      </c>
      <c r="H11" s="7">
        <v>6923</v>
      </c>
      <c r="I11" s="7">
        <v>6856</v>
      </c>
      <c r="J11" s="7">
        <f>I11*1.16</f>
        <v>7952.9599999999991</v>
      </c>
      <c r="K11" s="7">
        <f t="shared" ref="K11:N11" si="21">J11*1.16</f>
        <v>9225.4335999999985</v>
      </c>
      <c r="L11" s="7">
        <f t="shared" si="21"/>
        <v>10701.502975999998</v>
      </c>
      <c r="M11" s="7">
        <f t="shared" si="21"/>
        <v>12413.743452159997</v>
      </c>
      <c r="N11" s="7">
        <f t="shared" si="21"/>
        <v>14399.942404505595</v>
      </c>
    </row>
    <row r="12" spans="1:14" ht="15" thickTop="1" x14ac:dyDescent="0.3">
      <c r="A12" s="41" t="s">
        <v>130</v>
      </c>
      <c r="B12" s="47"/>
      <c r="C12" s="47">
        <f>C11/B11-1</f>
        <v>9.6621781242617555E-2</v>
      </c>
      <c r="D12" s="47">
        <f t="shared" ref="D12:I12" si="22">D11/C11-1</f>
        <v>6.5273588970271357E-2</v>
      </c>
      <c r="E12" s="47">
        <f t="shared" si="22"/>
        <v>-0.11445904954499497</v>
      </c>
      <c r="F12" s="47">
        <f t="shared" si="22"/>
        <v>0.10755880337976698</v>
      </c>
      <c r="G12" s="47">
        <f t="shared" si="22"/>
        <v>-0.38639175257731961</v>
      </c>
      <c r="H12" s="47">
        <f t="shared" si="22"/>
        <v>1.32627688172043</v>
      </c>
      <c r="I12" s="47">
        <f t="shared" si="22"/>
        <v>-9.67788530983682E-3</v>
      </c>
      <c r="J12" s="47">
        <f t="shared" ref="J12" si="23">J11/I11-1</f>
        <v>0.15999999999999992</v>
      </c>
      <c r="K12" s="47">
        <f t="shared" ref="K12" si="24">K11/J11-1</f>
        <v>0.15999999999999992</v>
      </c>
      <c r="L12" s="47">
        <f t="shared" ref="L12" si="25">L11/K11-1</f>
        <v>0.15999999999999992</v>
      </c>
      <c r="M12" s="47">
        <f t="shared" ref="M12" si="26">M11/L11-1</f>
        <v>0.15999999999999992</v>
      </c>
      <c r="N12" s="47">
        <f t="shared" ref="N12" si="27">N11/M11-1</f>
        <v>0.15999999999999992</v>
      </c>
    </row>
    <row r="13" spans="1:14" x14ac:dyDescent="0.3">
      <c r="A13" s="41" t="s">
        <v>132</v>
      </c>
      <c r="B13" s="47">
        <f>B8/B3</f>
        <v>1.9803274402797295E-2</v>
      </c>
      <c r="C13" s="47">
        <f t="shared" ref="C13:N13" si="28">C11/C3</f>
        <v>0.14337781072399308</v>
      </c>
      <c r="D13" s="47">
        <f t="shared" si="28"/>
        <v>0.14395924308588065</v>
      </c>
      <c r="E13" s="47">
        <f t="shared" si="28"/>
        <v>0.12031211363573921</v>
      </c>
      <c r="F13" s="47">
        <f t="shared" si="28"/>
        <v>0.12398701331901731</v>
      </c>
      <c r="G13" s="47">
        <f t="shared" si="28"/>
        <v>7.9565810229126011E-2</v>
      </c>
      <c r="H13" s="47">
        <f t="shared" si="28"/>
        <v>0.1554402981723472</v>
      </c>
      <c r="I13" s="47">
        <f t="shared" si="28"/>
        <v>0.14677799186469706</v>
      </c>
      <c r="J13" s="47">
        <f t="shared" si="28"/>
        <v>0.16062497222929109</v>
      </c>
      <c r="K13" s="47">
        <f t="shared" si="28"/>
        <v>0.17577827149620534</v>
      </c>
      <c r="L13" s="47">
        <f t="shared" si="28"/>
        <v>0.19236112729773414</v>
      </c>
      <c r="M13" s="47">
        <f t="shared" si="28"/>
        <v>0.21050840345789773</v>
      </c>
      <c r="N13" s="47">
        <f t="shared" si="28"/>
        <v>0.23036768680298236</v>
      </c>
    </row>
    <row r="14" spans="1:14" ht="15" thickBot="1" x14ac:dyDescent="0.35">
      <c r="A14" s="40" t="s">
        <v>136</v>
      </c>
      <c r="B14" s="7">
        <f>+SUM(B11:B13)</f>
        <v>4233.0198032744029</v>
      </c>
      <c r="C14" s="7">
        <f>+SUM(C11:C13)</f>
        <v>4642.2399995919668</v>
      </c>
      <c r="D14" s="7">
        <f>+SUM(D11:D13)</f>
        <v>4945.2092328320559</v>
      </c>
      <c r="E14" s="7">
        <f t="shared" ref="E14:H14" si="29">+SUM(E11:E13)</f>
        <v>4379.0058530640908</v>
      </c>
      <c r="F14" s="7">
        <f t="shared" si="29"/>
        <v>4850.2315458166986</v>
      </c>
      <c r="G14" s="7">
        <f>+SUM(G11:G13)</f>
        <v>2975.693174057652</v>
      </c>
      <c r="H14" s="7">
        <f t="shared" si="29"/>
        <v>6924.4817171798923</v>
      </c>
      <c r="I14" s="7">
        <f>+SUM(I11:I13)</f>
        <v>6856.1371001065554</v>
      </c>
      <c r="J14" s="53">
        <f>I14*1.16</f>
        <v>7953.119036123604</v>
      </c>
      <c r="K14" s="53">
        <f t="shared" ref="K14:N14" si="30">J14*1.16</f>
        <v>9225.6180819033798</v>
      </c>
      <c r="L14" s="53">
        <f t="shared" si="30"/>
        <v>10701.716975007919</v>
      </c>
      <c r="M14" s="53">
        <f t="shared" si="30"/>
        <v>12413.991691009185</v>
      </c>
      <c r="N14" s="53">
        <f t="shared" si="30"/>
        <v>14400.230361570653</v>
      </c>
    </row>
    <row r="15" spans="1:14" ht="15" thickTop="1" x14ac:dyDescent="0.3">
      <c r="A15" s="41" t="s">
        <v>130</v>
      </c>
      <c r="C15" s="47">
        <f>C14/B14-1</f>
        <v>9.6673347949144173E-2</v>
      </c>
      <c r="D15" s="47">
        <f t="shared" ref="D15:I15" si="31">D14/C14-1</f>
        <v>6.5263586817294827E-2</v>
      </c>
      <c r="E15" s="47">
        <f t="shared" si="31"/>
        <v>-0.11449533338424756</v>
      </c>
      <c r="F15" s="47">
        <f t="shared" si="31"/>
        <v>0.10761019933848237</v>
      </c>
      <c r="G15" s="47">
        <f t="shared" si="31"/>
        <v>-0.38648430575975845</v>
      </c>
      <c r="H15" s="47">
        <f t="shared" si="31"/>
        <v>1.3270146860395813</v>
      </c>
      <c r="I15" s="47">
        <f t="shared" si="31"/>
        <v>-9.8699974763123421E-3</v>
      </c>
      <c r="J15" s="47">
        <f t="shared" ref="J15" si="32">J14/I14-1</f>
        <v>0.15999999999999992</v>
      </c>
      <c r="K15" s="47">
        <f t="shared" ref="K15" si="33">K14/J14-1</f>
        <v>0.15999999999999992</v>
      </c>
      <c r="L15" s="47">
        <f t="shared" ref="L15" si="34">L14/K14-1</f>
        <v>0.15999999999999992</v>
      </c>
      <c r="M15" s="47">
        <f t="shared" ref="M15" si="35">M14/L14-1</f>
        <v>0.15999999999999992</v>
      </c>
      <c r="N15" s="47">
        <f t="shared" ref="N15" si="36">N14/M14-1</f>
        <v>0.15999999999999992</v>
      </c>
    </row>
    <row r="16" spans="1:14" x14ac:dyDescent="0.3">
      <c r="A16" s="41" t="s">
        <v>134</v>
      </c>
      <c r="B16" s="47">
        <f>B14/B3</f>
        <v>0.13832945992857759</v>
      </c>
      <c r="C16" s="47">
        <f>C14/C3</f>
        <v>0.14338522360983341</v>
      </c>
      <c r="D16" s="47">
        <f t="shared" ref="D16:N16" si="37">D14/D3</f>
        <v>0.14396533428914282</v>
      </c>
      <c r="E16" s="47">
        <f t="shared" si="37"/>
        <v>0.12031227444745696</v>
      </c>
      <c r="F16" s="47">
        <f t="shared" si="37"/>
        <v>0.12399293263329751</v>
      </c>
      <c r="G16" s="47">
        <f t="shared" si="37"/>
        <v>7.9557606984938425E-2</v>
      </c>
      <c r="H16" s="47">
        <f t="shared" si="37"/>
        <v>0.15547356677847887</v>
      </c>
      <c r="I16" s="47">
        <f t="shared" si="37"/>
        <v>0.14678092699864173</v>
      </c>
      <c r="J16" s="47">
        <f t="shared" si="37"/>
        <v>0.16062818426266451</v>
      </c>
      <c r="K16" s="47">
        <f t="shared" si="37"/>
        <v>0.1757817865515951</v>
      </c>
      <c r="L16" s="47">
        <f t="shared" si="37"/>
        <v>0.19236497396212293</v>
      </c>
      <c r="M16" s="47">
        <f t="shared" si="37"/>
        <v>0.21051261301515337</v>
      </c>
      <c r="N16" s="47">
        <f t="shared" si="37"/>
        <v>0.230372293488281</v>
      </c>
    </row>
    <row r="17" spans="1:14" x14ac:dyDescent="0.3">
      <c r="A17" s="42" t="str">
        <f>+Historicals!A115</f>
        <v>North America</v>
      </c>
      <c r="B17" s="42"/>
      <c r="C17" s="42"/>
      <c r="D17" s="42"/>
      <c r="E17" s="42"/>
      <c r="F17" s="42"/>
      <c r="G17" s="42"/>
      <c r="H17" s="42"/>
      <c r="I17" s="42"/>
      <c r="J17" s="57"/>
      <c r="K17" s="57"/>
      <c r="L17" s="57"/>
      <c r="M17" s="57"/>
      <c r="N17" s="57"/>
    </row>
    <row r="18" spans="1:14" ht="15" thickBot="1" x14ac:dyDescent="0.35">
      <c r="A18" s="9" t="s">
        <v>137</v>
      </c>
      <c r="B18" s="7">
        <v>13740</v>
      </c>
      <c r="C18" s="7">
        <v>14764</v>
      </c>
      <c r="D18" s="7">
        <v>15216</v>
      </c>
      <c r="E18" s="7">
        <v>14855</v>
      </c>
      <c r="F18" s="7">
        <v>15902</v>
      </c>
      <c r="G18" s="7">
        <v>14484</v>
      </c>
      <c r="H18" s="7">
        <f>+Historicals!H115</f>
        <v>17179</v>
      </c>
      <c r="I18" s="7">
        <f>+Historicals!I115</f>
        <v>18353</v>
      </c>
      <c r="J18" s="53">
        <f>I18*1.045</f>
        <v>19178.884999999998</v>
      </c>
      <c r="K18" s="53">
        <f t="shared" ref="K18:N18" si="38">J18*1.045</f>
        <v>20041.934824999997</v>
      </c>
      <c r="L18" s="53">
        <f t="shared" si="38"/>
        <v>20943.821892124994</v>
      </c>
      <c r="M18" s="53">
        <f t="shared" si="38"/>
        <v>21886.293877270618</v>
      </c>
      <c r="N18" s="53">
        <f t="shared" si="38"/>
        <v>22871.177101747795</v>
      </c>
    </row>
    <row r="19" spans="1:14" ht="15" thickTop="1" x14ac:dyDescent="0.3">
      <c r="A19" s="43" t="s">
        <v>130</v>
      </c>
      <c r="B19" s="46" t="str">
        <f t="shared" ref="B19:H19" si="39">+IFERROR(B18/A18-1,"nm")</f>
        <v>nm</v>
      </c>
      <c r="C19" s="46">
        <f t="shared" si="39"/>
        <v>7.4526928675400228E-2</v>
      </c>
      <c r="D19" s="46">
        <f t="shared" si="39"/>
        <v>3.0615009482525046E-2</v>
      </c>
      <c r="E19" s="46">
        <f t="shared" si="39"/>
        <v>-2.372502628811779E-2</v>
      </c>
      <c r="F19" s="46">
        <f t="shared" si="39"/>
        <v>7.0481319421070276E-2</v>
      </c>
      <c r="G19" s="46">
        <f t="shared" si="39"/>
        <v>-8.9171173437303519E-2</v>
      </c>
      <c r="H19" s="46">
        <f t="shared" si="39"/>
        <v>0.18606738470035911</v>
      </c>
      <c r="I19" s="46">
        <f>+IFERROR(I18/H18-1,"nm")</f>
        <v>6.8339251411607238E-2</v>
      </c>
      <c r="J19" s="46">
        <f t="shared" ref="J19:N19" si="40">+IFERROR(J18/I18-1,"nm")</f>
        <v>4.4999999999999929E-2</v>
      </c>
      <c r="K19" s="46">
        <f t="shared" si="40"/>
        <v>4.4999999999999929E-2</v>
      </c>
      <c r="L19" s="46">
        <f t="shared" si="40"/>
        <v>4.4999999999999929E-2</v>
      </c>
      <c r="M19" s="46">
        <f t="shared" si="40"/>
        <v>4.4999999999999929E-2</v>
      </c>
      <c r="N19" s="46">
        <f t="shared" si="40"/>
        <v>4.4999999999999929E-2</v>
      </c>
    </row>
    <row r="20" spans="1:14" ht="15" thickBot="1" x14ac:dyDescent="0.35">
      <c r="A20" s="44" t="s">
        <v>114</v>
      </c>
      <c r="B20" s="3">
        <f>+Historicals!B116</f>
        <v>0</v>
      </c>
      <c r="C20" s="3">
        <f>+Historicals!C116</f>
        <v>0</v>
      </c>
      <c r="D20" s="3">
        <f>+Historicals!D116</f>
        <v>0</v>
      </c>
      <c r="E20" s="3">
        <f>+Historicals!E116</f>
        <v>0</v>
      </c>
      <c r="F20" s="7">
        <v>10045</v>
      </c>
      <c r="G20" s="7">
        <v>9329</v>
      </c>
      <c r="H20" s="7">
        <f>+Historicals!H116</f>
        <v>11644</v>
      </c>
      <c r="I20" s="7">
        <f>+Historicals!I116</f>
        <v>12228</v>
      </c>
      <c r="J20" s="53">
        <f>I20*1.076</f>
        <v>13157.328000000001</v>
      </c>
      <c r="K20" s="53">
        <f t="shared" ref="K20:N20" si="41">J20*1.076</f>
        <v>14157.284928000003</v>
      </c>
      <c r="L20" s="53">
        <f t="shared" si="41"/>
        <v>15233.238582528003</v>
      </c>
      <c r="M20" s="53">
        <f t="shared" si="41"/>
        <v>16390.964714800131</v>
      </c>
      <c r="N20" s="53">
        <f t="shared" si="41"/>
        <v>17636.678033124943</v>
      </c>
    </row>
    <row r="21" spans="1:14" ht="15" thickTop="1" x14ac:dyDescent="0.3">
      <c r="A21" s="43" t="s">
        <v>130</v>
      </c>
      <c r="B21" s="46" t="str">
        <f t="shared" ref="B21" si="42">+IFERROR(B20/A20-1,"nm")</f>
        <v>nm</v>
      </c>
      <c r="C21" s="46" t="str">
        <f t="shared" ref="C21" si="43">+IFERROR(C20/B20-1,"nm")</f>
        <v>nm</v>
      </c>
      <c r="D21" s="46" t="str">
        <f t="shared" ref="D21" si="44">+IFERROR(D20/C20-1,"nm")</f>
        <v>nm</v>
      </c>
      <c r="E21" s="46" t="str">
        <f t="shared" ref="E21" si="45">+IFERROR(E20/D20-1,"nm")</f>
        <v>nm</v>
      </c>
      <c r="F21" s="46" t="str">
        <f t="shared" ref="F21" si="46">+IFERROR(F20/E20-1,"nm")</f>
        <v>nm</v>
      </c>
      <c r="G21" s="46">
        <f>+IFERROR(G20/F20-1,"nm")</f>
        <v>-7.1279243404678949E-2</v>
      </c>
      <c r="H21" s="46">
        <f t="shared" ref="H21" si="47">+IFERROR(H20/G20-1,"nm")</f>
        <v>0.24815092721620746</v>
      </c>
      <c r="I21" s="46">
        <f>+IFERROR(I20/H20-1,"nm")</f>
        <v>5.0154586052902683E-2</v>
      </c>
      <c r="J21" s="46">
        <f t="shared" ref="J21:N21" si="48">+IFERROR(J20/I20-1,"nm")</f>
        <v>7.6000000000000068E-2</v>
      </c>
      <c r="K21" s="46">
        <f t="shared" si="48"/>
        <v>7.6000000000000068E-2</v>
      </c>
      <c r="L21" s="46">
        <f t="shared" si="48"/>
        <v>7.6000000000000068E-2</v>
      </c>
      <c r="M21" s="46">
        <f t="shared" si="48"/>
        <v>7.6000000000000068E-2</v>
      </c>
      <c r="N21" s="46">
        <f t="shared" si="48"/>
        <v>7.6000000000000068E-2</v>
      </c>
    </row>
    <row r="22" spans="1:14" x14ac:dyDescent="0.3">
      <c r="A22" s="43" t="s">
        <v>138</v>
      </c>
      <c r="B22" s="46">
        <f>+Historicals!B190</f>
        <v>0</v>
      </c>
      <c r="C22" s="46">
        <f>+Historicals!C190</f>
        <v>0</v>
      </c>
      <c r="D22" s="46">
        <f>+Historicals!D190</f>
        <v>0</v>
      </c>
      <c r="E22" s="46">
        <f>+Historicals!E190</f>
        <v>0</v>
      </c>
      <c r="F22" s="46">
        <f>+Historicals!F190</f>
        <v>0</v>
      </c>
      <c r="G22" s="46">
        <f>+Historicals!G190</f>
        <v>-7.1279243404678949E-2</v>
      </c>
      <c r="H22" s="46">
        <f>+Historicals!H190</f>
        <v>0.24815092721620746</v>
      </c>
      <c r="I22" s="46">
        <f>+Historicals!I190</f>
        <v>0.05</v>
      </c>
      <c r="J22" s="46">
        <f>+Historicals!J190</f>
        <v>0</v>
      </c>
      <c r="K22" s="46">
        <f>+Historicals!K190</f>
        <v>0</v>
      </c>
      <c r="L22" s="46">
        <f>+Historicals!L190</f>
        <v>0</v>
      </c>
      <c r="M22" s="46">
        <f>+Historicals!M190</f>
        <v>0</v>
      </c>
      <c r="N22" s="46">
        <f>+Historicals!N190</f>
        <v>0</v>
      </c>
    </row>
    <row r="23" spans="1:14" x14ac:dyDescent="0.3">
      <c r="A23" s="43" t="s">
        <v>139</v>
      </c>
      <c r="B23" s="46" t="str">
        <f t="shared" ref="B23:H23" si="49">+IFERROR(B21-B22,"nm")</f>
        <v>nm</v>
      </c>
      <c r="C23" s="46" t="str">
        <f t="shared" si="49"/>
        <v>nm</v>
      </c>
      <c r="D23" s="46" t="str">
        <f t="shared" si="49"/>
        <v>nm</v>
      </c>
      <c r="E23" s="46" t="str">
        <f t="shared" si="49"/>
        <v>nm</v>
      </c>
      <c r="F23" s="46" t="str">
        <f t="shared" si="49"/>
        <v>nm</v>
      </c>
      <c r="G23" s="46">
        <f t="shared" si="49"/>
        <v>0</v>
      </c>
      <c r="H23" s="46">
        <f t="shared" si="49"/>
        <v>0</v>
      </c>
      <c r="I23" s="46">
        <f>+IFERROR(I21-I22,"nm")</f>
        <v>1.5458605290268046E-4</v>
      </c>
      <c r="J23" s="46">
        <f t="shared" ref="J23:N23" si="50">+IFERROR(J21-J22,"nm")</f>
        <v>7.6000000000000068E-2</v>
      </c>
      <c r="K23" s="46">
        <f t="shared" si="50"/>
        <v>7.6000000000000068E-2</v>
      </c>
      <c r="L23" s="46">
        <f t="shared" si="50"/>
        <v>7.6000000000000068E-2</v>
      </c>
      <c r="M23" s="46">
        <f t="shared" si="50"/>
        <v>7.6000000000000068E-2</v>
      </c>
      <c r="N23" s="46">
        <f t="shared" si="50"/>
        <v>7.6000000000000068E-2</v>
      </c>
    </row>
    <row r="24" spans="1:14" ht="15" thickBot="1" x14ac:dyDescent="0.35">
      <c r="A24" s="44" t="s">
        <v>115</v>
      </c>
      <c r="B24" s="3">
        <f>+Historicals!B117</f>
        <v>0</v>
      </c>
      <c r="C24" s="3">
        <f>+Historicals!C117</f>
        <v>0</v>
      </c>
      <c r="D24" s="3">
        <f>+Historicals!D117</f>
        <v>0</v>
      </c>
      <c r="E24" s="3">
        <f>+Historicals!E117</f>
        <v>0</v>
      </c>
      <c r="F24" s="7">
        <v>5250</v>
      </c>
      <c r="G24" s="7">
        <v>4639</v>
      </c>
      <c r="H24" s="7">
        <f>+Historicals!H117</f>
        <v>5028</v>
      </c>
      <c r="I24" s="7">
        <f>+Historicals!I117</f>
        <v>5492</v>
      </c>
      <c r="J24" s="53">
        <f>I24*1.02</f>
        <v>5601.84</v>
      </c>
      <c r="K24" s="53">
        <f t="shared" ref="K24:N24" si="51">J24*1.02</f>
        <v>5713.8768</v>
      </c>
      <c r="L24" s="53">
        <f t="shared" si="51"/>
        <v>5828.1543360000005</v>
      </c>
      <c r="M24" s="53">
        <f t="shared" si="51"/>
        <v>5944.7174227200003</v>
      </c>
      <c r="N24" s="53">
        <f t="shared" si="51"/>
        <v>6063.6117711744</v>
      </c>
    </row>
    <row r="25" spans="1:14" ht="15" thickTop="1" x14ac:dyDescent="0.3">
      <c r="A25" s="43" t="s">
        <v>130</v>
      </c>
      <c r="B25" s="46" t="str">
        <f t="shared" ref="B25" si="52">+IFERROR(B24/A24-1,"nm")</f>
        <v>nm</v>
      </c>
      <c r="C25" s="46" t="str">
        <f t="shared" ref="C25" si="53">+IFERROR(C24/B24-1,"nm")</f>
        <v>nm</v>
      </c>
      <c r="D25" s="46" t="str">
        <f t="shared" ref="D25" si="54">+IFERROR(D24/C24-1,"nm")</f>
        <v>nm</v>
      </c>
      <c r="E25" s="46" t="str">
        <f t="shared" ref="E25" si="55">+IFERROR(E24/D24-1,"nm")</f>
        <v>nm</v>
      </c>
      <c r="F25" s="46" t="str">
        <f t="shared" ref="F25" si="56">+IFERROR(F24/E24-1,"nm")</f>
        <v>nm</v>
      </c>
      <c r="G25" s="46">
        <f t="shared" ref="G25" si="57">+IFERROR(G24/F24-1,"nm")</f>
        <v>-0.11638095238095236</v>
      </c>
      <c r="H25" s="46">
        <f t="shared" ref="H25" si="58">+IFERROR(H24/G24-1,"nm")</f>
        <v>8.3854278939426541E-2</v>
      </c>
      <c r="I25" s="46">
        <f>+IFERROR(I24/H24-1,"nm")</f>
        <v>9.2283214001591007E-2</v>
      </c>
      <c r="J25" s="46">
        <f t="shared" ref="J25:N25" si="59">+IFERROR(J24/I24-1,"nm")</f>
        <v>2.0000000000000018E-2</v>
      </c>
      <c r="K25" s="46">
        <f t="shared" si="59"/>
        <v>2.0000000000000018E-2</v>
      </c>
      <c r="L25" s="46">
        <f t="shared" si="59"/>
        <v>2.0000000000000018E-2</v>
      </c>
      <c r="M25" s="46">
        <f t="shared" si="59"/>
        <v>2.0000000000000018E-2</v>
      </c>
      <c r="N25" s="46">
        <f t="shared" si="59"/>
        <v>2.0000000000000018E-2</v>
      </c>
    </row>
    <row r="26" spans="1:14" x14ac:dyDescent="0.3">
      <c r="A26" s="43" t="s">
        <v>138</v>
      </c>
      <c r="B26" s="46">
        <f>+Historicals!B194</f>
        <v>0</v>
      </c>
      <c r="C26" s="46">
        <f>+Historicals!C194</f>
        <v>0</v>
      </c>
      <c r="D26" s="46">
        <f>+Historicals!D194</f>
        <v>0</v>
      </c>
      <c r="E26" s="46">
        <f>+Historicals!E194</f>
        <v>0</v>
      </c>
      <c r="F26" s="46">
        <f>+Historicals!F194</f>
        <v>0</v>
      </c>
      <c r="G26" s="46">
        <f>+Historicals!G194</f>
        <v>-6.3721595423486432E-2</v>
      </c>
      <c r="H26" s="46">
        <f>+Historicals!H194</f>
        <v>0.18295994568907004</v>
      </c>
      <c r="I26" s="46">
        <f>+Historicals!I194</f>
        <v>0.09</v>
      </c>
      <c r="J26" s="46">
        <f>+Historicals!J194</f>
        <v>0</v>
      </c>
      <c r="K26" s="46">
        <f>+Historicals!K194</f>
        <v>0</v>
      </c>
      <c r="L26" s="46">
        <f>+Historicals!L194</f>
        <v>0</v>
      </c>
      <c r="M26" s="46">
        <f>+Historicals!M194</f>
        <v>0</v>
      </c>
      <c r="N26" s="46">
        <f>+Historicals!N194</f>
        <v>0</v>
      </c>
    </row>
    <row r="27" spans="1:14" x14ac:dyDescent="0.3">
      <c r="A27" s="43" t="s">
        <v>139</v>
      </c>
      <c r="B27" s="46" t="str">
        <f>+IFERROR(B25-B26,"nm")</f>
        <v>nm</v>
      </c>
      <c r="C27" s="46" t="str">
        <f t="shared" ref="C27" si="60">+IFERROR(C25-C26,"nm")</f>
        <v>nm</v>
      </c>
      <c r="D27" s="46" t="str">
        <f t="shared" ref="D27" si="61">+IFERROR(D25-D26,"nm")</f>
        <v>nm</v>
      </c>
      <c r="E27" s="46" t="str">
        <f t="shared" ref="E27" si="62">+IFERROR(E25-E26,"nm")</f>
        <v>nm</v>
      </c>
      <c r="F27" s="46" t="str">
        <f t="shared" ref="F27" si="63">+IFERROR(F25-F26,"nm")</f>
        <v>nm</v>
      </c>
      <c r="G27" s="46">
        <f>+IFERROR(G25-G26,"nm")</f>
        <v>-5.265935695746593E-2</v>
      </c>
      <c r="H27" s="46">
        <f t="shared" ref="H27" si="64">+IFERROR(H25-H26,"nm")</f>
        <v>-9.9105666749643495E-2</v>
      </c>
      <c r="I27" s="46">
        <f>+IFERROR(I25-I26,"nm")</f>
        <v>2.2832140015910107E-3</v>
      </c>
      <c r="J27" s="49">
        <v>-1E-4</v>
      </c>
      <c r="K27" s="49">
        <v>-1E-4</v>
      </c>
      <c r="L27" s="49">
        <v>-1E-4</v>
      </c>
      <c r="M27" s="49">
        <v>-1E-4</v>
      </c>
      <c r="N27" s="49">
        <v>-1E-4</v>
      </c>
    </row>
    <row r="28" spans="1:14" ht="15" thickBot="1" x14ac:dyDescent="0.35">
      <c r="A28" s="44" t="s">
        <v>116</v>
      </c>
      <c r="B28" s="3">
        <f>+Historicals!B118</f>
        <v>0</v>
      </c>
      <c r="C28" s="3">
        <f>+Historicals!C118</f>
        <v>0</v>
      </c>
      <c r="D28" s="3">
        <f>+Historicals!D118</f>
        <v>0</v>
      </c>
      <c r="E28" s="3">
        <f>+Historicals!E118</f>
        <v>0</v>
      </c>
      <c r="F28" s="7">
        <v>597</v>
      </c>
      <c r="G28" s="7">
        <v>516</v>
      </c>
      <c r="H28" s="7">
        <f>+Historicals!H118</f>
        <v>507</v>
      </c>
      <c r="I28" s="7">
        <f>+Historicals!I118</f>
        <v>633</v>
      </c>
      <c r="J28" s="53">
        <f>I28*1.032</f>
        <v>653.25599999999997</v>
      </c>
      <c r="K28" s="53">
        <f t="shared" ref="K28:N28" si="65">J28*1.032</f>
        <v>674.16019199999994</v>
      </c>
      <c r="L28" s="53">
        <f t="shared" si="65"/>
        <v>695.73331814400001</v>
      </c>
      <c r="M28" s="53">
        <f t="shared" si="65"/>
        <v>717.99678432460803</v>
      </c>
      <c r="N28" s="53">
        <f t="shared" si="65"/>
        <v>740.97268142299549</v>
      </c>
    </row>
    <row r="29" spans="1:14" ht="15" thickTop="1" x14ac:dyDescent="0.3">
      <c r="A29" s="43" t="s">
        <v>130</v>
      </c>
      <c r="B29" s="46" t="str">
        <f t="shared" ref="B29" si="66">+IFERROR(B28/A28-1,"nm")</f>
        <v>nm</v>
      </c>
      <c r="C29" s="46" t="str">
        <f t="shared" ref="C29" si="67">+IFERROR(C28/B28-1,"nm")</f>
        <v>nm</v>
      </c>
      <c r="D29" s="46" t="str">
        <f t="shared" ref="D29" si="68">+IFERROR(D28/C28-1,"nm")</f>
        <v>nm</v>
      </c>
      <c r="E29" s="46" t="str">
        <f t="shared" ref="E29" si="69">+IFERROR(E28/D28-1,"nm")</f>
        <v>nm</v>
      </c>
      <c r="F29" s="46" t="str">
        <f t="shared" ref="F29" si="70">+IFERROR(F28/E28-1,"nm")</f>
        <v>nm</v>
      </c>
      <c r="G29" s="46">
        <f t="shared" ref="G29:H29" si="71">+IFERROR(G28/F28-1,"nm")</f>
        <v>-0.13567839195979903</v>
      </c>
      <c r="H29" s="46">
        <f t="shared" si="71"/>
        <v>-1.744186046511631E-2</v>
      </c>
      <c r="I29" s="46">
        <f>+IFERROR(I28/H28-1,"nm")</f>
        <v>0.24852071005917153</v>
      </c>
      <c r="J29" s="46">
        <f t="shared" ref="J29:N29" si="72">+IFERROR(J28/I28-1,"nm")</f>
        <v>3.2000000000000028E-2</v>
      </c>
      <c r="K29" s="46">
        <f t="shared" si="72"/>
        <v>3.2000000000000028E-2</v>
      </c>
      <c r="L29" s="46">
        <f t="shared" si="72"/>
        <v>3.2000000000000028E-2</v>
      </c>
      <c r="M29" s="46">
        <f t="shared" si="72"/>
        <v>3.2000000000000028E-2</v>
      </c>
      <c r="N29" s="46">
        <f t="shared" si="72"/>
        <v>3.2000000000000028E-2</v>
      </c>
    </row>
    <row r="30" spans="1:14" x14ac:dyDescent="0.3">
      <c r="A30" s="43" t="s">
        <v>138</v>
      </c>
      <c r="B30" s="46">
        <f>+Historicals!B192</f>
        <v>0</v>
      </c>
      <c r="C30" s="46">
        <f>+Historicals!C192</f>
        <v>0</v>
      </c>
      <c r="D30" s="46">
        <f>+Historicals!D192</f>
        <v>0</v>
      </c>
      <c r="E30" s="46">
        <f>+Historicals!E192</f>
        <v>0</v>
      </c>
      <c r="F30" s="46">
        <f>+Historicals!F192</f>
        <v>0</v>
      </c>
      <c r="G30" s="46">
        <f>+Historicals!G192</f>
        <v>-0.13567839195979903</v>
      </c>
      <c r="H30" s="46">
        <f>+Historicals!H192</f>
        <v>-1.744186046511631E-2</v>
      </c>
      <c r="I30" s="46">
        <f>+Historicals!I192</f>
        <v>0.25</v>
      </c>
      <c r="J30" s="46">
        <f>+Historicals!J192</f>
        <v>0</v>
      </c>
      <c r="K30" s="46">
        <f>+Historicals!K192</f>
        <v>0</v>
      </c>
      <c r="L30" s="46">
        <f>+Historicals!L192</f>
        <v>0</v>
      </c>
      <c r="M30" s="46">
        <f>+Historicals!M192</f>
        <v>0</v>
      </c>
      <c r="N30" s="46">
        <f>+Historicals!N192</f>
        <v>0</v>
      </c>
    </row>
    <row r="31" spans="1:14" x14ac:dyDescent="0.3">
      <c r="A31" s="43" t="s">
        <v>139</v>
      </c>
      <c r="B31" s="46" t="str">
        <f t="shared" ref="B31" si="73">+IFERROR(B29-B30,"nm")</f>
        <v>nm</v>
      </c>
      <c r="C31" s="46" t="str">
        <f t="shared" ref="C31" si="74">+IFERROR(C29-C30,"nm")</f>
        <v>nm</v>
      </c>
      <c r="D31" s="46" t="str">
        <f t="shared" ref="D31" si="75">+IFERROR(D29-D30,"nm")</f>
        <v>nm</v>
      </c>
      <c r="E31" s="46" t="str">
        <f t="shared" ref="E31" si="76">+IFERROR(E29-E30,"nm")</f>
        <v>nm</v>
      </c>
      <c r="F31" s="46" t="str">
        <f t="shared" ref="F31" si="77">+IFERROR(F29-F30,"nm")</f>
        <v>nm</v>
      </c>
      <c r="G31" s="46">
        <f>+IFERROR(G29-G30,"nm")</f>
        <v>0</v>
      </c>
      <c r="H31" s="46">
        <f>+IFERROR(H29-H30,"nm")</f>
        <v>0</v>
      </c>
      <c r="I31" s="46">
        <f>+IFERROR(I29-I30,"nm")</f>
        <v>-1.4792899408284654E-3</v>
      </c>
      <c r="J31" s="49">
        <v>-5.1999999999999998E-2</v>
      </c>
      <c r="K31" s="49">
        <v>-5.1999999999999998E-2</v>
      </c>
      <c r="L31" s="49">
        <v>-5.1999999999999998E-2</v>
      </c>
      <c r="M31" s="49">
        <v>-5.1999999999999998E-2</v>
      </c>
      <c r="N31" s="49">
        <v>-5.1999999999999998E-2</v>
      </c>
    </row>
    <row r="32" spans="1:14" ht="15" thickBot="1" x14ac:dyDescent="0.35">
      <c r="A32" s="9" t="s">
        <v>131</v>
      </c>
      <c r="B32" s="54">
        <f>B38+B35</f>
        <v>3766</v>
      </c>
      <c r="C32" s="54">
        <f t="shared" ref="C32:I32" si="78">C38+C35</f>
        <v>3896</v>
      </c>
      <c r="D32" s="54">
        <f t="shared" si="78"/>
        <v>4015</v>
      </c>
      <c r="E32" s="54">
        <f t="shared" si="78"/>
        <v>3760</v>
      </c>
      <c r="F32" s="54">
        <f t="shared" si="78"/>
        <v>4074</v>
      </c>
      <c r="G32" s="54">
        <f t="shared" si="78"/>
        <v>3047</v>
      </c>
      <c r="H32" s="54">
        <f t="shared" si="78"/>
        <v>5219</v>
      </c>
      <c r="I32" s="54">
        <f t="shared" si="78"/>
        <v>5238</v>
      </c>
      <c r="J32" s="53">
        <f>I32*1.078</f>
        <v>5646.5640000000003</v>
      </c>
      <c r="K32" s="53">
        <f t="shared" ref="K32:N32" si="79">J32*1.078</f>
        <v>6086.995992000001</v>
      </c>
      <c r="L32" s="53">
        <f t="shared" si="79"/>
        <v>6561.7816793760012</v>
      </c>
      <c r="M32" s="53">
        <f t="shared" si="79"/>
        <v>7073.6006503673298</v>
      </c>
      <c r="N32" s="53">
        <f t="shared" si="79"/>
        <v>7625.3415010959816</v>
      </c>
    </row>
    <row r="33" spans="1:14" ht="15" thickTop="1" x14ac:dyDescent="0.3">
      <c r="A33" s="45" t="s">
        <v>130</v>
      </c>
      <c r="B33" s="46" t="str">
        <f t="shared" ref="B33" si="80">+IFERROR(B32/A32-1,"nm")</f>
        <v>nm</v>
      </c>
      <c r="C33" s="46">
        <f t="shared" ref="C33" si="81">+IFERROR(C32/B32-1,"nm")</f>
        <v>3.4519383961763239E-2</v>
      </c>
      <c r="D33" s="46">
        <f t="shared" ref="D33" si="82">+IFERROR(D32/C32-1,"nm")</f>
        <v>3.0544147843942548E-2</v>
      </c>
      <c r="E33" s="46">
        <f t="shared" ref="E33" si="83">+IFERROR(E32/D32-1,"nm")</f>
        <v>-6.3511830635118338E-2</v>
      </c>
      <c r="F33" s="46">
        <f t="shared" ref="F33" si="84">+IFERROR(F32/E32-1,"nm")</f>
        <v>8.3510638297872308E-2</v>
      </c>
      <c r="G33" s="46">
        <f t="shared" ref="G33" si="85">+IFERROR(G32/F32-1,"nm")</f>
        <v>-0.25208640157093765</v>
      </c>
      <c r="H33" s="46">
        <f t="shared" ref="H33" si="86">+IFERROR(H32/G32-1,"nm")</f>
        <v>0.71283229405973092</v>
      </c>
      <c r="I33" s="46">
        <f>+IFERROR(I32/H32-1,"nm")</f>
        <v>3.6405441655489312E-3</v>
      </c>
      <c r="J33" s="46">
        <f t="shared" ref="J33:N33" si="87">+IFERROR(J32/I32-1,"nm")</f>
        <v>7.8000000000000069E-2</v>
      </c>
      <c r="K33" s="46">
        <f t="shared" si="87"/>
        <v>7.8000000000000069E-2</v>
      </c>
      <c r="L33" s="46">
        <f t="shared" si="87"/>
        <v>7.8000000000000069E-2</v>
      </c>
      <c r="M33" s="46">
        <f t="shared" si="87"/>
        <v>7.8000000000000069E-2</v>
      </c>
      <c r="N33" s="46">
        <f t="shared" si="87"/>
        <v>7.8000000000000069E-2</v>
      </c>
    </row>
    <row r="34" spans="1:14" x14ac:dyDescent="0.3">
      <c r="A34" s="45" t="s">
        <v>132</v>
      </c>
      <c r="B34" s="46">
        <f t="shared" ref="B34:G34" si="88">+IFERROR(B32/B$18,"nm")</f>
        <v>0.27409024745269289</v>
      </c>
      <c r="C34" s="46">
        <f t="shared" si="88"/>
        <v>0.26388512598211866</v>
      </c>
      <c r="D34" s="46">
        <f t="shared" si="88"/>
        <v>0.26386698212407994</v>
      </c>
      <c r="E34" s="46">
        <f t="shared" si="88"/>
        <v>0.25311342982160889</v>
      </c>
      <c r="F34" s="46">
        <f t="shared" si="88"/>
        <v>0.25619418941013711</v>
      </c>
      <c r="G34" s="46">
        <f t="shared" si="88"/>
        <v>0.2103700635183651</v>
      </c>
      <c r="H34" s="46">
        <f>+IFERROR(H32/H$18,"nm")</f>
        <v>0.30380115256999823</v>
      </c>
      <c r="I34" s="46">
        <f>+IFERROR(I32/I$18,"nm")</f>
        <v>0.28540293140086087</v>
      </c>
      <c r="J34" s="46">
        <f t="shared" ref="J34:N34" si="89">+IFERROR(J32/J$18,"nm")</f>
        <v>0.29441565555036181</v>
      </c>
      <c r="K34" s="46">
        <f t="shared" si="89"/>
        <v>0.30371299204142593</v>
      </c>
      <c r="L34" s="46">
        <f>+IFERROR(L32/L$18,"nm")</f>
        <v>0.31330392863220785</v>
      </c>
      <c r="M34" s="46">
        <f t="shared" si="89"/>
        <v>0.32319773690480391</v>
      </c>
      <c r="N34" s="46">
        <f t="shared" si="89"/>
        <v>0.33340398122811354</v>
      </c>
    </row>
    <row r="35" spans="1:14" ht="15" thickBot="1" x14ac:dyDescent="0.35">
      <c r="A35" s="9" t="s">
        <v>133</v>
      </c>
      <c r="B35" s="7">
        <v>121</v>
      </c>
      <c r="C35" s="7">
        <v>133</v>
      </c>
      <c r="D35" s="7">
        <v>140</v>
      </c>
      <c r="E35" s="7">
        <v>160</v>
      </c>
      <c r="F35" s="7">
        <v>149</v>
      </c>
      <c r="G35" s="7">
        <v>148</v>
      </c>
      <c r="H35" s="7">
        <f>+Historicals!H177</f>
        <v>130</v>
      </c>
      <c r="I35" s="7">
        <f>+Historicals!I177</f>
        <v>124</v>
      </c>
      <c r="J35" s="55">
        <f>I35*1.007</f>
        <v>124.86799999999998</v>
      </c>
      <c r="K35" s="55">
        <f t="shared" ref="K35:N35" si="90">J35*1.007</f>
        <v>125.74207599999997</v>
      </c>
      <c r="L35" s="55">
        <f t="shared" si="90"/>
        <v>126.62227053199996</v>
      </c>
      <c r="M35" s="55">
        <f t="shared" si="90"/>
        <v>127.50862642572395</v>
      </c>
      <c r="N35" s="55">
        <f t="shared" si="90"/>
        <v>128.40118681070399</v>
      </c>
    </row>
    <row r="36" spans="1:14" ht="15" thickTop="1" x14ac:dyDescent="0.3">
      <c r="A36" s="45" t="s">
        <v>130</v>
      </c>
      <c r="B36" s="46" t="str">
        <f t="shared" ref="B36" si="91">+IFERROR(B35/A35-1,"nm")</f>
        <v>nm</v>
      </c>
      <c r="C36" s="46">
        <f t="shared" ref="C36" si="92">+IFERROR(C35/B35-1,"nm")</f>
        <v>9.9173553719008156E-2</v>
      </c>
      <c r="D36" s="46">
        <f t="shared" ref="D36" si="93">+IFERROR(D35/C35-1,"nm")</f>
        <v>5.2631578947368363E-2</v>
      </c>
      <c r="E36" s="46">
        <f t="shared" ref="E36" si="94">+IFERROR(E35/D35-1,"nm")</f>
        <v>0.14285714285714279</v>
      </c>
      <c r="F36" s="46">
        <f t="shared" ref="F36" si="95">+IFERROR(F35/E35-1,"nm")</f>
        <v>-6.8749999999999978E-2</v>
      </c>
      <c r="G36" s="46">
        <f t="shared" ref="G36" si="96">+IFERROR(G35/F35-1,"nm")</f>
        <v>-6.7114093959731447E-3</v>
      </c>
      <c r="H36" s="46">
        <f t="shared" ref="H36" si="97">+IFERROR(H35/G35-1,"nm")</f>
        <v>-0.1216216216216216</v>
      </c>
      <c r="I36" s="46">
        <f>+IFERROR(I35/H35-1,"nm")</f>
        <v>-4.6153846153846101E-2</v>
      </c>
      <c r="J36" s="46">
        <f t="shared" ref="J36:N36" si="98">+IFERROR(J35/I35-1,"nm")</f>
        <v>6.9999999999998952E-3</v>
      </c>
      <c r="K36" s="46">
        <f t="shared" si="98"/>
        <v>6.9999999999998952E-3</v>
      </c>
      <c r="L36" s="46">
        <f t="shared" si="98"/>
        <v>6.9999999999998952E-3</v>
      </c>
      <c r="M36" s="46">
        <f t="shared" si="98"/>
        <v>6.9999999999998952E-3</v>
      </c>
      <c r="N36" s="46">
        <f t="shared" si="98"/>
        <v>6.9999999999998952E-3</v>
      </c>
    </row>
    <row r="37" spans="1:14" x14ac:dyDescent="0.3">
      <c r="A37" s="45" t="s">
        <v>134</v>
      </c>
      <c r="B37" s="46">
        <f t="shared" ref="B37:H37" si="99">+IFERROR(B35/B$18,"nm")</f>
        <v>8.8064046579330417E-3</v>
      </c>
      <c r="C37" s="46">
        <f t="shared" si="99"/>
        <v>9.0083988079111346E-3</v>
      </c>
      <c r="D37" s="46">
        <f t="shared" si="99"/>
        <v>9.2008412197686646E-3</v>
      </c>
      <c r="E37" s="46">
        <f t="shared" si="99"/>
        <v>1.0770784247728038E-2</v>
      </c>
      <c r="F37" s="46">
        <f t="shared" si="99"/>
        <v>9.3698905798012821E-3</v>
      </c>
      <c r="G37" s="46">
        <f t="shared" si="99"/>
        <v>1.0218171775752554E-2</v>
      </c>
      <c r="H37" s="46">
        <f t="shared" si="99"/>
        <v>7.5673787764130628E-3</v>
      </c>
      <c r="I37" s="46">
        <f>+IFERROR(I35/I$18,"nm")</f>
        <v>6.7563886013185855E-3</v>
      </c>
      <c r="J37" s="46">
        <f t="shared" ref="J37:N37" si="100">+IFERROR(J35/J$18,"nm")</f>
        <v>6.5107017430888186E-3</v>
      </c>
      <c r="K37" s="46">
        <f t="shared" si="100"/>
        <v>6.2739489524310434E-3</v>
      </c>
      <c r="L37" s="46">
        <f t="shared" si="100"/>
        <v>6.0458053541608235E-3</v>
      </c>
      <c r="M37" s="46">
        <f t="shared" si="100"/>
        <v>5.825957886736793E-3</v>
      </c>
      <c r="N37" s="46">
        <f t="shared" si="100"/>
        <v>5.6141048726736364E-3</v>
      </c>
    </row>
    <row r="38" spans="1:14" ht="15" thickBot="1" x14ac:dyDescent="0.35">
      <c r="A38" s="9" t="s">
        <v>135</v>
      </c>
      <c r="B38" s="7">
        <v>3645</v>
      </c>
      <c r="C38" s="7">
        <v>3763</v>
      </c>
      <c r="D38" s="7">
        <v>3875</v>
      </c>
      <c r="E38" s="7">
        <v>3600</v>
      </c>
      <c r="F38" s="7">
        <v>3925</v>
      </c>
      <c r="G38" s="7">
        <v>2899</v>
      </c>
      <c r="H38" s="7">
        <f>+Historicals!H142</f>
        <v>5089</v>
      </c>
      <c r="I38" s="7">
        <f>+Historicals!I142</f>
        <v>5114</v>
      </c>
      <c r="J38" s="53">
        <f>I38*1.083</f>
        <v>5538.4619999999995</v>
      </c>
      <c r="K38" s="53">
        <f t="shared" ref="K38:N38" si="101">J38*1.083</f>
        <v>5998.1543459999994</v>
      </c>
      <c r="L38" s="53">
        <f t="shared" si="101"/>
        <v>6496.001156717999</v>
      </c>
      <c r="M38" s="53">
        <f t="shared" si="101"/>
        <v>7035.1692527255927</v>
      </c>
      <c r="N38" s="53">
        <f t="shared" si="101"/>
        <v>7619.0883007018165</v>
      </c>
    </row>
    <row r="39" spans="1:14" ht="15" thickTop="1" x14ac:dyDescent="0.3">
      <c r="A39" s="45" t="s">
        <v>130</v>
      </c>
      <c r="B39" s="46" t="str">
        <f t="shared" ref="B39" si="102">+IFERROR(B38/A38-1,"nm")</f>
        <v>nm</v>
      </c>
      <c r="C39" s="46">
        <f t="shared" ref="C39" si="103">+IFERROR(C38/B38-1,"nm")</f>
        <v>3.2373113854595292E-2</v>
      </c>
      <c r="D39" s="46">
        <f t="shared" ref="D39" si="104">+IFERROR(D38/C38-1,"nm")</f>
        <v>2.9763486579856391E-2</v>
      </c>
      <c r="E39" s="46">
        <f t="shared" ref="E39" si="105">+IFERROR(E38/D38-1,"nm")</f>
        <v>-7.096774193548383E-2</v>
      </c>
      <c r="F39" s="46">
        <f t="shared" ref="F39" si="106">+IFERROR(F38/E38-1,"nm")</f>
        <v>9.0277777777777679E-2</v>
      </c>
      <c r="G39" s="46">
        <f t="shared" ref="G39" si="107">+IFERROR(G38/F38-1,"nm")</f>
        <v>-0.26140127388535028</v>
      </c>
      <c r="H39" s="46">
        <f t="shared" ref="H39" si="108">+IFERROR(H38/G38-1,"nm")</f>
        <v>0.75543290789927564</v>
      </c>
      <c r="I39" s="46">
        <f>+IFERROR(I38/H38-1,"nm")</f>
        <v>4.9125564943997002E-3</v>
      </c>
      <c r="J39" s="46">
        <f t="shared" ref="J39:N39" si="109">+IFERROR(J38/I38-1,"nm")</f>
        <v>8.2999999999999963E-2</v>
      </c>
      <c r="K39" s="46">
        <f t="shared" si="109"/>
        <v>8.2999999999999963E-2</v>
      </c>
      <c r="L39" s="46">
        <f t="shared" si="109"/>
        <v>8.2999999999999963E-2</v>
      </c>
      <c r="M39" s="46">
        <f t="shared" si="109"/>
        <v>8.2999999999999963E-2</v>
      </c>
      <c r="N39" s="46">
        <f t="shared" si="109"/>
        <v>8.2999999999999963E-2</v>
      </c>
    </row>
    <row r="40" spans="1:14" x14ac:dyDescent="0.3">
      <c r="A40" s="45" t="s">
        <v>132</v>
      </c>
      <c r="B40" s="46">
        <f t="shared" ref="B40:H40" si="110">+IFERROR(B38/B$18,"nm")</f>
        <v>0.26528384279475981</v>
      </c>
      <c r="C40" s="46">
        <f>+IFERROR(C38/C$18,"nm")</f>
        <v>0.25487672717420751</v>
      </c>
      <c r="D40" s="46">
        <f t="shared" si="110"/>
        <v>0.25466614090431128</v>
      </c>
      <c r="E40" s="46">
        <f t="shared" si="110"/>
        <v>0.24234264557388085</v>
      </c>
      <c r="F40" s="46">
        <f t="shared" si="110"/>
        <v>0.2468242988303358</v>
      </c>
      <c r="G40" s="46">
        <f t="shared" si="110"/>
        <v>0.20015189174261253</v>
      </c>
      <c r="H40" s="46">
        <f t="shared" si="110"/>
        <v>0.29623377379358518</v>
      </c>
      <c r="I40" s="46">
        <f>+IFERROR(I38/I$18,"nm")</f>
        <v>0.27864654279954232</v>
      </c>
      <c r="J40" s="46">
        <f t="shared" ref="J40:N40" si="111">+IFERROR(J38/J$18,"nm")</f>
        <v>0.28877914435588931</v>
      </c>
      <c r="K40" s="46">
        <f t="shared" si="111"/>
        <v>0.29928020415064893</v>
      </c>
      <c r="L40" s="46">
        <f t="shared" si="111"/>
        <v>0.31016312066521801</v>
      </c>
      <c r="M40" s="46">
        <f t="shared" si="111"/>
        <v>0.32144177959849868</v>
      </c>
      <c r="N40" s="46">
        <f t="shared" si="111"/>
        <v>0.33313057158389858</v>
      </c>
    </row>
    <row r="41" spans="1:14" ht="15" thickBot="1" x14ac:dyDescent="0.35">
      <c r="A41" s="9" t="s">
        <v>136</v>
      </c>
      <c r="B41" s="7">
        <v>208</v>
      </c>
      <c r="C41" s="7">
        <v>242</v>
      </c>
      <c r="D41" s="7">
        <v>223</v>
      </c>
      <c r="E41" s="7">
        <v>196</v>
      </c>
      <c r="F41" s="7">
        <v>117</v>
      </c>
      <c r="G41" s="7">
        <v>110</v>
      </c>
      <c r="H41" s="7">
        <v>98</v>
      </c>
      <c r="I41" s="7">
        <v>146</v>
      </c>
      <c r="J41" s="53">
        <f>I41*0.97</f>
        <v>141.62</v>
      </c>
      <c r="K41" s="53">
        <f t="shared" ref="K41:N41" si="112">J41*0.97</f>
        <v>137.37139999999999</v>
      </c>
      <c r="L41" s="53">
        <f t="shared" si="112"/>
        <v>133.250258</v>
      </c>
      <c r="M41" s="53">
        <f t="shared" si="112"/>
        <v>129.25275026</v>
      </c>
      <c r="N41" s="53">
        <f t="shared" si="112"/>
        <v>125.3751677522</v>
      </c>
    </row>
    <row r="42" spans="1:14" ht="15" thickTop="1" x14ac:dyDescent="0.3">
      <c r="A42" s="45" t="s">
        <v>130</v>
      </c>
      <c r="B42" s="46" t="str">
        <f t="shared" ref="B42" si="113">+IFERROR(B41/A41-1,"nm")</f>
        <v>nm</v>
      </c>
      <c r="C42" s="46">
        <f t="shared" ref="C42" si="114">+IFERROR(C41/B41-1,"nm")</f>
        <v>0.16346153846153855</v>
      </c>
      <c r="D42" s="46">
        <f t="shared" ref="D42" si="115">+IFERROR(D41/C41-1,"nm")</f>
        <v>-7.8512396694214837E-2</v>
      </c>
      <c r="E42" s="46">
        <f t="shared" ref="E42" si="116">+IFERROR(E41/D41-1,"nm")</f>
        <v>-0.12107623318385652</v>
      </c>
      <c r="F42" s="46">
        <f t="shared" ref="F42" si="117">+IFERROR(F41/E41-1,"nm")</f>
        <v>-0.40306122448979587</v>
      </c>
      <c r="G42" s="46">
        <f t="shared" ref="G42" si="118">+IFERROR(G41/F41-1,"nm")</f>
        <v>-5.9829059829059839E-2</v>
      </c>
      <c r="H42" s="46">
        <f>+IFERROR(H41/G41-1,"nm")</f>
        <v>-0.10909090909090913</v>
      </c>
      <c r="I42" s="46">
        <f>+IFERROR(I41/H41-1,"nm")</f>
        <v>0.48979591836734704</v>
      </c>
      <c r="J42" s="46">
        <f t="shared" ref="J42:N42" si="119">+IFERROR(J41/I41-1,"nm")</f>
        <v>-2.9999999999999916E-2</v>
      </c>
      <c r="K42" s="46">
        <f t="shared" si="119"/>
        <v>-3.0000000000000027E-2</v>
      </c>
      <c r="L42" s="46">
        <f t="shared" si="119"/>
        <v>-2.9999999999999916E-2</v>
      </c>
      <c r="M42" s="46">
        <f t="shared" si="119"/>
        <v>-3.0000000000000027E-2</v>
      </c>
      <c r="N42" s="46">
        <f t="shared" si="119"/>
        <v>-3.0000000000000027E-2</v>
      </c>
    </row>
    <row r="43" spans="1:14" x14ac:dyDescent="0.3">
      <c r="A43" s="45" t="s">
        <v>134</v>
      </c>
      <c r="B43" s="46">
        <f t="shared" ref="B43:H43" si="120">+IFERROR(B41/B$18,"nm")</f>
        <v>1.5138282387190683E-2</v>
      </c>
      <c r="C43" s="46">
        <f t="shared" si="120"/>
        <v>1.6391221891086428E-2</v>
      </c>
      <c r="D43" s="46">
        <f t="shared" si="120"/>
        <v>1.4655625657202945E-2</v>
      </c>
      <c r="E43" s="46">
        <f t="shared" si="120"/>
        <v>1.3194210703466847E-2</v>
      </c>
      <c r="F43" s="46">
        <f t="shared" si="120"/>
        <v>7.3575650861526856E-3</v>
      </c>
      <c r="G43" s="46">
        <f t="shared" si="120"/>
        <v>7.5945871306268989E-3</v>
      </c>
      <c r="H43" s="46">
        <f t="shared" si="120"/>
        <v>5.7046393852960009E-3</v>
      </c>
      <c r="I43" s="46">
        <f>+IFERROR(I41/I$18,"nm")</f>
        <v>7.9551027080041418E-3</v>
      </c>
      <c r="J43" s="46">
        <f t="shared" ref="J43:N43" si="121">+IFERROR(J41/J$18,"nm")</f>
        <v>7.3841623222622174E-3</v>
      </c>
      <c r="K43" s="46">
        <f t="shared" si="121"/>
        <v>6.854198519229044E-3</v>
      </c>
      <c r="L43" s="46">
        <f t="shared" si="121"/>
        <v>6.3622703958394009E-3</v>
      </c>
      <c r="M43" s="46">
        <f t="shared" si="121"/>
        <v>5.9056481186260468E-3</v>
      </c>
      <c r="N43" s="46">
        <f t="shared" si="121"/>
        <v>5.4817977751839865E-3</v>
      </c>
    </row>
    <row r="44" spans="1:14" x14ac:dyDescent="0.3">
      <c r="A44" s="42" t="str">
        <f>+Historicals!A119</f>
        <v>Europe, Middle East &amp; Africa</v>
      </c>
      <c r="B44" s="42"/>
      <c r="C44" s="42"/>
      <c r="D44" s="42"/>
      <c r="E44" s="42"/>
      <c r="F44" s="42"/>
      <c r="G44" s="42"/>
      <c r="H44" s="42"/>
      <c r="I44" s="42"/>
      <c r="J44" s="57"/>
      <c r="K44" s="57"/>
      <c r="L44" s="57"/>
      <c r="M44" s="57"/>
      <c r="N44" s="57"/>
    </row>
    <row r="45" spans="1:14" ht="15" thickBot="1" x14ac:dyDescent="0.35">
      <c r="A45" s="9" t="s">
        <v>137</v>
      </c>
      <c r="B45" s="7">
        <v>7126</v>
      </c>
      <c r="C45" s="7">
        <v>7315</v>
      </c>
      <c r="D45" s="7">
        <v>7698</v>
      </c>
      <c r="E45" s="7">
        <v>9242</v>
      </c>
      <c r="F45" s="7">
        <v>9812</v>
      </c>
      <c r="G45" s="7">
        <v>9347</v>
      </c>
      <c r="H45" s="7">
        <v>11456</v>
      </c>
      <c r="I45" s="7">
        <v>12479</v>
      </c>
      <c r="J45" s="53">
        <f>1.087*I45</f>
        <v>13564.672999999999</v>
      </c>
      <c r="K45" s="53">
        <f t="shared" ref="K45:N45" si="122">1.087*J45</f>
        <v>14744.799550999998</v>
      </c>
      <c r="L45" s="53">
        <f t="shared" si="122"/>
        <v>16027.597111936997</v>
      </c>
      <c r="M45" s="53">
        <f t="shared" si="122"/>
        <v>17421.998060675516</v>
      </c>
      <c r="N45" s="53">
        <f t="shared" si="122"/>
        <v>18937.711891954285</v>
      </c>
    </row>
    <row r="46" spans="1:14" ht="15" thickTop="1" x14ac:dyDescent="0.3">
      <c r="A46" s="43" t="s">
        <v>130</v>
      </c>
      <c r="B46" s="46" t="str">
        <f t="shared" ref="B46" si="123">+IFERROR(B45/A45-1,"nm")</f>
        <v>nm</v>
      </c>
      <c r="C46" s="46">
        <f t="shared" ref="C46" si="124">+IFERROR(C45/B45-1,"nm")</f>
        <v>2.6522593320235766E-2</v>
      </c>
      <c r="D46" s="46">
        <f t="shared" ref="D46" si="125">+IFERROR(D45/C45-1,"nm")</f>
        <v>5.2358168147641937E-2</v>
      </c>
      <c r="E46" s="46">
        <f t="shared" ref="E46" si="126">+IFERROR(E45/D45-1,"nm")</f>
        <v>0.20057157703299566</v>
      </c>
      <c r="F46" s="46">
        <f t="shared" ref="F46" si="127">+IFERROR(F45/E45-1,"nm")</f>
        <v>6.1674962129409261E-2</v>
      </c>
      <c r="G46" s="46">
        <f t="shared" ref="G46" si="128">+IFERROR(G45/F45-1,"nm")</f>
        <v>-4.7390949857317621E-2</v>
      </c>
      <c r="H46" s="46">
        <f t="shared" ref="H46" si="129">+IFERROR(H45/G45-1,"nm")</f>
        <v>0.22563389322777372</v>
      </c>
      <c r="I46" s="46">
        <f>+IFERROR(I45/H45-1,"nm")</f>
        <v>8.9298184357541999E-2</v>
      </c>
      <c r="J46" s="46">
        <f t="shared" ref="J46:N46" si="130">+IFERROR(J45/I45-1,"nm")</f>
        <v>8.6999999999999966E-2</v>
      </c>
      <c r="K46" s="46">
        <f t="shared" si="130"/>
        <v>8.6999999999999966E-2</v>
      </c>
      <c r="L46" s="46">
        <f t="shared" si="130"/>
        <v>8.6999999999999966E-2</v>
      </c>
      <c r="M46" s="46">
        <f t="shared" si="130"/>
        <v>8.6999999999999966E-2</v>
      </c>
      <c r="N46" s="46">
        <f t="shared" si="130"/>
        <v>8.6999999999999966E-2</v>
      </c>
    </row>
    <row r="47" spans="1:14" ht="15" thickBot="1" x14ac:dyDescent="0.35">
      <c r="A47" s="44" t="s">
        <v>114</v>
      </c>
      <c r="B47" s="7">
        <f>+Historicals!B143</f>
        <v>1524</v>
      </c>
      <c r="C47" s="7">
        <f>+Historicals!C143</f>
        <v>1723</v>
      </c>
      <c r="D47" s="7">
        <f>+Historicals!D143</f>
        <v>1507</v>
      </c>
      <c r="E47" s="7">
        <f>+Historicals!E143</f>
        <v>1587</v>
      </c>
      <c r="F47" s="6">
        <v>6293</v>
      </c>
      <c r="G47" s="6">
        <v>5892</v>
      </c>
      <c r="H47" s="7">
        <f>+Historicals!H143</f>
        <v>2435</v>
      </c>
      <c r="I47" s="7">
        <f>+Historicals!I143</f>
        <v>3293</v>
      </c>
      <c r="J47" s="55">
        <f>0.901*I47</f>
        <v>2966.9929999999999</v>
      </c>
      <c r="K47" s="55">
        <f t="shared" ref="K47:N47" si="131">0.901*J47</f>
        <v>2673.2606930000002</v>
      </c>
      <c r="L47" s="55">
        <f t="shared" si="131"/>
        <v>2408.6078843930004</v>
      </c>
      <c r="M47" s="55">
        <f t="shared" si="131"/>
        <v>2170.1557038380934</v>
      </c>
      <c r="N47" s="55">
        <f t="shared" si="131"/>
        <v>1955.3102891581223</v>
      </c>
    </row>
    <row r="48" spans="1:14" ht="15" thickTop="1" x14ac:dyDescent="0.3">
      <c r="A48" s="43" t="s">
        <v>130</v>
      </c>
      <c r="B48" s="46" t="str">
        <f t="shared" ref="B48" si="132">+IFERROR(B47/A47-1,"nm")</f>
        <v>nm</v>
      </c>
      <c r="C48" s="46">
        <f t="shared" ref="C48" si="133">+IFERROR(C47/B47-1,"nm")</f>
        <v>0.13057742782152237</v>
      </c>
      <c r="D48" s="46">
        <f t="shared" ref="D48" si="134">+IFERROR(D47/C47-1,"nm")</f>
        <v>-0.12536273940800924</v>
      </c>
      <c r="E48" s="46">
        <f t="shared" ref="E48" si="135">+IFERROR(E47/D47-1,"nm")</f>
        <v>5.3085600530855981E-2</v>
      </c>
      <c r="F48" s="46">
        <f t="shared" ref="F48" si="136">+IFERROR(F47/E47-1,"nm")</f>
        <v>2.9653434152488973</v>
      </c>
      <c r="G48" s="46">
        <f t="shared" ref="G48" si="137">+IFERROR(G47/F47-1,"nm")</f>
        <v>-6.3721595423486432E-2</v>
      </c>
      <c r="H48" s="46">
        <f t="shared" ref="H48" si="138">+IFERROR(H47/G47-1,"nm")</f>
        <v>-0.58672776646300062</v>
      </c>
      <c r="I48" s="46">
        <f>+IFERROR(I47/H47-1,"nm")</f>
        <v>0.3523613963039014</v>
      </c>
      <c r="J48" s="46">
        <f>+IFERROR(J47/I47-1,"nm")</f>
        <v>-9.8999999999999977E-2</v>
      </c>
      <c r="K48" s="46">
        <f t="shared" ref="K48:N48" si="139">+IFERROR(K47/J47-1,"nm")</f>
        <v>-9.8999999999999977E-2</v>
      </c>
      <c r="L48" s="46">
        <f t="shared" si="139"/>
        <v>-9.8999999999999866E-2</v>
      </c>
      <c r="M48" s="46">
        <f t="shared" si="139"/>
        <v>-9.8999999999999977E-2</v>
      </c>
      <c r="N48" s="46">
        <f t="shared" si="139"/>
        <v>-9.8999999999999977E-2</v>
      </c>
    </row>
    <row r="49" spans="1:14" x14ac:dyDescent="0.3">
      <c r="A49" s="43" t="s">
        <v>138</v>
      </c>
      <c r="B49" s="46">
        <f>+Historicals!B217</f>
        <v>0</v>
      </c>
      <c r="C49" s="46">
        <f>+Historicals!C217</f>
        <v>0</v>
      </c>
      <c r="D49" s="46">
        <f>+Historicals!D217</f>
        <v>0</v>
      </c>
      <c r="E49" s="46">
        <f>+Historicals!E217</f>
        <v>0</v>
      </c>
      <c r="F49" s="46">
        <f>+Historicals!F217</f>
        <v>0</v>
      </c>
      <c r="G49" s="46">
        <f>+Historicals!G217</f>
        <v>0</v>
      </c>
      <c r="H49" s="46">
        <f>+Historicals!H217</f>
        <v>0</v>
      </c>
      <c r="I49" s="46">
        <f>+Historicals!I217</f>
        <v>0</v>
      </c>
      <c r="J49" s="46">
        <f>+Historicals!J217</f>
        <v>0</v>
      </c>
      <c r="K49" s="46">
        <f>+Historicals!K217</f>
        <v>0</v>
      </c>
      <c r="L49" s="46">
        <f>+Historicals!L217</f>
        <v>0</v>
      </c>
      <c r="M49" s="46">
        <f>+Historicals!M217</f>
        <v>0</v>
      </c>
      <c r="N49" s="46">
        <f>+Historicals!N217</f>
        <v>0</v>
      </c>
    </row>
    <row r="50" spans="1:14" x14ac:dyDescent="0.3">
      <c r="A50" s="43" t="s">
        <v>139</v>
      </c>
      <c r="B50" s="46" t="str">
        <f t="shared" ref="B50:G50" si="140">+IFERROR(B48-B49,"nm")</f>
        <v>nm</v>
      </c>
      <c r="C50" s="46">
        <f t="shared" si="140"/>
        <v>0.13057742782152237</v>
      </c>
      <c r="D50" s="46">
        <f t="shared" si="140"/>
        <v>-0.12536273940800924</v>
      </c>
      <c r="E50" s="46">
        <f t="shared" si="140"/>
        <v>5.3085600530855981E-2</v>
      </c>
      <c r="F50" s="46">
        <f t="shared" si="140"/>
        <v>2.9653434152488973</v>
      </c>
      <c r="G50" s="46">
        <f t="shared" si="140"/>
        <v>-6.3721595423486432E-2</v>
      </c>
      <c r="H50" s="46">
        <f>+IFERROR(H48-H49,"nm")</f>
        <v>-0.58672776646300062</v>
      </c>
      <c r="I50" s="46">
        <f>+IFERROR(I48-I49,"nm")</f>
        <v>0.3523613963039014</v>
      </c>
      <c r="J50" s="47">
        <v>-0.09</v>
      </c>
      <c r="K50" s="47">
        <v>-0.09</v>
      </c>
      <c r="L50" s="47">
        <v>-0.09</v>
      </c>
      <c r="M50" s="47">
        <v>-0.09</v>
      </c>
      <c r="N50" s="47">
        <v>-0.09</v>
      </c>
    </row>
    <row r="51" spans="1:14" ht="15" thickBot="1" x14ac:dyDescent="0.35">
      <c r="A51" s="44" t="s">
        <v>115</v>
      </c>
      <c r="B51" s="7">
        <f>+Historicals!B144</f>
        <v>993</v>
      </c>
      <c r="C51" s="7">
        <f>+Historicals!C144</f>
        <v>1372</v>
      </c>
      <c r="D51" s="7">
        <f>+Historicals!D144</f>
        <v>1507</v>
      </c>
      <c r="E51" s="7">
        <f>+Historicals!E144</f>
        <v>1807</v>
      </c>
      <c r="F51" s="6">
        <v>3087</v>
      </c>
      <c r="G51" s="6">
        <v>3053</v>
      </c>
      <c r="H51" s="7">
        <f>+Historicals!H144</f>
        <v>3243</v>
      </c>
      <c r="I51" s="7">
        <f>+Historicals!I144</f>
        <v>2365</v>
      </c>
      <c r="J51" s="55">
        <f>I51*0.927</f>
        <v>2192.355</v>
      </c>
      <c r="K51" s="55">
        <f t="shared" ref="K51:N51" si="141">J51*0.927</f>
        <v>2032.3130850000002</v>
      </c>
      <c r="L51" s="55">
        <f t="shared" si="141"/>
        <v>1883.9542297950004</v>
      </c>
      <c r="M51" s="55">
        <f t="shared" si="141"/>
        <v>1746.4255710199654</v>
      </c>
      <c r="N51" s="55">
        <f t="shared" si="141"/>
        <v>1618.9365043355081</v>
      </c>
    </row>
    <row r="52" spans="1:14" ht="15" thickTop="1" x14ac:dyDescent="0.3">
      <c r="A52" s="43" t="s">
        <v>130</v>
      </c>
      <c r="B52" s="46" t="str">
        <f t="shared" ref="B52" si="142">+IFERROR(B51/A51-1,"nm")</f>
        <v>nm</v>
      </c>
      <c r="C52" s="46">
        <f t="shared" ref="C52" si="143">+IFERROR(C51/B51-1,"nm")</f>
        <v>0.38167170191339372</v>
      </c>
      <c r="D52" s="46">
        <f t="shared" ref="D52" si="144">+IFERROR(D51/C51-1,"nm")</f>
        <v>9.8396501457725938E-2</v>
      </c>
      <c r="E52" s="46">
        <f t="shared" ref="E52" si="145">+IFERROR(E51/D51-1,"nm")</f>
        <v>0.19907100199071004</v>
      </c>
      <c r="F52" s="46">
        <f t="shared" ref="F52" si="146">+IFERROR(F51/E51-1,"nm")</f>
        <v>0.70835639180962917</v>
      </c>
      <c r="G52" s="46">
        <f t="shared" ref="G52" si="147">+IFERROR(G51/F51-1,"nm")</f>
        <v>-1.1013929381276322E-2</v>
      </c>
      <c r="H52" s="46">
        <f t="shared" ref="H52" si="148">+IFERROR(H51/G51-1,"nm")</f>
        <v>6.2233868326236452E-2</v>
      </c>
      <c r="I52" s="46">
        <f>+IFERROR(I51/H51-1,"nm")</f>
        <v>-0.27073697193956214</v>
      </c>
      <c r="J52" s="46">
        <f>+IFERROR(J51/I51-1,"nm")</f>
        <v>-7.2999999999999954E-2</v>
      </c>
      <c r="K52" s="46">
        <f t="shared" ref="K52:N52" si="149">+IFERROR(K51/J51-1,"nm")</f>
        <v>-7.2999999999999954E-2</v>
      </c>
      <c r="L52" s="46">
        <f t="shared" si="149"/>
        <v>-7.2999999999999954E-2</v>
      </c>
      <c r="M52" s="46">
        <f t="shared" si="149"/>
        <v>-7.2999999999999954E-2</v>
      </c>
      <c r="N52" s="46">
        <f t="shared" si="149"/>
        <v>-7.2999999999999954E-2</v>
      </c>
    </row>
    <row r="53" spans="1:14" x14ac:dyDescent="0.3">
      <c r="A53" s="43" t="s">
        <v>138</v>
      </c>
      <c r="B53" s="46">
        <f>+Historicals!B221</f>
        <v>0</v>
      </c>
      <c r="C53" s="46">
        <f>+Historicals!C221</f>
        <v>0</v>
      </c>
      <c r="D53" s="46">
        <f>+Historicals!D221</f>
        <v>0</v>
      </c>
      <c r="E53" s="46">
        <f>+Historicals!E221</f>
        <v>0</v>
      </c>
      <c r="F53" s="46">
        <f>+Historicals!F221</f>
        <v>0</v>
      </c>
      <c r="G53" s="46">
        <f>+Historicals!G221</f>
        <v>0</v>
      </c>
      <c r="H53" s="46">
        <f>+Historicals!H221</f>
        <v>0</v>
      </c>
      <c r="I53" s="46">
        <f>+Historicals!I221</f>
        <v>0</v>
      </c>
      <c r="J53" s="46">
        <f>+Historicals!J221</f>
        <v>0</v>
      </c>
      <c r="K53" s="46">
        <f>+Historicals!K221</f>
        <v>0</v>
      </c>
      <c r="L53" s="46">
        <f>+Historicals!L221</f>
        <v>0</v>
      </c>
      <c r="M53" s="46">
        <f>+Historicals!M221</f>
        <v>0</v>
      </c>
      <c r="N53" s="46">
        <f>+Historicals!N221</f>
        <v>0</v>
      </c>
    </row>
    <row r="54" spans="1:14" x14ac:dyDescent="0.3">
      <c r="A54" s="43" t="s">
        <v>139</v>
      </c>
      <c r="B54" s="46" t="str">
        <f t="shared" ref="B54:H54" si="150">+IFERROR(B52-B53,"nm")</f>
        <v>nm</v>
      </c>
      <c r="C54" s="46">
        <f t="shared" si="150"/>
        <v>0.38167170191339372</v>
      </c>
      <c r="D54" s="46">
        <f t="shared" si="150"/>
        <v>9.8396501457725938E-2</v>
      </c>
      <c r="E54" s="46">
        <f t="shared" si="150"/>
        <v>0.19907100199071004</v>
      </c>
      <c r="F54" s="46">
        <f t="shared" si="150"/>
        <v>0.70835639180962917</v>
      </c>
      <c r="G54" s="46">
        <f t="shared" si="150"/>
        <v>-1.1013929381276322E-2</v>
      </c>
      <c r="H54" s="46">
        <f t="shared" si="150"/>
        <v>6.2233868326236452E-2</v>
      </c>
      <c r="I54" s="46">
        <f>+IFERROR(I52-I53,"nm")</f>
        <v>-0.27073697193956214</v>
      </c>
      <c r="J54" s="47">
        <v>-7.2999999999999995E-2</v>
      </c>
      <c r="K54" s="47">
        <v>-7.2999999999999995E-2</v>
      </c>
      <c r="L54" s="47">
        <v>-7.2999999999999995E-2</v>
      </c>
      <c r="M54" s="47">
        <v>-7.2999999999999995E-2</v>
      </c>
      <c r="N54" s="47">
        <v>-7.2999999999999995E-2</v>
      </c>
    </row>
    <row r="55" spans="1:14" ht="15" thickBot="1" x14ac:dyDescent="0.35">
      <c r="A55" s="44" t="s">
        <v>116</v>
      </c>
      <c r="B55" s="7">
        <f>+Historicals!B145</f>
        <v>918</v>
      </c>
      <c r="C55" s="7">
        <f>+Historicals!C145</f>
        <v>1066</v>
      </c>
      <c r="D55" s="7">
        <f>+Historicals!D145</f>
        <v>980</v>
      </c>
      <c r="E55" s="7">
        <f>+Historicals!E145</f>
        <v>1189</v>
      </c>
      <c r="F55" s="6">
        <v>432</v>
      </c>
      <c r="G55" s="6">
        <v>402</v>
      </c>
      <c r="H55" s="7">
        <f>+Historicals!H145</f>
        <v>1530</v>
      </c>
      <c r="I55" s="7">
        <f>+Historicals!I145</f>
        <v>1896</v>
      </c>
      <c r="J55" s="55">
        <f>1.992*I55</f>
        <v>3776.8319999999999</v>
      </c>
      <c r="K55" s="55">
        <f t="shared" ref="K55:N55" si="151">1.992*J55</f>
        <v>7523.4493439999997</v>
      </c>
      <c r="L55" s="55">
        <f t="shared" si="151"/>
        <v>14986.711093247999</v>
      </c>
      <c r="M55" s="55">
        <f t="shared" si="151"/>
        <v>29853.528497750012</v>
      </c>
      <c r="N55" s="55">
        <f t="shared" si="151"/>
        <v>59468.228767518027</v>
      </c>
    </row>
    <row r="56" spans="1:14" ht="15" thickTop="1" x14ac:dyDescent="0.3">
      <c r="A56" s="43" t="s">
        <v>130</v>
      </c>
      <c r="B56" s="46" t="str">
        <f t="shared" ref="B56" si="152">+IFERROR(B55/A55-1,"nm")</f>
        <v>nm</v>
      </c>
      <c r="C56" s="46">
        <f t="shared" ref="C56" si="153">+IFERROR(C55/B55-1,"nm")</f>
        <v>0.16122004357298469</v>
      </c>
      <c r="D56" s="46">
        <f t="shared" ref="D56" si="154">+IFERROR(D55/C55-1,"nm")</f>
        <v>-8.0675422138836828E-2</v>
      </c>
      <c r="E56" s="46">
        <f t="shared" ref="E56" si="155">+IFERROR(E55/D55-1,"nm")</f>
        <v>0.21326530612244898</v>
      </c>
      <c r="F56" s="46">
        <f t="shared" ref="F56" si="156">+IFERROR(F55/E55-1,"nm")</f>
        <v>-0.63666947014297737</v>
      </c>
      <c r="G56" s="46">
        <f t="shared" ref="G56" si="157">+IFERROR(G55/F55-1,"nm")</f>
        <v>-6.944444444444442E-2</v>
      </c>
      <c r="H56" s="46">
        <f t="shared" ref="H56" si="158">+IFERROR(H55/G55-1,"nm")</f>
        <v>2.8059701492537314</v>
      </c>
      <c r="I56" s="46">
        <f>+IFERROR(I55/H55-1,"nm")</f>
        <v>0.23921568627450984</v>
      </c>
      <c r="J56" s="46">
        <f t="shared" ref="J56:N56" si="159">+IFERROR(J55/I55-1,"nm")</f>
        <v>0.99199999999999999</v>
      </c>
      <c r="K56" s="46">
        <f t="shared" si="159"/>
        <v>0.99199999999999999</v>
      </c>
      <c r="L56" s="46">
        <f t="shared" si="159"/>
        <v>0.99199999999999999</v>
      </c>
      <c r="M56" s="46">
        <f t="shared" si="159"/>
        <v>0.99199999999999977</v>
      </c>
      <c r="N56" s="46">
        <f t="shared" si="159"/>
        <v>0.99199999999999999</v>
      </c>
    </row>
    <row r="57" spans="1:14" x14ac:dyDescent="0.3">
      <c r="A57" s="43" t="s">
        <v>138</v>
      </c>
      <c r="B57" s="46">
        <f>+Historicals!B219</f>
        <v>0</v>
      </c>
      <c r="C57" s="46">
        <f>+Historicals!C219</f>
        <v>0</v>
      </c>
      <c r="D57" s="46">
        <f>+Historicals!D219</f>
        <v>0</v>
      </c>
      <c r="E57" s="46">
        <f>+Historicals!E219</f>
        <v>0</v>
      </c>
      <c r="F57" s="46">
        <f>+Historicals!F219</f>
        <v>0</v>
      </c>
      <c r="G57" s="46">
        <f>+Historicals!G219</f>
        <v>0</v>
      </c>
      <c r="H57" s="46">
        <f>+Historicals!H219</f>
        <v>0</v>
      </c>
      <c r="I57" s="46">
        <f>+Historicals!I219</f>
        <v>0</v>
      </c>
      <c r="J57" s="46">
        <f>+Historicals!J219</f>
        <v>0</v>
      </c>
      <c r="K57" s="46">
        <f>+Historicals!K219</f>
        <v>0</v>
      </c>
      <c r="L57" s="46">
        <f>+Historicals!L219</f>
        <v>0</v>
      </c>
      <c r="M57" s="46">
        <f>+Historicals!M219</f>
        <v>0</v>
      </c>
      <c r="N57" s="46">
        <f>+Historicals!N219</f>
        <v>0</v>
      </c>
    </row>
    <row r="58" spans="1:14" x14ac:dyDescent="0.3">
      <c r="A58" s="43" t="s">
        <v>139</v>
      </c>
      <c r="B58" s="46" t="str">
        <f t="shared" ref="B58:H58" si="160">+IFERROR(B56-B57,"nm")</f>
        <v>nm</v>
      </c>
      <c r="C58" s="46">
        <f t="shared" si="160"/>
        <v>0.16122004357298469</v>
      </c>
      <c r="D58" s="46">
        <f t="shared" si="160"/>
        <v>-8.0675422138836828E-2</v>
      </c>
      <c r="E58" s="46">
        <f t="shared" si="160"/>
        <v>0.21326530612244898</v>
      </c>
      <c r="F58" s="46">
        <f t="shared" si="160"/>
        <v>-0.63666947014297737</v>
      </c>
      <c r="G58" s="46">
        <f t="shared" si="160"/>
        <v>-6.944444444444442E-2</v>
      </c>
      <c r="H58" s="46">
        <f t="shared" si="160"/>
        <v>2.8059701492537314</v>
      </c>
      <c r="I58" s="46">
        <f>+IFERROR(I56-I57,"nm")</f>
        <v>0.23921568627450984</v>
      </c>
      <c r="J58" s="47">
        <v>-0.99199999999999999</v>
      </c>
      <c r="K58" s="47">
        <v>-0.99199999999999999</v>
      </c>
      <c r="L58" s="47">
        <v>-0.99199999999999999</v>
      </c>
      <c r="M58" s="47">
        <v>-0.99199999999999999</v>
      </c>
      <c r="N58" s="47">
        <v>-0.99199999999999999</v>
      </c>
    </row>
    <row r="59" spans="1:14" ht="15" thickBot="1" x14ac:dyDescent="0.35">
      <c r="A59" s="9" t="s">
        <v>131</v>
      </c>
      <c r="B59" s="54">
        <f>+B65+B62</f>
        <v>1611</v>
      </c>
      <c r="C59" s="54">
        <f t="shared" ref="C59:F59" si="161">+C65+C62</f>
        <v>1808</v>
      </c>
      <c r="D59" s="54">
        <f t="shared" si="161"/>
        <v>1613</v>
      </c>
      <c r="E59" s="54">
        <f>+E65+E62</f>
        <v>1703</v>
      </c>
      <c r="F59" s="54">
        <f t="shared" si="161"/>
        <v>2106</v>
      </c>
      <c r="G59" s="54">
        <f>+G65+G62</f>
        <v>1673</v>
      </c>
      <c r="H59" s="54">
        <f>+H65+H62</f>
        <v>813</v>
      </c>
      <c r="I59" s="54">
        <f>+I65+I62</f>
        <v>833</v>
      </c>
      <c r="J59" s="55">
        <f>0.945*I59</f>
        <v>787.18499999999995</v>
      </c>
      <c r="K59" s="55">
        <f t="shared" ref="K59:N59" si="162">0.945*J59</f>
        <v>743.88982499999986</v>
      </c>
      <c r="L59" s="55">
        <f t="shared" si="162"/>
        <v>702.97588462499982</v>
      </c>
      <c r="M59" s="55">
        <f t="shared" si="162"/>
        <v>664.31221097062485</v>
      </c>
      <c r="N59" s="55">
        <f t="shared" si="162"/>
        <v>627.77503936724042</v>
      </c>
    </row>
    <row r="60" spans="1:14" ht="15" thickTop="1" x14ac:dyDescent="0.3">
      <c r="A60" s="45" t="s">
        <v>130</v>
      </c>
      <c r="B60" s="46" t="str">
        <f t="shared" ref="B60" si="163">+IFERROR(B59/A59-1,"nm")</f>
        <v>nm</v>
      </c>
      <c r="C60" s="46">
        <f t="shared" ref="C60" si="164">+IFERROR(C59/B59-1,"nm")</f>
        <v>0.12228429546865294</v>
      </c>
      <c r="D60" s="46">
        <f t="shared" ref="D60" si="165">+IFERROR(D59/C59-1,"nm")</f>
        <v>-0.10785398230088494</v>
      </c>
      <c r="E60" s="46">
        <f t="shared" ref="E60" si="166">+IFERROR(E59/D59-1,"nm")</f>
        <v>5.5796652200867936E-2</v>
      </c>
      <c r="F60" s="46">
        <f t="shared" ref="F60" si="167">+IFERROR(F59/E59-1,"nm")</f>
        <v>0.23664122137404586</v>
      </c>
      <c r="G60" s="46">
        <f t="shared" ref="G60" si="168">+IFERROR(G59/F59-1,"nm")</f>
        <v>-0.20560303893637222</v>
      </c>
      <c r="H60" s="46">
        <f t="shared" ref="H60" si="169">+IFERROR(H59/G59-1,"nm")</f>
        <v>-0.51404662283323366</v>
      </c>
      <c r="I60" s="46">
        <f>+IFERROR(I59/H59-1,"nm")</f>
        <v>2.4600246002460135E-2</v>
      </c>
      <c r="J60" s="46">
        <f>+IFERROR(J59/I59-1,"nm")</f>
        <v>-5.5000000000000049E-2</v>
      </c>
      <c r="K60" s="46">
        <f t="shared" ref="K60:N60" si="170">+IFERROR(K59/J59-1,"nm")</f>
        <v>-5.500000000000016E-2</v>
      </c>
      <c r="L60" s="46">
        <f t="shared" si="170"/>
        <v>-5.5000000000000049E-2</v>
      </c>
      <c r="M60" s="46">
        <f t="shared" si="170"/>
        <v>-5.4999999999999938E-2</v>
      </c>
      <c r="N60" s="46">
        <f t="shared" si="170"/>
        <v>-5.5000000000000049E-2</v>
      </c>
    </row>
    <row r="61" spans="1:14" x14ac:dyDescent="0.3">
      <c r="A61" s="45" t="s">
        <v>132</v>
      </c>
      <c r="B61" s="46">
        <f t="shared" ref="B61:H61" si="171">+IFERROR(B59/B$18,"nm")</f>
        <v>0.11724890829694323</v>
      </c>
      <c r="C61" s="46">
        <f t="shared" si="171"/>
        <v>0.12246003793010024</v>
      </c>
      <c r="D61" s="46">
        <f t="shared" si="171"/>
        <v>0.10600683491062039</v>
      </c>
      <c r="E61" s="46">
        <f t="shared" si="171"/>
        <v>0.11464153483675531</v>
      </c>
      <c r="F61" s="46">
        <f t="shared" si="171"/>
        <v>0.13243617155074833</v>
      </c>
      <c r="G61" s="46">
        <f t="shared" si="171"/>
        <v>0.11550676608671638</v>
      </c>
      <c r="H61" s="46">
        <f t="shared" si="171"/>
        <v>4.7325222655567843E-2</v>
      </c>
      <c r="I61" s="46">
        <f>+IFERROR(I59/I$18,"nm")</f>
        <v>4.5387675039503077E-2</v>
      </c>
      <c r="J61" s="46">
        <f t="shared" ref="J61:N61" si="172">+IFERROR(J59/J$18,"nm")</f>
        <v>4.1044356853904701E-2</v>
      </c>
      <c r="K61" s="46">
        <f t="shared" si="172"/>
        <v>3.7116667202813342E-2</v>
      </c>
      <c r="L61" s="46">
        <f t="shared" si="172"/>
        <v>3.3564833020725937E-2</v>
      </c>
      <c r="M61" s="46">
        <f t="shared" si="172"/>
        <v>3.0352887277115801E-2</v>
      </c>
      <c r="N61" s="46">
        <f t="shared" si="172"/>
        <v>2.7448304762559265E-2</v>
      </c>
    </row>
    <row r="62" spans="1:14" ht="15" thickBot="1" x14ac:dyDescent="0.35">
      <c r="A62" s="9" t="s">
        <v>133</v>
      </c>
      <c r="B62" s="7">
        <v>87</v>
      </c>
      <c r="C62" s="7">
        <v>85</v>
      </c>
      <c r="D62" s="7">
        <v>106</v>
      </c>
      <c r="E62" s="7">
        <v>116</v>
      </c>
      <c r="F62" s="7">
        <v>111</v>
      </c>
      <c r="G62" s="7">
        <v>132</v>
      </c>
      <c r="H62" s="7">
        <v>136</v>
      </c>
      <c r="I62" s="7">
        <v>134</v>
      </c>
      <c r="J62" s="55">
        <f>1.069*I62</f>
        <v>143.24599999999998</v>
      </c>
      <c r="K62" s="55">
        <f t="shared" ref="K62:N62" si="173">1.069*J62</f>
        <v>153.12997399999998</v>
      </c>
      <c r="L62" s="55">
        <f t="shared" si="173"/>
        <v>163.69594220599996</v>
      </c>
      <c r="M62" s="55">
        <f t="shared" si="173"/>
        <v>174.99096221821395</v>
      </c>
      <c r="N62" s="55">
        <f t="shared" si="173"/>
        <v>187.0653386112707</v>
      </c>
    </row>
    <row r="63" spans="1:14" ht="15" thickTop="1" x14ac:dyDescent="0.3">
      <c r="A63" s="45" t="s">
        <v>130</v>
      </c>
      <c r="B63" s="46" t="str">
        <f t="shared" ref="B63" si="174">+IFERROR(B62/A62-1,"nm")</f>
        <v>nm</v>
      </c>
      <c r="C63" s="46">
        <f t="shared" ref="C63" si="175">+IFERROR(C62/B62-1,"nm")</f>
        <v>-2.2988505747126409E-2</v>
      </c>
      <c r="D63" s="46">
        <f t="shared" ref="D63" si="176">+IFERROR(D62/C62-1,"nm")</f>
        <v>0.24705882352941178</v>
      </c>
      <c r="E63" s="46">
        <f t="shared" ref="E63" si="177">+IFERROR(E62/D62-1,"nm")</f>
        <v>9.4339622641509413E-2</v>
      </c>
      <c r="F63" s="46">
        <f t="shared" ref="F63" si="178">+IFERROR(F62/E62-1,"nm")</f>
        <v>-4.31034482758621E-2</v>
      </c>
      <c r="G63" s="46">
        <f t="shared" ref="G63" si="179">+IFERROR(G62/F62-1,"nm")</f>
        <v>0.18918918918918926</v>
      </c>
      <c r="H63" s="46">
        <f t="shared" ref="H63" si="180">+IFERROR(H62/G62-1,"nm")</f>
        <v>3.0303030303030276E-2</v>
      </c>
      <c r="I63" s="46">
        <f>+IFERROR(I62/H62-1,"nm")</f>
        <v>-1.4705882352941124E-2</v>
      </c>
      <c r="J63" s="46">
        <f t="shared" ref="J63:N63" si="181">+IFERROR(J62/I62-1,"nm")</f>
        <v>6.899999999999995E-2</v>
      </c>
      <c r="K63" s="46">
        <f t="shared" si="181"/>
        <v>6.899999999999995E-2</v>
      </c>
      <c r="L63" s="46">
        <f t="shared" si="181"/>
        <v>6.899999999999995E-2</v>
      </c>
      <c r="M63" s="46">
        <f t="shared" si="181"/>
        <v>6.899999999999995E-2</v>
      </c>
      <c r="N63" s="46">
        <f t="shared" si="181"/>
        <v>6.899999999999995E-2</v>
      </c>
    </row>
    <row r="64" spans="1:14" x14ac:dyDescent="0.3">
      <c r="A64" s="45" t="s">
        <v>134</v>
      </c>
      <c r="B64" s="46">
        <f t="shared" ref="B64:H64" si="182">+IFERROR(B62/B$18,"nm")</f>
        <v>6.3318777292576418E-3</v>
      </c>
      <c r="C64" s="46">
        <f t="shared" si="182"/>
        <v>5.7572473584394475E-3</v>
      </c>
      <c r="D64" s="46">
        <f t="shared" si="182"/>
        <v>6.9663512092534175E-3</v>
      </c>
      <c r="E64" s="46">
        <f t="shared" si="182"/>
        <v>7.808818579602827E-3</v>
      </c>
      <c r="F64" s="46">
        <f t="shared" si="182"/>
        <v>6.9802540560935733E-3</v>
      </c>
      <c r="G64" s="46">
        <f t="shared" si="182"/>
        <v>9.1135045567522777E-3</v>
      </c>
      <c r="H64" s="46">
        <f t="shared" si="182"/>
        <v>7.9166424122475119E-3</v>
      </c>
      <c r="I64" s="46">
        <f>+IFERROR(I62/I$18,"nm")</f>
        <v>7.3012586498120199E-3</v>
      </c>
      <c r="J64" s="46">
        <f>+IFERROR(J62/J$18,"nm")</f>
        <v>7.4689430589943047E-3</v>
      </c>
      <c r="K64" s="46">
        <f t="shared" ref="K64:N64" si="183">+IFERROR(K62/K$18,"nm")</f>
        <v>7.6404785933635528E-3</v>
      </c>
      <c r="L64" s="46">
        <f t="shared" si="183"/>
        <v>7.8159536998140076E-3</v>
      </c>
      <c r="M64" s="46">
        <f t="shared" si="183"/>
        <v>7.9954588565561476E-3</v>
      </c>
      <c r="N64" s="46">
        <f t="shared" si="183"/>
        <v>8.1790866197689206E-3</v>
      </c>
    </row>
    <row r="65" spans="1:14" ht="15" thickBot="1" x14ac:dyDescent="0.35">
      <c r="A65" s="9" t="s">
        <v>135</v>
      </c>
      <c r="B65" s="7">
        <v>1524</v>
      </c>
      <c r="C65" s="7">
        <v>1723</v>
      </c>
      <c r="D65" s="7">
        <v>1507</v>
      </c>
      <c r="E65" s="7">
        <v>1587</v>
      </c>
      <c r="F65" s="7">
        <v>1995</v>
      </c>
      <c r="G65" s="7">
        <v>1541</v>
      </c>
      <c r="H65" s="7">
        <f>+Historicals!H171</f>
        <v>677</v>
      </c>
      <c r="I65" s="7">
        <f>+Historicals!I171</f>
        <v>699</v>
      </c>
      <c r="J65" s="55">
        <f>0.938*I65</f>
        <v>655.66199999999992</v>
      </c>
      <c r="K65" s="55">
        <f t="shared" ref="K65:N65" si="184">0.938*J65</f>
        <v>615.01095599999985</v>
      </c>
      <c r="L65" s="55">
        <f t="shared" si="184"/>
        <v>576.88027672799979</v>
      </c>
      <c r="M65" s="55">
        <f t="shared" si="184"/>
        <v>541.11369957086379</v>
      </c>
      <c r="N65" s="55">
        <f t="shared" si="184"/>
        <v>507.5646501974702</v>
      </c>
    </row>
    <row r="66" spans="1:14" ht="15" thickTop="1" x14ac:dyDescent="0.3">
      <c r="A66" s="45" t="s">
        <v>130</v>
      </c>
      <c r="B66" s="46" t="str">
        <f t="shared" ref="B66" si="185">+IFERROR(B65/A65-1,"nm")</f>
        <v>nm</v>
      </c>
      <c r="C66" s="46">
        <f t="shared" ref="C66" si="186">+IFERROR(C65/B65-1,"nm")</f>
        <v>0.13057742782152237</v>
      </c>
      <c r="D66" s="46">
        <f t="shared" ref="D66" si="187">+IFERROR(D65/C65-1,"nm")</f>
        <v>-0.12536273940800924</v>
      </c>
      <c r="E66" s="46">
        <f t="shared" ref="E66" si="188">+IFERROR(E65/D65-1,"nm")</f>
        <v>5.3085600530855981E-2</v>
      </c>
      <c r="F66" s="46">
        <f t="shared" ref="F66" si="189">+IFERROR(F65/E65-1,"nm")</f>
        <v>0.25708884688090738</v>
      </c>
      <c r="G66" s="46">
        <f t="shared" ref="G66" si="190">+IFERROR(G65/F65-1,"nm")</f>
        <v>-0.22756892230576442</v>
      </c>
      <c r="H66" s="46">
        <f t="shared" ref="H66" si="191">+IFERROR(H65/G65-1,"nm")</f>
        <v>-0.56067488643737828</v>
      </c>
      <c r="I66" s="46">
        <f>+IFERROR(I65/H65-1,"nm")</f>
        <v>3.2496307237813937E-2</v>
      </c>
      <c r="J66" s="46">
        <f>+IFERROR(J65/I65-1,"nm")</f>
        <v>-6.2000000000000166E-2</v>
      </c>
      <c r="K66" s="46">
        <f t="shared" ref="K66:N66" si="192">+IFERROR(K65/J65-1,"nm")</f>
        <v>-6.2000000000000166E-2</v>
      </c>
      <c r="L66" s="46">
        <f t="shared" si="192"/>
        <v>-6.2000000000000166E-2</v>
      </c>
      <c r="M66" s="46">
        <f t="shared" si="192"/>
        <v>-6.2000000000000055E-2</v>
      </c>
      <c r="N66" s="46">
        <f t="shared" si="192"/>
        <v>-6.2000000000000055E-2</v>
      </c>
    </row>
    <row r="67" spans="1:14" x14ac:dyDescent="0.3">
      <c r="A67" s="45" t="s">
        <v>132</v>
      </c>
      <c r="B67" s="46">
        <f t="shared" ref="B67:H67" si="193">+IFERROR(B65/B$18,"nm")</f>
        <v>0.11091703056768559</v>
      </c>
      <c r="C67" s="46">
        <f t="shared" si="193"/>
        <v>0.1167027905716608</v>
      </c>
      <c r="D67" s="46">
        <f t="shared" si="193"/>
        <v>9.9040483701366977E-2</v>
      </c>
      <c r="E67" s="46">
        <f t="shared" si="193"/>
        <v>0.10683271625715247</v>
      </c>
      <c r="F67" s="46">
        <f t="shared" si="193"/>
        <v>0.12545591749465476</v>
      </c>
      <c r="G67" s="46">
        <f t="shared" si="193"/>
        <v>0.1063932615299641</v>
      </c>
      <c r="H67" s="46">
        <f t="shared" si="193"/>
        <v>3.9408580243320335E-2</v>
      </c>
      <c r="I67" s="46">
        <f>+IFERROR(I65/I$18,"nm")</f>
        <v>3.8086416389691062E-2</v>
      </c>
      <c r="J67" s="46">
        <f t="shared" ref="J67:N67" si="194">+IFERROR(J65/J$18,"nm")</f>
        <v>3.4186658922038482E-2</v>
      </c>
      <c r="K67" s="46">
        <f t="shared" si="194"/>
        <v>3.0686206764470904E-2</v>
      </c>
      <c r="L67" s="46">
        <f t="shared" si="194"/>
        <v>2.7544174110118381E-2</v>
      </c>
      <c r="M67" s="46">
        <f t="shared" si="194"/>
        <v>2.4723861545733052E-2</v>
      </c>
      <c r="N67" s="46">
        <f t="shared" si="194"/>
        <v>2.2192327397031197E-2</v>
      </c>
    </row>
    <row r="68" spans="1:14" ht="15" thickBot="1" x14ac:dyDescent="0.35">
      <c r="A68" s="9" t="s">
        <v>136</v>
      </c>
      <c r="B68" s="7">
        <v>236</v>
      </c>
      <c r="C68" s="7">
        <v>232</v>
      </c>
      <c r="D68" s="7">
        <v>173</v>
      </c>
      <c r="E68" s="7">
        <v>240</v>
      </c>
      <c r="F68" s="7">
        <v>233</v>
      </c>
      <c r="G68" s="7">
        <v>139</v>
      </c>
      <c r="H68" s="7">
        <v>153</v>
      </c>
      <c r="I68" s="7">
        <v>197</v>
      </c>
      <c r="J68" s="55">
        <f>I68*1.01</f>
        <v>198.97</v>
      </c>
      <c r="K68" s="55">
        <f t="shared" ref="K68:N68" si="195">J68*1.01</f>
        <v>200.9597</v>
      </c>
      <c r="L68" s="55">
        <f t="shared" si="195"/>
        <v>202.96929700000001</v>
      </c>
      <c r="M68" s="55">
        <f t="shared" si="195"/>
        <v>204.99898997000003</v>
      </c>
      <c r="N68" s="55">
        <f t="shared" si="195"/>
        <v>207.04897986970002</v>
      </c>
    </row>
    <row r="69" spans="1:14" ht="15" thickTop="1" x14ac:dyDescent="0.3">
      <c r="A69" s="45" t="s">
        <v>130</v>
      </c>
      <c r="B69" s="46" t="str">
        <f t="shared" ref="B69" si="196">+IFERROR(B68/A68-1,"nm")</f>
        <v>nm</v>
      </c>
      <c r="C69" s="46">
        <f t="shared" ref="C69" si="197">+IFERROR(C68/B68-1,"nm")</f>
        <v>-1.6949152542372836E-2</v>
      </c>
      <c r="D69" s="46">
        <f t="shared" ref="D69" si="198">+IFERROR(D68/C68-1,"nm")</f>
        <v>-0.25431034482758619</v>
      </c>
      <c r="E69" s="46">
        <f t="shared" ref="E69" si="199">+IFERROR(E68/D68-1,"nm")</f>
        <v>0.38728323699421963</v>
      </c>
      <c r="F69" s="46">
        <f t="shared" ref="F69" si="200">+IFERROR(F68/E68-1,"nm")</f>
        <v>-2.9166666666666674E-2</v>
      </c>
      <c r="G69" s="46">
        <f t="shared" ref="G69" si="201">+IFERROR(G68/F68-1,"nm")</f>
        <v>-0.40343347639484983</v>
      </c>
      <c r="H69" s="46">
        <f t="shared" ref="H69" si="202">+IFERROR(H68/G68-1,"nm")</f>
        <v>0.10071942446043169</v>
      </c>
      <c r="I69" s="46">
        <f>+IFERROR(I68/H68-1,"nm")</f>
        <v>0.28758169934640532</v>
      </c>
      <c r="J69" s="46">
        <f t="shared" ref="J69:N69" si="203">+IFERROR(J68/I68-1,"nm")</f>
        <v>1.0000000000000009E-2</v>
      </c>
      <c r="K69" s="46">
        <f t="shared" si="203"/>
        <v>1.0000000000000009E-2</v>
      </c>
      <c r="L69" s="46">
        <f t="shared" si="203"/>
        <v>1.0000000000000009E-2</v>
      </c>
      <c r="M69" s="46">
        <f t="shared" si="203"/>
        <v>1.0000000000000009E-2</v>
      </c>
      <c r="N69" s="46">
        <f t="shared" si="203"/>
        <v>1.0000000000000009E-2</v>
      </c>
    </row>
    <row r="70" spans="1:14" x14ac:dyDescent="0.3">
      <c r="A70" s="45" t="s">
        <v>134</v>
      </c>
      <c r="B70" s="46">
        <f t="shared" ref="B70:H70" si="204">+IFERROR(B68/B$18,"nm")</f>
        <v>1.717612809315866E-2</v>
      </c>
      <c r="C70" s="46">
        <f t="shared" si="204"/>
        <v>1.5713898672446491E-2</v>
      </c>
      <c r="D70" s="46">
        <f t="shared" si="204"/>
        <v>1.1369610935856993E-2</v>
      </c>
      <c r="E70" s="46">
        <f t="shared" si="204"/>
        <v>1.6156176371592057E-2</v>
      </c>
      <c r="F70" s="46">
        <f t="shared" si="204"/>
        <v>1.4652245000628852E-2</v>
      </c>
      <c r="G70" s="46">
        <f t="shared" si="204"/>
        <v>9.5967964650648992E-3</v>
      </c>
      <c r="H70" s="46">
        <f t="shared" si="204"/>
        <v>8.9062227137784496E-3</v>
      </c>
      <c r="I70" s="50">
        <f>+IFERROR(I68/I$18,"nm")</f>
        <v>1.0733939955320656E-2</v>
      </c>
      <c r="J70" s="50">
        <f t="shared" ref="J70:N70" si="205">+IFERROR(J68/J$18,"nm")</f>
        <v>1.0374430004663985E-2</v>
      </c>
      <c r="K70" s="50">
        <f t="shared" si="205"/>
        <v>1.0026961057139353E-2</v>
      </c>
      <c r="L70" s="50">
        <f t="shared" si="205"/>
        <v>9.6911298255605259E-3</v>
      </c>
      <c r="M70" s="50">
        <f t="shared" si="205"/>
        <v>9.3665465299675905E-3</v>
      </c>
      <c r="N70" s="50">
        <f t="shared" si="205"/>
        <v>9.0528344452318332E-3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BENJAMIN BAZINI</cp:lastModifiedBy>
  <dcterms:created xsi:type="dcterms:W3CDTF">2020-05-20T17:26:08Z</dcterms:created>
  <dcterms:modified xsi:type="dcterms:W3CDTF">2024-11-29T16:24:36Z</dcterms:modified>
</cp:coreProperties>
</file>