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Ben\Downloads\"/>
    </mc:Choice>
  </mc:AlternateContent>
  <xr:revisionPtr revIDLastSave="0" documentId="13_ncr:1_{D121DFEC-4A07-42F0-B81E-04E9F410A9E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heet1" sheetId="2" r:id="rId1"/>
    <sheet name="Historicals" sheetId="4" r:id="rId2"/>
    <sheet name="Segmental forecast" sheetId="5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5" l="1"/>
  <c r="N5" i="5"/>
  <c r="G190" i="5"/>
  <c r="F190" i="5"/>
  <c r="E190" i="5"/>
  <c r="D190" i="5"/>
  <c r="C190" i="5"/>
  <c r="B190" i="5"/>
  <c r="I189" i="5"/>
  <c r="F189" i="5"/>
  <c r="D189" i="5"/>
  <c r="C189" i="5"/>
  <c r="J188" i="5"/>
  <c r="K188" i="5" s="1"/>
  <c r="L188" i="5" s="1"/>
  <c r="M188" i="5" s="1"/>
  <c r="N188" i="5" s="1"/>
  <c r="G186" i="5"/>
  <c r="F186" i="5"/>
  <c r="E186" i="5"/>
  <c r="D186" i="5"/>
  <c r="C186" i="5"/>
  <c r="B186" i="5"/>
  <c r="I185" i="5"/>
  <c r="H185" i="5"/>
  <c r="D185" i="5"/>
  <c r="J184" i="5"/>
  <c r="K184" i="5" s="1"/>
  <c r="K176" i="5" s="1"/>
  <c r="I182" i="5"/>
  <c r="H182" i="5"/>
  <c r="G182" i="5"/>
  <c r="F182" i="5"/>
  <c r="E182" i="5"/>
  <c r="D182" i="5"/>
  <c r="C182" i="5"/>
  <c r="B182" i="5"/>
  <c r="I181" i="5"/>
  <c r="H181" i="5"/>
  <c r="G181" i="5"/>
  <c r="F181" i="5"/>
  <c r="E181" i="5"/>
  <c r="D181" i="5"/>
  <c r="C181" i="5"/>
  <c r="M180" i="5"/>
  <c r="N180" i="5" s="1"/>
  <c r="L180" i="5"/>
  <c r="J180" i="5"/>
  <c r="K180" i="5" s="1"/>
  <c r="E178" i="5"/>
  <c r="D178" i="5"/>
  <c r="C177" i="5"/>
  <c r="J176" i="5"/>
  <c r="I176" i="5"/>
  <c r="H176" i="5"/>
  <c r="G176" i="5"/>
  <c r="G178" i="5" s="1"/>
  <c r="F176" i="5"/>
  <c r="F178" i="5" s="1"/>
  <c r="E176" i="5"/>
  <c r="D176" i="5"/>
  <c r="C176" i="5"/>
  <c r="C178" i="5" s="1"/>
  <c r="B176" i="5"/>
  <c r="B178" i="5" s="1"/>
  <c r="I174" i="5"/>
  <c r="H174" i="5"/>
  <c r="G174" i="5"/>
  <c r="F174" i="5"/>
  <c r="B174" i="5"/>
  <c r="L172" i="5"/>
  <c r="M172" i="5" s="1"/>
  <c r="N172" i="5" s="1"/>
  <c r="K172" i="5"/>
  <c r="J172" i="5"/>
  <c r="E172" i="5"/>
  <c r="E174" i="5" s="1"/>
  <c r="D172" i="5"/>
  <c r="D174" i="5" s="1"/>
  <c r="C172" i="5"/>
  <c r="C174" i="5" s="1"/>
  <c r="B172" i="5"/>
  <c r="I170" i="5"/>
  <c r="H170" i="5"/>
  <c r="G170" i="5"/>
  <c r="D170" i="5"/>
  <c r="C170" i="5"/>
  <c r="F169" i="5"/>
  <c r="F170" i="5" s="1"/>
  <c r="E169" i="5"/>
  <c r="D169" i="5"/>
  <c r="C169" i="5"/>
  <c r="B169" i="5"/>
  <c r="J168" i="5"/>
  <c r="K168" i="5" s="1"/>
  <c r="L168" i="5" s="1"/>
  <c r="M168" i="5" s="1"/>
  <c r="N168" i="5" s="1"/>
  <c r="E168" i="5"/>
  <c r="E170" i="5" s="1"/>
  <c r="D168" i="5"/>
  <c r="C168" i="5"/>
  <c r="B168" i="5"/>
  <c r="B170" i="5" s="1"/>
  <c r="I166" i="5"/>
  <c r="E166" i="5"/>
  <c r="I165" i="5"/>
  <c r="H165" i="5"/>
  <c r="G165" i="5"/>
  <c r="F165" i="5"/>
  <c r="E165" i="5"/>
  <c r="D165" i="5"/>
  <c r="C165" i="5"/>
  <c r="B165" i="5"/>
  <c r="B166" i="5" s="1"/>
  <c r="I164" i="5"/>
  <c r="H164" i="5"/>
  <c r="H166" i="5" s="1"/>
  <c r="G164" i="5"/>
  <c r="G166" i="5" s="1"/>
  <c r="F164" i="5"/>
  <c r="F166" i="5" s="1"/>
  <c r="E164" i="5"/>
  <c r="D164" i="5"/>
  <c r="D166" i="5" s="1"/>
  <c r="C164" i="5"/>
  <c r="C166" i="5" s="1"/>
  <c r="J163" i="5"/>
  <c r="K163" i="5" s="1"/>
  <c r="L163" i="5" s="1"/>
  <c r="M163" i="5" s="1"/>
  <c r="N163" i="5" s="1"/>
  <c r="I161" i="5"/>
  <c r="I160" i="5"/>
  <c r="H160" i="5"/>
  <c r="H161" i="5" s="1"/>
  <c r="G160" i="5"/>
  <c r="G161" i="5" s="1"/>
  <c r="F160" i="5"/>
  <c r="F161" i="5" s="1"/>
  <c r="E160" i="5"/>
  <c r="D160" i="5"/>
  <c r="C160" i="5"/>
  <c r="B160" i="5"/>
  <c r="J159" i="5"/>
  <c r="K159" i="5" s="1"/>
  <c r="L159" i="5" s="1"/>
  <c r="M159" i="5" s="1"/>
  <c r="N159" i="5" s="1"/>
  <c r="E158" i="5"/>
  <c r="D158" i="5"/>
  <c r="C158" i="5"/>
  <c r="C159" i="5" s="1"/>
  <c r="C161" i="5" s="1"/>
  <c r="B158" i="5"/>
  <c r="B159" i="5" s="1"/>
  <c r="B161" i="5" s="1"/>
  <c r="G157" i="5"/>
  <c r="F157" i="5"/>
  <c r="I156" i="5"/>
  <c r="I157" i="5" s="1"/>
  <c r="H156" i="5"/>
  <c r="H157" i="5" s="1"/>
  <c r="G156" i="5"/>
  <c r="F156" i="5"/>
  <c r="E156" i="5"/>
  <c r="E157" i="5" s="1"/>
  <c r="D156" i="5"/>
  <c r="D157" i="5" s="1"/>
  <c r="C156" i="5"/>
  <c r="C157" i="5" s="1"/>
  <c r="B156" i="5"/>
  <c r="B157" i="5" s="1"/>
  <c r="H155" i="5"/>
  <c r="J154" i="5"/>
  <c r="K154" i="5" s="1"/>
  <c r="L154" i="5" s="1"/>
  <c r="M154" i="5" s="1"/>
  <c r="N154" i="5" s="1"/>
  <c r="H152" i="5"/>
  <c r="F152" i="5"/>
  <c r="B152" i="5"/>
  <c r="H151" i="5"/>
  <c r="G151" i="5"/>
  <c r="G152" i="5" s="1"/>
  <c r="F151" i="5"/>
  <c r="E151" i="5"/>
  <c r="D151" i="5"/>
  <c r="C151" i="5"/>
  <c r="B151" i="5"/>
  <c r="I150" i="5"/>
  <c r="I152" i="5" s="1"/>
  <c r="H150" i="5"/>
  <c r="G150" i="5"/>
  <c r="C150" i="5"/>
  <c r="C152" i="5" s="1"/>
  <c r="B150" i="5"/>
  <c r="E149" i="5"/>
  <c r="E150" i="5" s="1"/>
  <c r="E152" i="5" s="1"/>
  <c r="D149" i="5"/>
  <c r="C149" i="5"/>
  <c r="B149" i="5"/>
  <c r="I148" i="5"/>
  <c r="H148" i="5"/>
  <c r="G148" i="5"/>
  <c r="F148" i="5"/>
  <c r="E148" i="5"/>
  <c r="D148" i="5"/>
  <c r="C148" i="5"/>
  <c r="B148" i="5"/>
  <c r="J147" i="5"/>
  <c r="J149" i="5" s="1"/>
  <c r="G144" i="5"/>
  <c r="F144" i="5"/>
  <c r="E144" i="5"/>
  <c r="D144" i="5"/>
  <c r="C144" i="5"/>
  <c r="B144" i="5"/>
  <c r="I143" i="5"/>
  <c r="H143" i="5"/>
  <c r="G143" i="5"/>
  <c r="F143" i="5"/>
  <c r="E143" i="5"/>
  <c r="D143" i="5"/>
  <c r="C143" i="5"/>
  <c r="B143" i="5"/>
  <c r="J142" i="5"/>
  <c r="K142" i="5" s="1"/>
  <c r="L142" i="5" s="1"/>
  <c r="M142" i="5" s="1"/>
  <c r="N142" i="5" s="1"/>
  <c r="G140" i="5"/>
  <c r="F140" i="5"/>
  <c r="E140" i="5"/>
  <c r="D140" i="5"/>
  <c r="C140" i="5"/>
  <c r="B140" i="5"/>
  <c r="I139" i="5"/>
  <c r="H139" i="5"/>
  <c r="G139" i="5"/>
  <c r="F139" i="5"/>
  <c r="E139" i="5"/>
  <c r="D139" i="5"/>
  <c r="C139" i="5"/>
  <c r="B139" i="5"/>
  <c r="N138" i="5"/>
  <c r="K138" i="5"/>
  <c r="L138" i="5" s="1"/>
  <c r="M138" i="5" s="1"/>
  <c r="J138" i="5"/>
  <c r="G136" i="5"/>
  <c r="F136" i="5"/>
  <c r="E136" i="5"/>
  <c r="D136" i="5"/>
  <c r="C136" i="5"/>
  <c r="B136" i="5"/>
  <c r="I135" i="5"/>
  <c r="H135" i="5"/>
  <c r="G135" i="5"/>
  <c r="F135" i="5"/>
  <c r="E135" i="5"/>
  <c r="D135" i="5"/>
  <c r="C135" i="5"/>
  <c r="B135" i="5"/>
  <c r="K134" i="5"/>
  <c r="K129" i="5" s="1"/>
  <c r="J134" i="5"/>
  <c r="G131" i="5"/>
  <c r="E131" i="5"/>
  <c r="C131" i="5"/>
  <c r="G130" i="5"/>
  <c r="C130" i="5"/>
  <c r="J129" i="5"/>
  <c r="I129" i="5"/>
  <c r="H129" i="5"/>
  <c r="G129" i="5"/>
  <c r="F129" i="5"/>
  <c r="F131" i="5" s="1"/>
  <c r="E129" i="5"/>
  <c r="D129" i="5"/>
  <c r="E130" i="5" s="1"/>
  <c r="C129" i="5"/>
  <c r="B129" i="5"/>
  <c r="I127" i="5"/>
  <c r="H127" i="5"/>
  <c r="G127" i="5"/>
  <c r="F127" i="5"/>
  <c r="E127" i="5"/>
  <c r="D127" i="5"/>
  <c r="C127" i="5"/>
  <c r="B127" i="5"/>
  <c r="M126" i="5"/>
  <c r="N126" i="5" s="1"/>
  <c r="J126" i="5"/>
  <c r="K126" i="5" s="1"/>
  <c r="L126" i="5" s="1"/>
  <c r="G124" i="5"/>
  <c r="F124" i="5"/>
  <c r="E124" i="5"/>
  <c r="D124" i="5"/>
  <c r="C124" i="5"/>
  <c r="B124" i="5"/>
  <c r="I123" i="5"/>
  <c r="H123" i="5"/>
  <c r="G123" i="5"/>
  <c r="F123" i="5"/>
  <c r="E123" i="5"/>
  <c r="D123" i="5"/>
  <c r="C123" i="5"/>
  <c r="B123" i="5"/>
  <c r="J122" i="5"/>
  <c r="K122" i="5" s="1"/>
  <c r="L122" i="5" s="1"/>
  <c r="M122" i="5" s="1"/>
  <c r="N122" i="5" s="1"/>
  <c r="G121" i="5"/>
  <c r="F121" i="5"/>
  <c r="E121" i="5"/>
  <c r="D121" i="5"/>
  <c r="C121" i="5"/>
  <c r="B121" i="5"/>
  <c r="I120" i="5"/>
  <c r="H120" i="5"/>
  <c r="G120" i="5"/>
  <c r="F120" i="5"/>
  <c r="E120" i="5"/>
  <c r="D120" i="5"/>
  <c r="C120" i="5"/>
  <c r="B120" i="5"/>
  <c r="K119" i="5"/>
  <c r="L119" i="5" s="1"/>
  <c r="J119" i="5"/>
  <c r="G118" i="5"/>
  <c r="F118" i="5"/>
  <c r="E118" i="5"/>
  <c r="D118" i="5"/>
  <c r="C118" i="5"/>
  <c r="B118" i="5"/>
  <c r="I117" i="5"/>
  <c r="H117" i="5"/>
  <c r="G117" i="5"/>
  <c r="F117" i="5"/>
  <c r="E117" i="5"/>
  <c r="D117" i="5"/>
  <c r="C117" i="5"/>
  <c r="B117" i="5"/>
  <c r="L116" i="5"/>
  <c r="M116" i="5" s="1"/>
  <c r="N116" i="5" s="1"/>
  <c r="J116" i="5"/>
  <c r="K116" i="5" s="1"/>
  <c r="F115" i="5"/>
  <c r="D115" i="5"/>
  <c r="H114" i="5"/>
  <c r="D114" i="5"/>
  <c r="J113" i="5"/>
  <c r="I113" i="5"/>
  <c r="H113" i="5"/>
  <c r="G113" i="5"/>
  <c r="G115" i="5" s="1"/>
  <c r="F113" i="5"/>
  <c r="E113" i="5"/>
  <c r="F114" i="5" s="1"/>
  <c r="D113" i="5"/>
  <c r="C113" i="5"/>
  <c r="B113" i="5"/>
  <c r="I112" i="5"/>
  <c r="I111" i="5"/>
  <c r="H111" i="5"/>
  <c r="G111" i="5"/>
  <c r="F111" i="5"/>
  <c r="E111" i="5"/>
  <c r="D111" i="5"/>
  <c r="C111" i="5"/>
  <c r="B111" i="5"/>
  <c r="B112" i="5" s="1"/>
  <c r="I110" i="5"/>
  <c r="H110" i="5"/>
  <c r="H112" i="5" s="1"/>
  <c r="G110" i="5"/>
  <c r="G112" i="5" s="1"/>
  <c r="F110" i="5"/>
  <c r="F112" i="5" s="1"/>
  <c r="B110" i="5"/>
  <c r="N109" i="5"/>
  <c r="K109" i="5"/>
  <c r="L109" i="5" s="1"/>
  <c r="M109" i="5" s="1"/>
  <c r="J109" i="5"/>
  <c r="E109" i="5"/>
  <c r="D109" i="5"/>
  <c r="C109" i="5"/>
  <c r="C110" i="5" s="1"/>
  <c r="C112" i="5" s="1"/>
  <c r="B109" i="5"/>
  <c r="G108" i="5"/>
  <c r="F108" i="5"/>
  <c r="I107" i="5"/>
  <c r="H107" i="5"/>
  <c r="G107" i="5"/>
  <c r="F107" i="5"/>
  <c r="E107" i="5"/>
  <c r="D107" i="5"/>
  <c r="C107" i="5"/>
  <c r="B107" i="5"/>
  <c r="B108" i="5" s="1"/>
  <c r="I106" i="5"/>
  <c r="I108" i="5" s="1"/>
  <c r="H106" i="5"/>
  <c r="H108" i="5" s="1"/>
  <c r="G106" i="5"/>
  <c r="F106" i="5"/>
  <c r="B106" i="5"/>
  <c r="K105" i="5"/>
  <c r="L105" i="5" s="1"/>
  <c r="M105" i="5" s="1"/>
  <c r="N105" i="5" s="1"/>
  <c r="J105" i="5"/>
  <c r="E105" i="5"/>
  <c r="D105" i="5"/>
  <c r="C105" i="5"/>
  <c r="D106" i="5" s="1"/>
  <c r="D108" i="5" s="1"/>
  <c r="B105" i="5"/>
  <c r="G104" i="5"/>
  <c r="I103" i="5"/>
  <c r="H103" i="5"/>
  <c r="G103" i="5"/>
  <c r="F103" i="5"/>
  <c r="E103" i="5"/>
  <c r="D103" i="5"/>
  <c r="D104" i="5" s="1"/>
  <c r="C103" i="5"/>
  <c r="B103" i="5"/>
  <c r="I102" i="5"/>
  <c r="I104" i="5" s="1"/>
  <c r="H102" i="5"/>
  <c r="H104" i="5" s="1"/>
  <c r="G102" i="5"/>
  <c r="D102" i="5"/>
  <c r="C102" i="5"/>
  <c r="C104" i="5" s="1"/>
  <c r="J101" i="5"/>
  <c r="K101" i="5" s="1"/>
  <c r="L101" i="5" s="1"/>
  <c r="M101" i="5" s="1"/>
  <c r="N101" i="5" s="1"/>
  <c r="E101" i="5"/>
  <c r="F102" i="5" s="1"/>
  <c r="F104" i="5" s="1"/>
  <c r="D101" i="5"/>
  <c r="C101" i="5"/>
  <c r="B101" i="5"/>
  <c r="B102" i="5" s="1"/>
  <c r="B104" i="5" s="1"/>
  <c r="I100" i="5"/>
  <c r="H100" i="5"/>
  <c r="G100" i="5"/>
  <c r="F100" i="5"/>
  <c r="E100" i="5"/>
  <c r="D100" i="5"/>
  <c r="C100" i="5"/>
  <c r="B100" i="5"/>
  <c r="N99" i="5"/>
  <c r="J99" i="5"/>
  <c r="K99" i="5" s="1"/>
  <c r="L99" i="5" s="1"/>
  <c r="M99" i="5" s="1"/>
  <c r="G97" i="5"/>
  <c r="F97" i="5"/>
  <c r="E97" i="5"/>
  <c r="D97" i="5"/>
  <c r="C97" i="5"/>
  <c r="B97" i="5"/>
  <c r="I96" i="5"/>
  <c r="H96" i="5"/>
  <c r="G96" i="5"/>
  <c r="F96" i="5"/>
  <c r="E96" i="5"/>
  <c r="D96" i="5"/>
  <c r="C96" i="5"/>
  <c r="B96" i="5"/>
  <c r="K95" i="5"/>
  <c r="L95" i="5" s="1"/>
  <c r="M95" i="5" s="1"/>
  <c r="N95" i="5" s="1"/>
  <c r="J95" i="5"/>
  <c r="G94" i="5"/>
  <c r="F94" i="5"/>
  <c r="E94" i="5"/>
  <c r="D94" i="5"/>
  <c r="C94" i="5"/>
  <c r="B94" i="5"/>
  <c r="I93" i="5"/>
  <c r="H93" i="5"/>
  <c r="G93" i="5"/>
  <c r="F93" i="5"/>
  <c r="E93" i="5"/>
  <c r="D93" i="5"/>
  <c r="C93" i="5"/>
  <c r="B93" i="5"/>
  <c r="K92" i="5"/>
  <c r="K86" i="5" s="1"/>
  <c r="J92" i="5"/>
  <c r="G91" i="5"/>
  <c r="F91" i="5"/>
  <c r="E91" i="5"/>
  <c r="D91" i="5"/>
  <c r="C91" i="5"/>
  <c r="B91" i="5"/>
  <c r="I90" i="5"/>
  <c r="H90" i="5"/>
  <c r="G90" i="5"/>
  <c r="F90" i="5"/>
  <c r="E90" i="5"/>
  <c r="D90" i="5"/>
  <c r="C90" i="5"/>
  <c r="B90" i="5"/>
  <c r="M89" i="5"/>
  <c r="N89" i="5" s="1"/>
  <c r="L89" i="5"/>
  <c r="J89" i="5"/>
  <c r="K89" i="5" s="1"/>
  <c r="D88" i="5"/>
  <c r="I87" i="5"/>
  <c r="H87" i="5"/>
  <c r="D87" i="5"/>
  <c r="B87" i="5"/>
  <c r="J86" i="5"/>
  <c r="I86" i="5"/>
  <c r="I88" i="5" s="1"/>
  <c r="H86" i="5"/>
  <c r="G86" i="5"/>
  <c r="F86" i="5"/>
  <c r="E86" i="5"/>
  <c r="E87" i="5" s="1"/>
  <c r="D86" i="5"/>
  <c r="C86" i="5"/>
  <c r="C88" i="5" s="1"/>
  <c r="B86" i="5"/>
  <c r="B88" i="5" s="1"/>
  <c r="I85" i="5"/>
  <c r="G85" i="5"/>
  <c r="I84" i="5"/>
  <c r="H84" i="5"/>
  <c r="G84" i="5"/>
  <c r="F84" i="5"/>
  <c r="E84" i="5"/>
  <c r="D84" i="5"/>
  <c r="C84" i="5"/>
  <c r="B84" i="5"/>
  <c r="I83" i="5"/>
  <c r="H83" i="5"/>
  <c r="H85" i="5" s="1"/>
  <c r="G83" i="5"/>
  <c r="F83" i="5"/>
  <c r="F85" i="5" s="1"/>
  <c r="E83" i="5"/>
  <c r="E85" i="5" s="1"/>
  <c r="D83" i="5"/>
  <c r="D85" i="5" s="1"/>
  <c r="C83" i="5"/>
  <c r="C85" i="5" s="1"/>
  <c r="B83" i="5"/>
  <c r="B85" i="5" s="1"/>
  <c r="J82" i="5"/>
  <c r="K82" i="5" s="1"/>
  <c r="L82" i="5" s="1"/>
  <c r="M82" i="5" s="1"/>
  <c r="N82" i="5" s="1"/>
  <c r="I80" i="5"/>
  <c r="H80" i="5"/>
  <c r="G80" i="5"/>
  <c r="F80" i="5"/>
  <c r="E80" i="5"/>
  <c r="D80" i="5"/>
  <c r="C80" i="5"/>
  <c r="B80" i="5"/>
  <c r="I79" i="5"/>
  <c r="I81" i="5" s="1"/>
  <c r="H79" i="5"/>
  <c r="H81" i="5" s="1"/>
  <c r="G79" i="5"/>
  <c r="G81" i="5" s="1"/>
  <c r="F79" i="5"/>
  <c r="F81" i="5" s="1"/>
  <c r="E79" i="5"/>
  <c r="E81" i="5" s="1"/>
  <c r="D79" i="5"/>
  <c r="D81" i="5" s="1"/>
  <c r="C79" i="5"/>
  <c r="C81" i="5" s="1"/>
  <c r="B79" i="5"/>
  <c r="B81" i="5" s="1"/>
  <c r="K78" i="5"/>
  <c r="L78" i="5" s="1"/>
  <c r="M78" i="5" s="1"/>
  <c r="N78" i="5" s="1"/>
  <c r="J78" i="5"/>
  <c r="I77" i="5"/>
  <c r="D77" i="5"/>
  <c r="I76" i="5"/>
  <c r="H76" i="5"/>
  <c r="G76" i="5"/>
  <c r="F76" i="5"/>
  <c r="E76" i="5"/>
  <c r="D76" i="5"/>
  <c r="C76" i="5"/>
  <c r="B76" i="5"/>
  <c r="I75" i="5"/>
  <c r="H75" i="5"/>
  <c r="H77" i="5" s="1"/>
  <c r="G75" i="5"/>
  <c r="G77" i="5" s="1"/>
  <c r="F75" i="5"/>
  <c r="F77" i="5" s="1"/>
  <c r="E75" i="5"/>
  <c r="E77" i="5" s="1"/>
  <c r="D75" i="5"/>
  <c r="C75" i="5"/>
  <c r="C77" i="5" s="1"/>
  <c r="B75" i="5"/>
  <c r="B77" i="5" s="1"/>
  <c r="L74" i="5"/>
  <c r="M74" i="5" s="1"/>
  <c r="N74" i="5" s="1"/>
  <c r="J74" i="5"/>
  <c r="K74" i="5" s="1"/>
  <c r="I73" i="5"/>
  <c r="H73" i="5"/>
  <c r="G73" i="5"/>
  <c r="F73" i="5"/>
  <c r="E73" i="5"/>
  <c r="D73" i="5"/>
  <c r="C73" i="5"/>
  <c r="B73" i="5"/>
  <c r="K72" i="5"/>
  <c r="L72" i="5" s="1"/>
  <c r="M72" i="5" s="1"/>
  <c r="N72" i="5" s="1"/>
  <c r="J72" i="5"/>
  <c r="G70" i="5"/>
  <c r="F70" i="5"/>
  <c r="E70" i="5"/>
  <c r="D70" i="5"/>
  <c r="C70" i="5"/>
  <c r="B70" i="5"/>
  <c r="I69" i="5"/>
  <c r="H69" i="5"/>
  <c r="G69" i="5"/>
  <c r="F69" i="5"/>
  <c r="E69" i="5"/>
  <c r="D69" i="5"/>
  <c r="C69" i="5"/>
  <c r="B69" i="5"/>
  <c r="J68" i="5"/>
  <c r="G67" i="5"/>
  <c r="F67" i="5"/>
  <c r="E67" i="5"/>
  <c r="D67" i="5"/>
  <c r="C67" i="5"/>
  <c r="B67" i="5"/>
  <c r="G66" i="5"/>
  <c r="F66" i="5"/>
  <c r="E66" i="5"/>
  <c r="D66" i="5"/>
  <c r="C66" i="5"/>
  <c r="B66" i="5"/>
  <c r="I65" i="5"/>
  <c r="H65" i="5"/>
  <c r="H66" i="5" s="1"/>
  <c r="G64" i="5"/>
  <c r="F64" i="5"/>
  <c r="E64" i="5"/>
  <c r="D64" i="5"/>
  <c r="C64" i="5"/>
  <c r="B64" i="5"/>
  <c r="I63" i="5"/>
  <c r="H63" i="5"/>
  <c r="G63" i="5"/>
  <c r="F63" i="5"/>
  <c r="E63" i="5"/>
  <c r="D63" i="5"/>
  <c r="C63" i="5"/>
  <c r="B63" i="5"/>
  <c r="J62" i="5"/>
  <c r="G61" i="5"/>
  <c r="F61" i="5"/>
  <c r="E61" i="5"/>
  <c r="C61" i="5"/>
  <c r="B61" i="5"/>
  <c r="G60" i="5"/>
  <c r="F60" i="5"/>
  <c r="B60" i="5"/>
  <c r="H59" i="5"/>
  <c r="G59" i="5"/>
  <c r="F59" i="5"/>
  <c r="E59" i="5"/>
  <c r="D59" i="5"/>
  <c r="C59" i="5"/>
  <c r="C60" i="5" s="1"/>
  <c r="B59" i="5"/>
  <c r="I58" i="5"/>
  <c r="H58" i="5"/>
  <c r="C58" i="5"/>
  <c r="N57" i="5"/>
  <c r="M57" i="5"/>
  <c r="L57" i="5"/>
  <c r="K57" i="5"/>
  <c r="J57" i="5"/>
  <c r="I57" i="5"/>
  <c r="H57" i="5"/>
  <c r="G57" i="5"/>
  <c r="F57" i="5"/>
  <c r="E57" i="5"/>
  <c r="D57" i="5"/>
  <c r="D58" i="5" s="1"/>
  <c r="C57" i="5"/>
  <c r="B57" i="5"/>
  <c r="K56" i="5"/>
  <c r="J56" i="5"/>
  <c r="I56" i="5"/>
  <c r="H56" i="5"/>
  <c r="G56" i="5"/>
  <c r="G58" i="5" s="1"/>
  <c r="F56" i="5"/>
  <c r="E56" i="5"/>
  <c r="E58" i="5" s="1"/>
  <c r="D56" i="5"/>
  <c r="C56" i="5"/>
  <c r="B56" i="5"/>
  <c r="B58" i="5" s="1"/>
  <c r="K55" i="5"/>
  <c r="L55" i="5" s="1"/>
  <c r="J55" i="5"/>
  <c r="D54" i="5"/>
  <c r="N53" i="5"/>
  <c r="M53" i="5"/>
  <c r="L53" i="5"/>
  <c r="K53" i="5"/>
  <c r="J53" i="5"/>
  <c r="I53" i="5"/>
  <c r="H53" i="5"/>
  <c r="G53" i="5"/>
  <c r="G54" i="5" s="1"/>
  <c r="F53" i="5"/>
  <c r="E53" i="5"/>
  <c r="D53" i="5"/>
  <c r="C53" i="5"/>
  <c r="C54" i="5" s="1"/>
  <c r="B53" i="5"/>
  <c r="G52" i="5"/>
  <c r="F52" i="5"/>
  <c r="F54" i="5" s="1"/>
  <c r="E52" i="5"/>
  <c r="E54" i="5" s="1"/>
  <c r="D52" i="5"/>
  <c r="C52" i="5"/>
  <c r="B52" i="5"/>
  <c r="B54" i="5" s="1"/>
  <c r="J51" i="5"/>
  <c r="H51" i="5"/>
  <c r="I52" i="5" s="1"/>
  <c r="I54" i="5" s="1"/>
  <c r="G50" i="5"/>
  <c r="D50" i="5"/>
  <c r="N49" i="5"/>
  <c r="M49" i="5"/>
  <c r="L49" i="5"/>
  <c r="K49" i="5"/>
  <c r="J49" i="5"/>
  <c r="I49" i="5"/>
  <c r="H49" i="5"/>
  <c r="G49" i="5"/>
  <c r="F49" i="5"/>
  <c r="E49" i="5"/>
  <c r="D49" i="5"/>
  <c r="C49" i="5"/>
  <c r="C50" i="5" s="1"/>
  <c r="B49" i="5"/>
  <c r="J48" i="5"/>
  <c r="I48" i="5"/>
  <c r="I50" i="5" s="1"/>
  <c r="H48" i="5"/>
  <c r="H50" i="5" s="1"/>
  <c r="G48" i="5"/>
  <c r="F48" i="5"/>
  <c r="F50" i="5" s="1"/>
  <c r="E48" i="5"/>
  <c r="D48" i="5"/>
  <c r="C48" i="5"/>
  <c r="B48" i="5"/>
  <c r="B50" i="5" s="1"/>
  <c r="J47" i="5"/>
  <c r="H46" i="5"/>
  <c r="G46" i="5"/>
  <c r="F46" i="5"/>
  <c r="E46" i="5"/>
  <c r="D46" i="5"/>
  <c r="C46" i="5"/>
  <c r="B46" i="5"/>
  <c r="I45" i="5"/>
  <c r="I46" i="5" s="1"/>
  <c r="A44" i="5"/>
  <c r="G43" i="5"/>
  <c r="F43" i="5"/>
  <c r="E43" i="5"/>
  <c r="D43" i="5"/>
  <c r="C43" i="5"/>
  <c r="B43" i="5"/>
  <c r="I42" i="5"/>
  <c r="H42" i="5"/>
  <c r="G42" i="5"/>
  <c r="F42" i="5"/>
  <c r="E42" i="5"/>
  <c r="D42" i="5"/>
  <c r="C42" i="5"/>
  <c r="B42" i="5"/>
  <c r="J41" i="5"/>
  <c r="G40" i="5"/>
  <c r="F40" i="5"/>
  <c r="E40" i="5"/>
  <c r="D40" i="5"/>
  <c r="C40" i="5"/>
  <c r="B40" i="5"/>
  <c r="G39" i="5"/>
  <c r="F39" i="5"/>
  <c r="E39" i="5"/>
  <c r="D39" i="5"/>
  <c r="C39" i="5"/>
  <c r="B39" i="5"/>
  <c r="I38" i="5"/>
  <c r="H38" i="5"/>
  <c r="H11" i="5" s="1"/>
  <c r="G37" i="5"/>
  <c r="F37" i="5"/>
  <c r="E37" i="5"/>
  <c r="D37" i="5"/>
  <c r="C37" i="5"/>
  <c r="B37" i="5"/>
  <c r="I36" i="5"/>
  <c r="H36" i="5"/>
  <c r="G36" i="5"/>
  <c r="F36" i="5"/>
  <c r="E36" i="5"/>
  <c r="D36" i="5"/>
  <c r="C36" i="5"/>
  <c r="B36" i="5"/>
  <c r="I35" i="5"/>
  <c r="I37" i="5" s="1"/>
  <c r="H35" i="5"/>
  <c r="G34" i="5"/>
  <c r="D34" i="5"/>
  <c r="D33" i="5"/>
  <c r="B33" i="5"/>
  <c r="G32" i="5"/>
  <c r="F32" i="5"/>
  <c r="F34" i="5" s="1"/>
  <c r="E32" i="5"/>
  <c r="D32" i="5"/>
  <c r="C32" i="5"/>
  <c r="C34" i="5" s="1"/>
  <c r="B32" i="5"/>
  <c r="B34" i="5" s="1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H29" i="5"/>
  <c r="G29" i="5"/>
  <c r="G31" i="5" s="1"/>
  <c r="I28" i="5"/>
  <c r="I29" i="5" s="1"/>
  <c r="I31" i="5" s="1"/>
  <c r="H28" i="5"/>
  <c r="E28" i="5"/>
  <c r="F29" i="5" s="1"/>
  <c r="F31" i="5" s="1"/>
  <c r="D28" i="5"/>
  <c r="E29" i="5" s="1"/>
  <c r="E31" i="5" s="1"/>
  <c r="C28" i="5"/>
  <c r="B28" i="5"/>
  <c r="B29" i="5" s="1"/>
  <c r="B31" i="5" s="1"/>
  <c r="N26" i="5"/>
  <c r="M26" i="5"/>
  <c r="L26" i="5"/>
  <c r="K26" i="5"/>
  <c r="J26" i="5"/>
  <c r="I26" i="5"/>
  <c r="H26" i="5"/>
  <c r="G26" i="5"/>
  <c r="G27" i="5" s="1"/>
  <c r="F26" i="5"/>
  <c r="E26" i="5"/>
  <c r="D26" i="5"/>
  <c r="C26" i="5"/>
  <c r="B26" i="5"/>
  <c r="I25" i="5"/>
  <c r="I27" i="5" s="1"/>
  <c r="H25" i="5"/>
  <c r="H27" i="5" s="1"/>
  <c r="G25" i="5"/>
  <c r="F25" i="5"/>
  <c r="F27" i="5" s="1"/>
  <c r="B25" i="5"/>
  <c r="B27" i="5" s="1"/>
  <c r="I24" i="5"/>
  <c r="J24" i="5" s="1"/>
  <c r="K24" i="5" s="1"/>
  <c r="H24" i="5"/>
  <c r="E24" i="5"/>
  <c r="D24" i="5"/>
  <c r="E25" i="5" s="1"/>
  <c r="E27" i="5" s="1"/>
  <c r="C24" i="5"/>
  <c r="C25" i="5" s="1"/>
  <c r="C27" i="5" s="1"/>
  <c r="B24" i="5"/>
  <c r="F23" i="5"/>
  <c r="E23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G21" i="5"/>
  <c r="G23" i="5" s="1"/>
  <c r="F21" i="5"/>
  <c r="I20" i="5"/>
  <c r="J20" i="5" s="1"/>
  <c r="H20" i="5"/>
  <c r="H21" i="5" s="1"/>
  <c r="H23" i="5" s="1"/>
  <c r="E20" i="5"/>
  <c r="E21" i="5" s="1"/>
  <c r="D20" i="5"/>
  <c r="C20" i="5"/>
  <c r="D21" i="5" s="1"/>
  <c r="D23" i="5" s="1"/>
  <c r="B20" i="5"/>
  <c r="G19" i="5"/>
  <c r="F19" i="5"/>
  <c r="E19" i="5"/>
  <c r="D19" i="5"/>
  <c r="C19" i="5"/>
  <c r="B19" i="5"/>
  <c r="I18" i="5"/>
  <c r="I97" i="5" s="1"/>
  <c r="H18" i="5"/>
  <c r="A17" i="5"/>
  <c r="I16" i="5"/>
  <c r="H16" i="5"/>
  <c r="G16" i="5"/>
  <c r="F16" i="5"/>
  <c r="E16" i="5"/>
  <c r="D16" i="5"/>
  <c r="C16" i="5"/>
  <c r="B16" i="5"/>
  <c r="I15" i="5"/>
  <c r="H15" i="5"/>
  <c r="G15" i="5"/>
  <c r="F15" i="5"/>
  <c r="E15" i="5"/>
  <c r="D15" i="5"/>
  <c r="C15" i="5"/>
  <c r="J14" i="5"/>
  <c r="G13" i="5"/>
  <c r="F13" i="5"/>
  <c r="E13" i="5"/>
  <c r="D13" i="5"/>
  <c r="C13" i="5"/>
  <c r="B13" i="5"/>
  <c r="G12" i="5"/>
  <c r="F12" i="5"/>
  <c r="E12" i="5"/>
  <c r="D12" i="5"/>
  <c r="C12" i="5"/>
  <c r="F11" i="5"/>
  <c r="I10" i="5"/>
  <c r="H10" i="5"/>
  <c r="G10" i="5"/>
  <c r="F10" i="5"/>
  <c r="E10" i="5"/>
  <c r="D10" i="5"/>
  <c r="C10" i="5"/>
  <c r="B10" i="5"/>
  <c r="I9" i="5"/>
  <c r="H9" i="5"/>
  <c r="G9" i="5"/>
  <c r="E9" i="5"/>
  <c r="D9" i="5"/>
  <c r="C9" i="5"/>
  <c r="L8" i="5"/>
  <c r="L9" i="5" s="1"/>
  <c r="K8" i="5"/>
  <c r="K9" i="5" s="1"/>
  <c r="J8" i="5"/>
  <c r="J9" i="5" s="1"/>
  <c r="F8" i="5"/>
  <c r="F9" i="5" s="1"/>
  <c r="F6" i="5"/>
  <c r="G5" i="5"/>
  <c r="G7" i="5" s="1"/>
  <c r="F5" i="5"/>
  <c r="F7" i="5" s="1"/>
  <c r="E5" i="5"/>
  <c r="E6" i="5" s="1"/>
  <c r="D5" i="5"/>
  <c r="D7" i="5" s="1"/>
  <c r="C5" i="5"/>
  <c r="D6" i="5" s="1"/>
  <c r="B5" i="5"/>
  <c r="B7" i="5" s="1"/>
  <c r="I4" i="5"/>
  <c r="H4" i="5"/>
  <c r="G4" i="5"/>
  <c r="F4" i="5"/>
  <c r="E4" i="5"/>
  <c r="D4" i="5"/>
  <c r="C4" i="5"/>
  <c r="L1" i="5"/>
  <c r="M1" i="5" s="1"/>
  <c r="N1" i="5" s="1"/>
  <c r="K1" i="5"/>
  <c r="J1" i="5"/>
  <c r="H1" i="5"/>
  <c r="G1" i="5"/>
  <c r="F1" i="5" s="1"/>
  <c r="E1" i="5" s="1"/>
  <c r="D1" i="5" s="1"/>
  <c r="C1" i="5" s="1"/>
  <c r="B1" i="5" s="1"/>
  <c r="G212" i="4"/>
  <c r="E212" i="4"/>
  <c r="D212" i="4"/>
  <c r="C212" i="4"/>
  <c r="G211" i="4"/>
  <c r="G210" i="4"/>
  <c r="G209" i="4"/>
  <c r="H208" i="4"/>
  <c r="G208" i="4"/>
  <c r="G207" i="4"/>
  <c r="F207" i="4"/>
  <c r="E207" i="4"/>
  <c r="D207" i="4"/>
  <c r="C207" i="4"/>
  <c r="D206" i="4"/>
  <c r="H205" i="4"/>
  <c r="G205" i="4"/>
  <c r="F205" i="4"/>
  <c r="E205" i="4"/>
  <c r="D205" i="4"/>
  <c r="C205" i="4"/>
  <c r="H204" i="4"/>
  <c r="G204" i="4"/>
  <c r="H203" i="4"/>
  <c r="G203" i="4"/>
  <c r="H202" i="4"/>
  <c r="G202" i="4"/>
  <c r="H201" i="4"/>
  <c r="G201" i="4"/>
  <c r="F201" i="4"/>
  <c r="E201" i="4"/>
  <c r="D201" i="4"/>
  <c r="C201" i="4"/>
  <c r="H200" i="4"/>
  <c r="G200" i="4"/>
  <c r="H199" i="4"/>
  <c r="G199" i="4"/>
  <c r="H198" i="4"/>
  <c r="G198" i="4"/>
  <c r="G197" i="4"/>
  <c r="F197" i="4"/>
  <c r="E197" i="4"/>
  <c r="D197" i="4"/>
  <c r="C197" i="4"/>
  <c r="H196" i="4"/>
  <c r="G196" i="4"/>
  <c r="H195" i="4"/>
  <c r="G195" i="4"/>
  <c r="H194" i="4"/>
  <c r="G194" i="4"/>
  <c r="G193" i="4"/>
  <c r="F193" i="4"/>
  <c r="E193" i="4"/>
  <c r="D193" i="4"/>
  <c r="C193" i="4"/>
  <c r="H192" i="4"/>
  <c r="G192" i="4"/>
  <c r="H191" i="4"/>
  <c r="G191" i="4"/>
  <c r="H190" i="4"/>
  <c r="G190" i="4"/>
  <c r="G189" i="4"/>
  <c r="F189" i="4"/>
  <c r="E189" i="4"/>
  <c r="D189" i="4"/>
  <c r="C189" i="4"/>
  <c r="I182" i="4"/>
  <c r="I185" i="4" s="1"/>
  <c r="I186" i="4" s="1"/>
  <c r="H182" i="4"/>
  <c r="H185" i="4" s="1"/>
  <c r="H186" i="4" s="1"/>
  <c r="G182" i="4"/>
  <c r="G185" i="4" s="1"/>
  <c r="G186" i="4" s="1"/>
  <c r="F182" i="4"/>
  <c r="F185" i="4" s="1"/>
  <c r="F186" i="4" s="1"/>
  <c r="E182" i="4"/>
  <c r="E185" i="4" s="1"/>
  <c r="E186" i="4" s="1"/>
  <c r="D182" i="4"/>
  <c r="D185" i="4" s="1"/>
  <c r="D186" i="4" s="1"/>
  <c r="C182" i="4"/>
  <c r="C185" i="4" s="1"/>
  <c r="C186" i="4" s="1"/>
  <c r="B182" i="4"/>
  <c r="B185" i="4" s="1"/>
  <c r="B186" i="4" s="1"/>
  <c r="I174" i="4"/>
  <c r="I175" i="4" s="1"/>
  <c r="F174" i="4"/>
  <c r="F175" i="4" s="1"/>
  <c r="E174" i="4"/>
  <c r="E175" i="4" s="1"/>
  <c r="B174" i="4"/>
  <c r="B175" i="4" s="1"/>
  <c r="I173" i="4"/>
  <c r="H173" i="4"/>
  <c r="H174" i="4" s="1"/>
  <c r="H175" i="4" s="1"/>
  <c r="I171" i="4"/>
  <c r="H171" i="4"/>
  <c r="G171" i="4"/>
  <c r="G174" i="4" s="1"/>
  <c r="G175" i="4" s="1"/>
  <c r="F171" i="4"/>
  <c r="E171" i="4"/>
  <c r="D171" i="4"/>
  <c r="D174" i="4" s="1"/>
  <c r="D175" i="4" s="1"/>
  <c r="C171" i="4"/>
  <c r="C174" i="4" s="1"/>
  <c r="C175" i="4" s="1"/>
  <c r="B171" i="4"/>
  <c r="I160" i="4"/>
  <c r="I163" i="4" s="1"/>
  <c r="I164" i="4" s="1"/>
  <c r="H160" i="4"/>
  <c r="H163" i="4" s="1"/>
  <c r="H164" i="4" s="1"/>
  <c r="G160" i="4"/>
  <c r="G163" i="4" s="1"/>
  <c r="G164" i="4" s="1"/>
  <c r="F160" i="4"/>
  <c r="F163" i="4" s="1"/>
  <c r="F164" i="4" s="1"/>
  <c r="E160" i="4"/>
  <c r="E163" i="4" s="1"/>
  <c r="E164" i="4" s="1"/>
  <c r="D160" i="4"/>
  <c r="D163" i="4" s="1"/>
  <c r="D164" i="4" s="1"/>
  <c r="C160" i="4"/>
  <c r="C163" i="4" s="1"/>
  <c r="C164" i="4" s="1"/>
  <c r="B160" i="4"/>
  <c r="B163" i="4" s="1"/>
  <c r="B164" i="4" s="1"/>
  <c r="G152" i="4"/>
  <c r="C152" i="4"/>
  <c r="B152" i="4"/>
  <c r="I147" i="4"/>
  <c r="I152" i="4" s="1"/>
  <c r="H147" i="4"/>
  <c r="H152" i="4" s="1"/>
  <c r="G147" i="4"/>
  <c r="F147" i="4"/>
  <c r="F152" i="4" s="1"/>
  <c r="F153" i="4" s="1"/>
  <c r="E147" i="4"/>
  <c r="E152" i="4" s="1"/>
  <c r="D147" i="4"/>
  <c r="D150" i="4" s="1"/>
  <c r="C147" i="4"/>
  <c r="B147" i="4"/>
  <c r="G139" i="4"/>
  <c r="G140" i="4" s="1"/>
  <c r="D139" i="4"/>
  <c r="D213" i="4" s="1"/>
  <c r="C139" i="4"/>
  <c r="C140" i="4" s="1"/>
  <c r="B139" i="4"/>
  <c r="I133" i="4"/>
  <c r="H133" i="4"/>
  <c r="H207" i="4" s="1"/>
  <c r="G132" i="4"/>
  <c r="G206" i="4" s="1"/>
  <c r="F132" i="4"/>
  <c r="F139" i="4" s="1"/>
  <c r="E132" i="4"/>
  <c r="E139" i="4" s="1"/>
  <c r="D132" i="4"/>
  <c r="C132" i="4"/>
  <c r="B132" i="4"/>
  <c r="C206" i="4" s="1"/>
  <c r="I127" i="4"/>
  <c r="H127" i="4"/>
  <c r="I123" i="4"/>
  <c r="H123" i="4"/>
  <c r="H197" i="4" s="1"/>
  <c r="I119" i="4"/>
  <c r="I132" i="4" s="1"/>
  <c r="I139" i="4" s="1"/>
  <c r="B140" i="4" s="1"/>
  <c r="H119" i="4"/>
  <c r="H193" i="4" s="1"/>
  <c r="I115" i="4"/>
  <c r="H115" i="4"/>
  <c r="H189" i="4" s="1"/>
  <c r="G105" i="4"/>
  <c r="F105" i="4"/>
  <c r="E105" i="4"/>
  <c r="D105" i="4"/>
  <c r="C105" i="4"/>
  <c r="B105" i="4"/>
  <c r="I100" i="4"/>
  <c r="H100" i="4"/>
  <c r="G100" i="4"/>
  <c r="F100" i="4"/>
  <c r="E100" i="4"/>
  <c r="D100" i="4"/>
  <c r="C100" i="4"/>
  <c r="B100" i="4"/>
  <c r="I87" i="4"/>
  <c r="H87" i="4"/>
  <c r="G87" i="4"/>
  <c r="F87" i="4"/>
  <c r="E87" i="4"/>
  <c r="D87" i="4"/>
  <c r="C87" i="4"/>
  <c r="B87" i="4"/>
  <c r="G77" i="4"/>
  <c r="G102" i="4" s="1"/>
  <c r="F77" i="4"/>
  <c r="F102" i="4" s="1"/>
  <c r="E77" i="4"/>
  <c r="E102" i="4" s="1"/>
  <c r="D77" i="4"/>
  <c r="D102" i="4" s="1"/>
  <c r="C77" i="4"/>
  <c r="C102" i="4" s="1"/>
  <c r="B77" i="4"/>
  <c r="B102" i="4" s="1"/>
  <c r="I59" i="4"/>
  <c r="I60" i="4" s="1"/>
  <c r="I61" i="4" s="1"/>
  <c r="H59" i="4"/>
  <c r="H60" i="4" s="1"/>
  <c r="G59" i="4"/>
  <c r="G60" i="4" s="1"/>
  <c r="F59" i="4"/>
  <c r="F60" i="4" s="1"/>
  <c r="F61" i="4" s="1"/>
  <c r="E59" i="4"/>
  <c r="E60" i="4" s="1"/>
  <c r="D59" i="4"/>
  <c r="D60" i="4" s="1"/>
  <c r="C59" i="4"/>
  <c r="C60" i="4" s="1"/>
  <c r="C61" i="4" s="1"/>
  <c r="B59" i="4"/>
  <c r="B60" i="4" s="1"/>
  <c r="I46" i="4"/>
  <c r="H46" i="4"/>
  <c r="G46" i="4"/>
  <c r="F46" i="4"/>
  <c r="E46" i="4"/>
  <c r="D46" i="4"/>
  <c r="C46" i="4"/>
  <c r="B46" i="4"/>
  <c r="C37" i="4"/>
  <c r="I31" i="4"/>
  <c r="I37" i="4" s="1"/>
  <c r="H31" i="4"/>
  <c r="H37" i="4" s="1"/>
  <c r="G31" i="4"/>
  <c r="G37" i="4" s="1"/>
  <c r="F31" i="4"/>
  <c r="F37" i="4" s="1"/>
  <c r="E31" i="4"/>
  <c r="E37" i="4" s="1"/>
  <c r="D31" i="4"/>
  <c r="D37" i="4" s="1"/>
  <c r="C31" i="4"/>
  <c r="B31" i="4"/>
  <c r="B37" i="4" s="1"/>
  <c r="I7" i="4"/>
  <c r="H7" i="4"/>
  <c r="G7" i="4"/>
  <c r="F7" i="4"/>
  <c r="E7" i="4"/>
  <c r="D7" i="4"/>
  <c r="C7" i="4"/>
  <c r="B7" i="4"/>
  <c r="I4" i="4"/>
  <c r="I10" i="4" s="1"/>
  <c r="I12" i="4" s="1"/>
  <c r="H4" i="4"/>
  <c r="H10" i="4" s="1"/>
  <c r="H12" i="4" s="1"/>
  <c r="G4" i="4"/>
  <c r="G10" i="4" s="1"/>
  <c r="G12" i="4" s="1"/>
  <c r="G20" i="4" s="1"/>
  <c r="F4" i="4"/>
  <c r="F10" i="4" s="1"/>
  <c r="F12" i="4" s="1"/>
  <c r="F20" i="4" s="1"/>
  <c r="E4" i="4"/>
  <c r="E10" i="4" s="1"/>
  <c r="E12" i="4" s="1"/>
  <c r="E20" i="4" s="1"/>
  <c r="D4" i="4"/>
  <c r="D10" i="4" s="1"/>
  <c r="D12" i="4" s="1"/>
  <c r="D20" i="4" s="1"/>
  <c r="C4" i="4"/>
  <c r="C10" i="4" s="1"/>
  <c r="C12" i="4" s="1"/>
  <c r="C20" i="4" s="1"/>
  <c r="B4" i="4"/>
  <c r="B10" i="4" s="1"/>
  <c r="B12" i="4" s="1"/>
  <c r="B20" i="4" s="1"/>
  <c r="H1" i="4"/>
  <c r="G1" i="4" s="1"/>
  <c r="F1" i="4" s="1"/>
  <c r="E1" i="4" s="1"/>
  <c r="D1" i="4" s="1"/>
  <c r="C1" i="4" s="1"/>
  <c r="B1" i="4" s="1"/>
  <c r="J18" i="5" l="1"/>
  <c r="J21" i="5"/>
  <c r="J23" i="5" s="1"/>
  <c r="K20" i="5"/>
  <c r="C29" i="5"/>
  <c r="C31" i="5" s="1"/>
  <c r="M55" i="5"/>
  <c r="L56" i="5"/>
  <c r="G6" i="5"/>
  <c r="L24" i="5"/>
  <c r="K25" i="5"/>
  <c r="J25" i="5"/>
  <c r="H37" i="5"/>
  <c r="H131" i="5"/>
  <c r="C6" i="5"/>
  <c r="J52" i="5"/>
  <c r="K51" i="5"/>
  <c r="C21" i="5"/>
  <c r="C23" i="5" s="1"/>
  <c r="B21" i="5"/>
  <c r="B23" i="5" s="1"/>
  <c r="H13" i="5"/>
  <c r="H12" i="5"/>
  <c r="D110" i="5"/>
  <c r="D112" i="5" s="1"/>
  <c r="E110" i="5"/>
  <c r="E112" i="5" s="1"/>
  <c r="N176" i="5"/>
  <c r="D61" i="5"/>
  <c r="D60" i="5"/>
  <c r="I66" i="5"/>
  <c r="J65" i="5"/>
  <c r="I67" i="5"/>
  <c r="I59" i="5"/>
  <c r="I115" i="5"/>
  <c r="I114" i="5"/>
  <c r="H190" i="5"/>
  <c r="H186" i="5"/>
  <c r="H140" i="5"/>
  <c r="H97" i="5"/>
  <c r="H121" i="5"/>
  <c r="H124" i="5"/>
  <c r="H91" i="5"/>
  <c r="H70" i="5"/>
  <c r="H43" i="5"/>
  <c r="H144" i="5"/>
  <c r="H115" i="5"/>
  <c r="H178" i="5"/>
  <c r="H88" i="5"/>
  <c r="H94" i="5"/>
  <c r="H64" i="5"/>
  <c r="H136" i="5"/>
  <c r="H118" i="5"/>
  <c r="H19" i="5"/>
  <c r="M8" i="5"/>
  <c r="I39" i="5"/>
  <c r="J38" i="5"/>
  <c r="I11" i="5"/>
  <c r="I40" i="5"/>
  <c r="I32" i="5"/>
  <c r="M119" i="5"/>
  <c r="L113" i="5"/>
  <c r="E34" i="5"/>
  <c r="E33" i="5"/>
  <c r="E159" i="5"/>
  <c r="E161" i="5" s="1"/>
  <c r="D159" i="5"/>
  <c r="D161" i="5" s="1"/>
  <c r="C7" i="5"/>
  <c r="E60" i="5"/>
  <c r="B115" i="5"/>
  <c r="B114" i="5"/>
  <c r="I131" i="5"/>
  <c r="I130" i="5"/>
  <c r="H130" i="5"/>
  <c r="L134" i="5"/>
  <c r="I19" i="5"/>
  <c r="I21" i="5"/>
  <c r="I23" i="5" s="1"/>
  <c r="D25" i="5"/>
  <c r="D27" i="5" s="1"/>
  <c r="D29" i="5"/>
  <c r="D31" i="5" s="1"/>
  <c r="G33" i="5"/>
  <c r="H39" i="5"/>
  <c r="J42" i="5"/>
  <c r="K41" i="5"/>
  <c r="H52" i="5"/>
  <c r="H54" i="5" s="1"/>
  <c r="J69" i="5"/>
  <c r="K68" i="5"/>
  <c r="L92" i="5"/>
  <c r="E102" i="5"/>
  <c r="E104" i="5" s="1"/>
  <c r="C115" i="5"/>
  <c r="C114" i="5"/>
  <c r="K113" i="5"/>
  <c r="I118" i="5"/>
  <c r="B131" i="5"/>
  <c r="B130" i="5"/>
  <c r="L184" i="5"/>
  <c r="M184" i="5" s="1"/>
  <c r="N184" i="5" s="1"/>
  <c r="E7" i="5"/>
  <c r="F33" i="5"/>
  <c r="E50" i="5"/>
  <c r="F58" i="5"/>
  <c r="E88" i="5"/>
  <c r="C106" i="5"/>
  <c r="C108" i="5" s="1"/>
  <c r="E115" i="5"/>
  <c r="D131" i="5"/>
  <c r="I140" i="5"/>
  <c r="J45" i="5"/>
  <c r="J46" i="5" s="1"/>
  <c r="I190" i="5"/>
  <c r="I186" i="5"/>
  <c r="I121" i="5"/>
  <c r="I91" i="5"/>
  <c r="I136" i="5"/>
  <c r="I94" i="5"/>
  <c r="I70" i="5"/>
  <c r="I64" i="5"/>
  <c r="I43" i="5"/>
  <c r="J28" i="5"/>
  <c r="H31" i="5"/>
  <c r="K47" i="5"/>
  <c r="J63" i="5"/>
  <c r="K62" i="5"/>
  <c r="F88" i="5"/>
  <c r="F87" i="5"/>
  <c r="I178" i="5"/>
  <c r="H61" i="5"/>
  <c r="C33" i="5"/>
  <c r="H60" i="5"/>
  <c r="G88" i="5"/>
  <c r="G87" i="5"/>
  <c r="E106" i="5"/>
  <c r="E108" i="5" s="1"/>
  <c r="E114" i="5"/>
  <c r="I124" i="5"/>
  <c r="D130" i="5"/>
  <c r="D150" i="5"/>
  <c r="D152" i="5" s="1"/>
  <c r="H32" i="5"/>
  <c r="H40" i="5"/>
  <c r="H67" i="5"/>
  <c r="I144" i="5"/>
  <c r="C87" i="5"/>
  <c r="G114" i="5"/>
  <c r="F130" i="5"/>
  <c r="K147" i="5"/>
  <c r="E61" i="4"/>
  <c r="E153" i="4"/>
  <c r="H20" i="4"/>
  <c r="H65" i="4"/>
  <c r="H77" i="4" s="1"/>
  <c r="H102" i="4" s="1"/>
  <c r="H104" i="4" s="1"/>
  <c r="G61" i="4"/>
  <c r="I20" i="4"/>
  <c r="I65" i="4"/>
  <c r="I77" i="4" s="1"/>
  <c r="I102" i="4" s="1"/>
  <c r="H61" i="4"/>
  <c r="H153" i="4"/>
  <c r="E213" i="4"/>
  <c r="E140" i="4"/>
  <c r="I153" i="4"/>
  <c r="B61" i="4"/>
  <c r="F213" i="4"/>
  <c r="F140" i="4"/>
  <c r="B153" i="4"/>
  <c r="C153" i="4"/>
  <c r="D61" i="4"/>
  <c r="G153" i="4"/>
  <c r="D140" i="4"/>
  <c r="D152" i="4"/>
  <c r="D153" i="4" s="1"/>
  <c r="E206" i="4"/>
  <c r="G213" i="4"/>
  <c r="F206" i="4"/>
  <c r="H132" i="4"/>
  <c r="F212" i="4"/>
  <c r="C213" i="4"/>
  <c r="J19" i="5" l="1"/>
  <c r="J3" i="5"/>
  <c r="J70" i="5"/>
  <c r="J43" i="5"/>
  <c r="L62" i="5"/>
  <c r="K63" i="5"/>
  <c r="L86" i="5"/>
  <c r="M92" i="5"/>
  <c r="J40" i="5"/>
  <c r="J39" i="5"/>
  <c r="K38" i="5"/>
  <c r="J11" i="5"/>
  <c r="I60" i="5"/>
  <c r="J59" i="5"/>
  <c r="I61" i="5"/>
  <c r="L176" i="5"/>
  <c r="I33" i="5"/>
  <c r="J32" i="5"/>
  <c r="I5" i="5"/>
  <c r="I34" i="5"/>
  <c r="L51" i="5"/>
  <c r="K52" i="5"/>
  <c r="I12" i="5"/>
  <c r="I13" i="5"/>
  <c r="K69" i="5"/>
  <c r="L68" i="5"/>
  <c r="H34" i="5"/>
  <c r="H5" i="5"/>
  <c r="H33" i="5"/>
  <c r="L47" i="5"/>
  <c r="K48" i="5"/>
  <c r="K45" i="5"/>
  <c r="K46" i="5" s="1"/>
  <c r="N55" i="5"/>
  <c r="N56" i="5" s="1"/>
  <c r="M56" i="5"/>
  <c r="L25" i="5"/>
  <c r="M24" i="5"/>
  <c r="M9" i="5"/>
  <c r="J67" i="5"/>
  <c r="J66" i="5"/>
  <c r="K65" i="5"/>
  <c r="J29" i="5"/>
  <c r="K28" i="5"/>
  <c r="K42" i="5"/>
  <c r="K14" i="5"/>
  <c r="L41" i="5"/>
  <c r="M176" i="5"/>
  <c r="N119" i="5"/>
  <c r="N113" i="5" s="1"/>
  <c r="M113" i="5"/>
  <c r="K21" i="5"/>
  <c r="K23" i="5" s="1"/>
  <c r="L20" i="5"/>
  <c r="K18" i="5"/>
  <c r="K149" i="5"/>
  <c r="L147" i="5"/>
  <c r="L129" i="5"/>
  <c r="M134" i="5"/>
  <c r="J64" i="5"/>
  <c r="H139" i="4"/>
  <c r="H206" i="4"/>
  <c r="I104" i="4"/>
  <c r="I105" i="4" s="1"/>
  <c r="H105" i="4"/>
  <c r="I103" i="4"/>
  <c r="K3" i="5" l="1"/>
  <c r="K19" i="5"/>
  <c r="L45" i="5"/>
  <c r="L46" i="5" s="1"/>
  <c r="M47" i="5"/>
  <c r="L48" i="5"/>
  <c r="L21" i="5"/>
  <c r="L23" i="5" s="1"/>
  <c r="M20" i="5"/>
  <c r="J60" i="5"/>
  <c r="K59" i="5"/>
  <c r="J61" i="5"/>
  <c r="L28" i="5"/>
  <c r="K29" i="5"/>
  <c r="M25" i="5"/>
  <c r="N24" i="5"/>
  <c r="N25" i="5" s="1"/>
  <c r="H7" i="5"/>
  <c r="H6" i="5"/>
  <c r="L52" i="5"/>
  <c r="M51" i="5"/>
  <c r="K64" i="5"/>
  <c r="M62" i="5"/>
  <c r="L59" i="5"/>
  <c r="L63" i="5"/>
  <c r="K67" i="5"/>
  <c r="K66" i="5"/>
  <c r="L65" i="5"/>
  <c r="J6" i="5"/>
  <c r="I6" i="5"/>
  <c r="I7" i="5"/>
  <c r="K40" i="5"/>
  <c r="K39" i="5"/>
  <c r="L38" i="5"/>
  <c r="L69" i="5"/>
  <c r="M68" i="5"/>
  <c r="J34" i="5"/>
  <c r="J33" i="5"/>
  <c r="J35" i="5"/>
  <c r="K32" i="5"/>
  <c r="M147" i="5"/>
  <c r="L149" i="5"/>
  <c r="K43" i="5"/>
  <c r="J4" i="5"/>
  <c r="J10" i="5"/>
  <c r="J7" i="5"/>
  <c r="J15" i="5"/>
  <c r="J16" i="5"/>
  <c r="J12" i="5"/>
  <c r="J13" i="5"/>
  <c r="N134" i="5"/>
  <c r="N129" i="5" s="1"/>
  <c r="M129" i="5"/>
  <c r="K70" i="5"/>
  <c r="L42" i="5"/>
  <c r="M41" i="5"/>
  <c r="L14" i="5"/>
  <c r="N9" i="5"/>
  <c r="N92" i="5"/>
  <c r="N86" i="5" s="1"/>
  <c r="M86" i="5"/>
  <c r="H140" i="4"/>
  <c r="H213" i="4"/>
  <c r="L61" i="5" l="1"/>
  <c r="L60" i="5"/>
  <c r="N47" i="5"/>
  <c r="M48" i="5"/>
  <c r="M45" i="5"/>
  <c r="M46" i="5" s="1"/>
  <c r="L66" i="5"/>
  <c r="M65" i="5"/>
  <c r="M59" i="5" s="1"/>
  <c r="M52" i="5"/>
  <c r="N51" i="5"/>
  <c r="N52" i="5" s="1"/>
  <c r="M63" i="5"/>
  <c r="N62" i="5"/>
  <c r="M70" i="5"/>
  <c r="N68" i="5"/>
  <c r="M69" i="5"/>
  <c r="M28" i="5"/>
  <c r="L29" i="5"/>
  <c r="K61" i="5"/>
  <c r="K60" i="5"/>
  <c r="N147" i="5"/>
  <c r="N149" i="5" s="1"/>
  <c r="M149" i="5"/>
  <c r="L39" i="5"/>
  <c r="M38" i="5"/>
  <c r="K4" i="5"/>
  <c r="K10" i="5"/>
  <c r="K33" i="5"/>
  <c r="K35" i="5"/>
  <c r="L32" i="5"/>
  <c r="K5" i="5"/>
  <c r="K34" i="5"/>
  <c r="L18" i="5"/>
  <c r="L67" i="5" s="1"/>
  <c r="K16" i="5"/>
  <c r="N41" i="5"/>
  <c r="M42" i="5"/>
  <c r="M14" i="5"/>
  <c r="J36" i="5"/>
  <c r="J37" i="5"/>
  <c r="M21" i="5"/>
  <c r="M23" i="5" s="1"/>
  <c r="N20" i="5"/>
  <c r="M18" i="5"/>
  <c r="K15" i="5"/>
  <c r="M60" i="5" l="1"/>
  <c r="M61" i="5"/>
  <c r="K37" i="5"/>
  <c r="K36" i="5"/>
  <c r="N65" i="5"/>
  <c r="M66" i="5"/>
  <c r="M67" i="5"/>
  <c r="M19" i="5"/>
  <c r="M3" i="5"/>
  <c r="N18" i="5"/>
  <c r="N21" i="5"/>
  <c r="N23" i="5" s="1"/>
  <c r="N63" i="5"/>
  <c r="N69" i="5"/>
  <c r="N42" i="5"/>
  <c r="N43" i="5"/>
  <c r="N14" i="5"/>
  <c r="M43" i="5"/>
  <c r="L19" i="5"/>
  <c r="L3" i="5"/>
  <c r="L64" i="5"/>
  <c r="L43" i="5"/>
  <c r="L70" i="5"/>
  <c r="N38" i="5"/>
  <c r="M39" i="5"/>
  <c r="M40" i="5"/>
  <c r="M64" i="5"/>
  <c r="N45" i="5"/>
  <c r="N46" i="5" s="1"/>
  <c r="N48" i="5"/>
  <c r="K7" i="5"/>
  <c r="K6" i="5"/>
  <c r="K11" i="5"/>
  <c r="L40" i="5"/>
  <c r="M29" i="5"/>
  <c r="N28" i="5"/>
  <c r="N29" i="5" s="1"/>
  <c r="M16" i="5"/>
  <c r="L35" i="5"/>
  <c r="M32" i="5"/>
  <c r="L5" i="5"/>
  <c r="L34" i="5"/>
  <c r="L33" i="5"/>
  <c r="L6" i="5" l="1"/>
  <c r="L7" i="5"/>
  <c r="L11" i="5"/>
  <c r="K13" i="5"/>
  <c r="K12" i="5"/>
  <c r="N39" i="5"/>
  <c r="N40" i="5"/>
  <c r="N3" i="5"/>
  <c r="N15" i="5" s="1"/>
  <c r="N19" i="5"/>
  <c r="M35" i="5"/>
  <c r="M34" i="5"/>
  <c r="M5" i="5"/>
  <c r="M33" i="5"/>
  <c r="N32" i="5"/>
  <c r="M4" i="5"/>
  <c r="M10" i="5"/>
  <c r="L37" i="5"/>
  <c r="L36" i="5"/>
  <c r="N70" i="5"/>
  <c r="M15" i="5"/>
  <c r="L4" i="5"/>
  <c r="L10" i="5"/>
  <c r="L15" i="5"/>
  <c r="L16" i="5"/>
  <c r="N64" i="5"/>
  <c r="N66" i="5"/>
  <c r="N67" i="5"/>
  <c r="N59" i="5"/>
  <c r="N34" i="5" l="1"/>
  <c r="N33" i="5"/>
  <c r="N35" i="5"/>
  <c r="N61" i="5"/>
  <c r="N60" i="5"/>
  <c r="M6" i="5"/>
  <c r="M7" i="5"/>
  <c r="M11" i="5"/>
  <c r="N4" i="5"/>
  <c r="N10" i="5"/>
  <c r="L12" i="5"/>
  <c r="L13" i="5"/>
  <c r="N16" i="5"/>
  <c r="M37" i="5"/>
  <c r="M36" i="5"/>
  <c r="N36" i="5" l="1"/>
  <c r="N37" i="5"/>
  <c r="N11" i="5"/>
  <c r="N6" i="5"/>
  <c r="N7" i="5"/>
  <c r="M12" i="5"/>
  <c r="M13" i="5"/>
  <c r="N12" i="5" l="1"/>
  <c r="N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3" authorId="0" shapeId="0" xr:uid="{8CAAE8C8-9A59-455B-9DB9-BD02A23FD272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<sst xmlns="http://schemas.openxmlformats.org/spreadsheetml/2006/main" count="377" uniqueCount="157">
  <si>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</si>
  <si>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</si>
  <si>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</si>
  <si>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</si>
  <si>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</si>
  <si>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</si>
  <si>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</si>
  <si>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</si>
  <si>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</si>
  <si>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</si>
  <si>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</si>
  <si>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</si>
  <si>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</si>
  <si>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</si>
  <si>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</si>
  <si>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</si>
  <si>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</si>
  <si>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</si>
  <si>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</si>
  <si>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</si>
  <si>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</si>
  <si>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</si>
  <si>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</si>
  <si>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</si>
  <si>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</si>
  <si>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</si>
  <si>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</si>
  <si>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</si>
  <si>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</si>
  <si>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</si>
  <si>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</si>
  <si>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</si>
  <si>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</si>
  <si>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</si>
  <si>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</si>
  <si>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</si>
  <si>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</si>
  <si>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</si>
  <si>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</si>
  <si>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</si>
  <si>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</si>
  <si>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</si>
  <si>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</si>
  <si>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</si>
  <si>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</si>
  <si>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</si>
  <si>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</si>
  <si>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</si>
  <si>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</si>
  <si>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</si>
  <si>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</si>
  <si>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</si>
  <si>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</si>
  <si>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</si>
  <si>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</si>
  <si>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</si>
  <si>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</si>
  <si>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</si>
  <si>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</si>
  <si>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</si>
  <si>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</si>
  <si>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</si>
  <si>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</si>
  <si>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</si>
  <si>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</si>
  <si>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</si>
  <si>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</si>
  <si>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</si>
  <si>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</si>
  <si>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</si>
  <si>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</si>
  <si>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</si>
  <si>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</si>
  <si>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</si>
  <si>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</si>
  <si>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</si>
  <si>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</si>
  <si>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</si>
  <si>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</si>
  <si>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</si>
  <si>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</si>
  <si>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</si>
  <si>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</si>
  <si>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</si>
  <si>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</si>
  <si>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</si>
  <si>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</si>
  <si>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</si>
  <si>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</si>
  <si>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</si>
  <si>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</si>
  <si>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</si>
  <si>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</si>
  <si>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</si>
  <si>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</si>
  <si>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</si>
  <si>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</si>
  <si>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</si>
  <si>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</si>
  <si>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</si>
  <si>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</si>
  <si>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</si>
  <si>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</si>
  <si>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</si>
  <si>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</si>
  <si>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</si>
  <si>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</si>
  <si>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</si>
  <si>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</si>
  <si>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</si>
  <si>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</si>
  <si>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</si>
  <si>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</si>
  <si>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</si>
  <si>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</si>
  <si>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</si>
  <si>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</si>
  <si>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</si>
  <si>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</si>
  <si>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</si>
  <si>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</si>
  <si>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</si>
  <si>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</si>
  <si>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</si>
  <si>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</si>
  <si>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</si>
  <si>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</si>
  <si>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</si>
  <si>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</si>
  <si>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</si>
  <si>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</si>
  <si>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</si>
  <si>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</si>
  <si>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</si>
  <si>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</si>
  <si>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</si>
  <si>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</si>
  <si>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</si>
  <si>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</si>
  <si>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</si>
  <si>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</si>
  <si>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</si>
  <si>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</si>
  <si>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</si>
  <si>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</si>
  <si>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Deferred Income Taxes</t>
  </si>
  <si>
    <t>Disposal of PPE</t>
  </si>
  <si>
    <t>Investments in reverse repurchase agreements</t>
  </si>
  <si>
    <t>Decrease (increase) in other assets, net of other liabilities</t>
  </si>
  <si>
    <t>Long-term debt payments including current portion</t>
  </si>
  <si>
    <t>Payments on capital lease obligations</t>
  </si>
  <si>
    <t xml:space="preserve">Excess tax benefits from share-based payment arrangements </t>
  </si>
  <si>
    <t>Tax payments for net share settlement of equity awards</t>
  </si>
  <si>
    <t>Total Nike, INC. Income before interests and taxes</t>
  </si>
  <si>
    <t>Interest expense (income) net</t>
  </si>
  <si>
    <t>Asia Pacific and Latin America</t>
  </si>
  <si>
    <t>Total Nike 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</si>
</sst>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0.000%"/>
    <numFmt numFmtId="169" formatCode="0.0"/>
    <numFmt numFmtId="170" formatCode="_-* #,##0.0_-;\-* #,##0.0_-;_-* &quot;-&quot;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12" fillId="0" borderId="3" xfId="0" applyFont="1" applyBorder="1" applyAlignment="1">
      <alignment horizontal="left" indent="1"/>
    </xf>
    <xf numFmtId="9" fontId="12" fillId="0" borderId="3" xfId="2" applyFont="1" applyBorder="1"/>
    <xf numFmtId="166" fontId="12" fillId="0" borderId="3" xfId="2" applyNumberFormat="1" applyFont="1" applyBorder="1"/>
    <xf numFmtId="9" fontId="12" fillId="0" borderId="0" xfId="2" applyFont="1"/>
    <xf numFmtId="10" fontId="12" fillId="0" borderId="3" xfId="2" applyNumberFormat="1" applyFont="1" applyBorder="1"/>
    <xf numFmtId="0" fontId="6" fillId="2" borderId="0" xfId="0" applyFont="1" applyFill="1"/>
    <xf numFmtId="167" fontId="2" fillId="0" borderId="2" xfId="0" applyNumberFormat="1" applyFont="1" applyBorder="1"/>
    <xf numFmtId="9" fontId="0" fillId="0" borderId="0" xfId="2" applyFont="1"/>
    <xf numFmtId="165" fontId="2" fillId="0" borderId="2" xfId="0" applyNumberFormat="1" applyFont="1" applyBorder="1"/>
    <xf numFmtId="167" fontId="2" fillId="0" borderId="5" xfId="0" applyNumberFormat="1" applyFont="1" applyBorder="1"/>
    <xf numFmtId="10" fontId="0" fillId="0" borderId="0" xfId="2" applyNumberFormat="1" applyFont="1"/>
    <xf numFmtId="166" fontId="0" fillId="0" borderId="0" xfId="2" applyNumberFormat="1" applyFont="1"/>
    <xf numFmtId="0" fontId="2" fillId="6" borderId="0" xfId="0" applyFont="1" applyFill="1"/>
    <xf numFmtId="43" fontId="2" fillId="0" borderId="2" xfId="0" applyNumberFormat="1" applyFont="1" applyBorder="1"/>
    <xf numFmtId="168" fontId="11" fillId="0" borderId="0" xfId="2" applyNumberFormat="1" applyFont="1" applyAlignment="1">
      <alignment horizontal="right"/>
    </xf>
    <xf numFmtId="165" fontId="13" fillId="6" borderId="0" xfId="1" applyNumberFormat="1" applyFont="1" applyFill="1" applyAlignment="1">
      <alignment horizontal="left" indent="1"/>
    </xf>
    <xf numFmtId="167" fontId="2" fillId="0" borderId="0" xfId="0" applyNumberFormat="1" applyFont="1"/>
    <xf numFmtId="3" fontId="2" fillId="0" borderId="0" xfId="0" applyNumberFormat="1" applyFont="1"/>
    <xf numFmtId="1" fontId="2" fillId="0" borderId="0" xfId="0" applyNumberFormat="1" applyFont="1"/>
    <xf numFmtId="43" fontId="2" fillId="0" borderId="0" xfId="0" applyNumberFormat="1" applyFont="1"/>
    <xf numFmtId="0" fontId="0" fillId="6" borderId="0" xfId="0" applyFill="1"/>
    <xf numFmtId="169" fontId="2" fillId="0" borderId="0" xfId="0" applyNumberFormat="1" applyFont="1"/>
    <xf numFmtId="2" fontId="11" fillId="0" borderId="0" xfId="2" applyNumberFormat="1" applyFont="1" applyAlignment="1">
      <alignment horizontal="right"/>
    </xf>
    <xf numFmtId="9" fontId="0" fillId="0" borderId="0" xfId="0" applyNumberFormat="1"/>
    <xf numFmtId="43" fontId="0" fillId="0" borderId="0" xfId="0" applyNumberFormat="1"/>
    <xf numFmtId="9" fontId="11" fillId="0" borderId="0" xfId="2" applyFont="1" applyAlignment="1">
      <alignment horizontal="right"/>
    </xf>
    <xf numFmtId="1" fontId="11" fillId="0" borderId="0" xfId="2" applyNumberFormat="1" applyFont="1" applyAlignment="1">
      <alignment horizontal="right"/>
    </xf>
    <xf numFmtId="3" fontId="12" fillId="0" borderId="0" xfId="2" applyNumberFormat="1" applyFont="1" applyAlignment="1">
      <alignment horizontal="right"/>
    </xf>
    <xf numFmtId="170" fontId="2" fillId="0" borderId="0" xfId="0" applyNumberFormat="1" applyFont="1"/>
    <xf numFmtId="169" fontId="11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n\Downloads\71732731376808_Task%208%20-%20Building%20the%20Revenue%20Model.xlsx" TargetMode="External"/><Relationship Id="rId1" Type="http://schemas.openxmlformats.org/officeDocument/2006/relationships/externalLinkPath" Target="71732731376808_Task%208%20-%20Building%20the%20Revenu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5">
          <cell r="A115" t="str">
            <v>North America</v>
          </cell>
          <cell r="H115">
            <v>17179</v>
          </cell>
          <cell r="I115">
            <v>18353</v>
          </cell>
        </row>
        <row r="116">
          <cell r="H116">
            <v>11644</v>
          </cell>
          <cell r="I116">
            <v>12228</v>
          </cell>
        </row>
        <row r="117">
          <cell r="H117">
            <v>5028</v>
          </cell>
          <cell r="I117">
            <v>5492</v>
          </cell>
        </row>
        <row r="118">
          <cell r="H118">
            <v>507</v>
          </cell>
          <cell r="I118">
            <v>633</v>
          </cell>
        </row>
        <row r="119">
          <cell r="A119" t="str">
            <v>Europe, Middle East &amp; Africa</v>
          </cell>
        </row>
        <row r="142">
          <cell r="H142">
            <v>5089</v>
          </cell>
          <cell r="I142">
            <v>5114</v>
          </cell>
        </row>
        <row r="144">
          <cell r="H144">
            <v>3243</v>
          </cell>
        </row>
        <row r="171">
          <cell r="H171">
            <v>677</v>
          </cell>
          <cell r="I171">
            <v>699</v>
          </cell>
        </row>
        <row r="177">
          <cell r="H177">
            <v>130</v>
          </cell>
          <cell r="I177">
            <v>124</v>
          </cell>
        </row>
        <row r="190">
          <cell r="G190">
            <v>-7.1279243404678949E-2</v>
          </cell>
          <cell r="H190">
            <v>0.24815092721620746</v>
          </cell>
          <cell r="I190">
            <v>0.05</v>
          </cell>
        </row>
        <row r="192">
          <cell r="G192">
            <v>-0.13567839195979903</v>
          </cell>
          <cell r="H192">
            <v>-1.744186046511631E-2</v>
          </cell>
          <cell r="I192">
            <v>0.25</v>
          </cell>
        </row>
        <row r="194">
          <cell r="G194">
            <v>-6.3721595423486432E-2</v>
          </cell>
          <cell r="H194">
            <v>0.18295994568907004</v>
          </cell>
          <cell r="I194">
            <v>0.09</v>
          </cell>
        </row>
        <row r="197">
          <cell r="B197">
            <v>0.18</v>
          </cell>
          <cell r="C197">
            <v>0.23410498858819695</v>
          </cell>
          <cell r="D197">
            <v>0.11941875825627468</v>
          </cell>
          <cell r="E197">
            <v>0.21170639603493036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142</v>
      </c>
    </row>
    <row r="3" spans="1:1" x14ac:dyDescent="0.3">
      <c r="A3" s="20" t="s">
        <v>140</v>
      </c>
    </row>
    <row r="4" spans="1:1" x14ac:dyDescent="0.3">
      <c r="A4" s="20" t="s">
        <v>143</v>
      </c>
    </row>
    <row r="5" spans="1:1" x14ac:dyDescent="0.3">
      <c r="A5" s="38" t="s">
        <v>144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053F-2081-4864-98FB-C85BC0FF3E4E}">
  <dimension ref="A1:I214"/>
  <sheetViews>
    <sheetView topLeftCell="A188" workbookViewId="0">
      <selection activeCell="M198" sqref="M198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861.7</v>
      </c>
      <c r="C17">
        <v>1697.9</v>
      </c>
      <c r="D17">
        <v>1657.8</v>
      </c>
      <c r="E17">
        <v>1623.8</v>
      </c>
      <c r="F17">
        <v>1579.7</v>
      </c>
      <c r="G17" s="8">
        <v>1559</v>
      </c>
      <c r="H17" s="8">
        <v>1573</v>
      </c>
      <c r="I17" s="8">
        <v>1578.8</v>
      </c>
    </row>
    <row r="18" spans="1:9" x14ac:dyDescent="0.3">
      <c r="A18" s="2" t="s">
        <v>7</v>
      </c>
      <c r="B18">
        <v>884.4</v>
      </c>
      <c r="C18">
        <v>1742.5</v>
      </c>
      <c r="D18">
        <v>1692</v>
      </c>
      <c r="E18">
        <v>1659.1</v>
      </c>
      <c r="F18">
        <v>1648.4</v>
      </c>
      <c r="G18" s="8">
        <v>1592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-0.05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145</v>
      </c>
      <c r="B29" s="3">
        <v>389</v>
      </c>
      <c r="C29" s="3"/>
      <c r="D29" s="3"/>
      <c r="E29" s="3"/>
      <c r="F29" s="3"/>
      <c r="G29" s="3"/>
      <c r="H29" s="3"/>
      <c r="I29" s="3"/>
    </row>
    <row r="30" spans="1:9" x14ac:dyDescent="0.3">
      <c r="A30" s="11" t="s">
        <v>36</v>
      </c>
      <c r="B30" s="3">
        <v>1968</v>
      </c>
      <c r="C30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3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3">
      <c r="A32" s="2" t="s">
        <v>37</v>
      </c>
      <c r="B32" s="3">
        <v>3011</v>
      </c>
      <c r="C32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3">
      <c r="A33" s="2" t="s">
        <v>38</v>
      </c>
      <c r="B33" s="3"/>
      <c r="D33" s="3"/>
      <c r="E33" s="3"/>
      <c r="F33" s="3"/>
      <c r="G33" s="3">
        <v>3097</v>
      </c>
      <c r="H33" s="3">
        <v>3113</v>
      </c>
      <c r="I33" s="3">
        <v>2926</v>
      </c>
    </row>
    <row r="34" spans="1:9" x14ac:dyDescent="0.3">
      <c r="A34" s="2" t="s">
        <v>39</v>
      </c>
      <c r="B34" s="3">
        <v>281</v>
      </c>
      <c r="C34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3">
      <c r="A35" s="2" t="s">
        <v>40</v>
      </c>
      <c r="B35" s="3">
        <v>131</v>
      </c>
      <c r="C35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3">
      <c r="A36" s="2" t="s">
        <v>41</v>
      </c>
      <c r="B36" s="3">
        <v>2201</v>
      </c>
      <c r="C36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" thickBot="1" x14ac:dyDescent="0.35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" thickTop="1" x14ac:dyDescent="0.3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1" t="s">
        <v>45</v>
      </c>
      <c r="B40" s="3">
        <v>107</v>
      </c>
      <c r="C40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3">
      <c r="A41" s="11" t="s">
        <v>46</v>
      </c>
      <c r="B41" s="3">
        <v>74</v>
      </c>
      <c r="C41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3">
      <c r="A42" s="11" t="s">
        <v>11</v>
      </c>
      <c r="B42" s="3">
        <v>2131</v>
      </c>
      <c r="C42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3">
      <c r="A43" s="11" t="s">
        <v>47</v>
      </c>
      <c r="B43" s="3"/>
      <c r="D43" s="3"/>
      <c r="E43" s="3"/>
      <c r="F43" s="3"/>
      <c r="G43" s="3">
        <v>445</v>
      </c>
      <c r="H43" s="3">
        <v>467</v>
      </c>
      <c r="I43" s="3">
        <v>420</v>
      </c>
    </row>
    <row r="44" spans="1:9" x14ac:dyDescent="0.3">
      <c r="A44" s="11" t="s">
        <v>12</v>
      </c>
      <c r="B44" s="3">
        <v>3951</v>
      </c>
      <c r="C44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3">
      <c r="A45" s="11" t="s">
        <v>48</v>
      </c>
      <c r="B45" s="3">
        <v>71</v>
      </c>
      <c r="C45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3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3">
      <c r="A47" s="2" t="s">
        <v>49</v>
      </c>
      <c r="B47" s="3">
        <v>1079</v>
      </c>
      <c r="C47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3">
      <c r="A48" s="2" t="s">
        <v>50</v>
      </c>
      <c r="B48" s="3"/>
      <c r="D48" s="3"/>
      <c r="E48" s="3"/>
      <c r="F48" s="3"/>
      <c r="G48" s="3">
        <v>2913</v>
      </c>
      <c r="H48" s="3">
        <v>2931</v>
      </c>
      <c r="I48" s="3">
        <v>2777</v>
      </c>
    </row>
    <row r="49" spans="1:9" x14ac:dyDescent="0.3">
      <c r="A49" s="2" t="s">
        <v>51</v>
      </c>
      <c r="B49" s="3">
        <v>1480</v>
      </c>
      <c r="C49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3">
      <c r="A50" s="2" t="s">
        <v>52</v>
      </c>
      <c r="B50" s="3"/>
      <c r="D50" s="3"/>
      <c r="E50" s="3"/>
      <c r="F50" s="3"/>
      <c r="G50" s="3"/>
      <c r="H50" s="3"/>
      <c r="I50" s="3"/>
    </row>
    <row r="51" spans="1:9" x14ac:dyDescent="0.3">
      <c r="A51" s="11" t="s">
        <v>53</v>
      </c>
      <c r="B51" s="3"/>
      <c r="D51" s="3"/>
      <c r="E51" s="3"/>
      <c r="F51" s="3"/>
      <c r="G51" s="3"/>
      <c r="H51" s="3">
        <v>0</v>
      </c>
      <c r="I51" s="3">
        <v>0</v>
      </c>
    </row>
    <row r="52" spans="1:9" x14ac:dyDescent="0.3">
      <c r="A52" s="2" t="s">
        <v>54</v>
      </c>
      <c r="B52" s="3"/>
      <c r="D52" s="3"/>
      <c r="E52" s="3"/>
      <c r="F52" s="3"/>
      <c r="G52" s="3"/>
      <c r="H52" s="3"/>
      <c r="I52" s="3"/>
    </row>
    <row r="53" spans="1:9" x14ac:dyDescent="0.3">
      <c r="A53" s="11" t="s">
        <v>55</v>
      </c>
      <c r="B53" s="3"/>
      <c r="D53" s="3"/>
      <c r="E53" s="3"/>
      <c r="F53" s="3"/>
      <c r="G53" s="3"/>
      <c r="H53" s="3"/>
      <c r="I53" s="3"/>
    </row>
    <row r="54" spans="1:9" x14ac:dyDescent="0.3">
      <c r="A54" s="17" t="s">
        <v>56</v>
      </c>
      <c r="B54" s="3"/>
      <c r="D54" s="3"/>
      <c r="E54" s="3"/>
      <c r="F54" s="3"/>
      <c r="G54" s="3"/>
      <c r="H54" s="3"/>
      <c r="I54" s="3"/>
    </row>
    <row r="55" spans="1:9" x14ac:dyDescent="0.3">
      <c r="A55" s="17" t="s">
        <v>57</v>
      </c>
      <c r="B55" s="3">
        <v>3</v>
      </c>
      <c r="C55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3">
      <c r="A56" s="17" t="s">
        <v>58</v>
      </c>
      <c r="B56" s="3">
        <v>6773</v>
      </c>
      <c r="C56">
        <v>7786</v>
      </c>
      <c r="D56" s="3">
        <v>5710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3">
      <c r="A57" s="17" t="s">
        <v>59</v>
      </c>
      <c r="B57" s="3">
        <v>1246</v>
      </c>
      <c r="C57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3">
      <c r="A58" s="17" t="s">
        <v>60</v>
      </c>
      <c r="B58" s="3">
        <v>4685</v>
      </c>
      <c r="C58">
        <v>4151</v>
      </c>
      <c r="D58" s="3">
        <v>6907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3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5" thickBot="1" x14ac:dyDescent="0.35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5" thickTop="1" x14ac:dyDescent="0.3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3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3">
      <c r="A63" t="s">
        <v>15</v>
      </c>
    </row>
    <row r="64" spans="1:9" x14ac:dyDescent="0.3">
      <c r="A64" s="1" t="s">
        <v>63</v>
      </c>
    </row>
    <row r="65" spans="1:9" s="1" customFormat="1" x14ac:dyDescent="0.3">
      <c r="A65" s="10" t="s">
        <v>64</v>
      </c>
      <c r="B65" s="9">
        <v>3273</v>
      </c>
      <c r="C65" s="1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3">
      <c r="A66" s="2" t="s">
        <v>65</v>
      </c>
      <c r="B66" s="3"/>
      <c r="D66" s="3"/>
      <c r="E66" s="3"/>
      <c r="F66" s="3"/>
      <c r="G66" s="3"/>
      <c r="H66" s="3"/>
      <c r="I66" s="3"/>
    </row>
    <row r="67" spans="1:9" x14ac:dyDescent="0.3">
      <c r="A67" s="11" t="s">
        <v>66</v>
      </c>
      <c r="B67" s="3">
        <v>606</v>
      </c>
      <c r="C67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3">
      <c r="A68" s="11" t="s">
        <v>67</v>
      </c>
      <c r="B68" s="3">
        <v>-113</v>
      </c>
      <c r="C68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3">
      <c r="A69" s="11" t="s">
        <v>68</v>
      </c>
      <c r="B69" s="3">
        <v>191</v>
      </c>
      <c r="C69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3">
      <c r="A70" s="11" t="s">
        <v>69</v>
      </c>
      <c r="B70" s="3">
        <v>43</v>
      </c>
      <c r="C70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3">
      <c r="A71" s="11" t="s">
        <v>70</v>
      </c>
      <c r="B71" s="3">
        <v>424</v>
      </c>
      <c r="C71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3">
      <c r="A72" s="2" t="s">
        <v>71</v>
      </c>
      <c r="B72" s="3"/>
      <c r="D72" s="3"/>
      <c r="E72" s="3"/>
      <c r="F72" s="3"/>
      <c r="G72" s="3"/>
      <c r="H72" s="3"/>
      <c r="I72" s="3"/>
    </row>
    <row r="73" spans="1:9" x14ac:dyDescent="0.3">
      <c r="A73" s="11" t="s">
        <v>72</v>
      </c>
      <c r="B73" s="3">
        <v>-216</v>
      </c>
      <c r="C7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3">
      <c r="A74" s="11" t="s">
        <v>73</v>
      </c>
      <c r="B74" s="3">
        <v>-621</v>
      </c>
      <c r="C74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3">
      <c r="A75" s="11" t="s">
        <v>98</v>
      </c>
      <c r="B75" s="3">
        <v>-144</v>
      </c>
      <c r="C75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3">
      <c r="A76" s="11" t="s">
        <v>97</v>
      </c>
      <c r="B76" s="3">
        <v>1237</v>
      </c>
      <c r="C76">
        <v>-889</v>
      </c>
      <c r="D76" s="3">
        <v>-158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3">
      <c r="A77" s="25" t="s">
        <v>74</v>
      </c>
      <c r="B77" s="26">
        <f t="shared" ref="B77:I77" si="12">+SUM(B65:B76)</f>
        <v>4680</v>
      </c>
      <c r="C77" s="26">
        <f t="shared" si="12"/>
        <v>3096</v>
      </c>
      <c r="D77" s="26">
        <f t="shared" si="12"/>
        <v>3846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 t="shared" si="12"/>
        <v>5188</v>
      </c>
    </row>
    <row r="78" spans="1:9" x14ac:dyDescent="0.3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2" t="s">
        <v>76</v>
      </c>
      <c r="B79" s="3">
        <v>-4936</v>
      </c>
      <c r="C79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3">
      <c r="A80" s="2" t="s">
        <v>77</v>
      </c>
      <c r="B80" s="3">
        <v>3655</v>
      </c>
      <c r="C80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3">
      <c r="A81" s="2" t="s">
        <v>78</v>
      </c>
      <c r="B81" s="3">
        <v>2216</v>
      </c>
      <c r="C81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14</v>
      </c>
      <c r="B82" s="3">
        <v>-963</v>
      </c>
      <c r="C82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146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3">
      <c r="A84" s="2" t="s">
        <v>147</v>
      </c>
      <c r="B84" s="3">
        <v>-150</v>
      </c>
      <c r="C84" s="3">
        <v>150</v>
      </c>
      <c r="D84" s="3"/>
      <c r="E84" s="3"/>
      <c r="F84" s="3"/>
      <c r="G84" s="3"/>
      <c r="H84" s="3"/>
      <c r="I84" s="3"/>
    </row>
    <row r="85" spans="1:9" x14ac:dyDescent="0.3">
      <c r="A85" s="2" t="s">
        <v>79</v>
      </c>
      <c r="B85" s="3"/>
      <c r="C85" s="3"/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3">
      <c r="A86" s="2" t="s">
        <v>148</v>
      </c>
      <c r="B86" s="3"/>
      <c r="C86" s="3">
        <v>6</v>
      </c>
      <c r="D86" s="3"/>
      <c r="E86" s="3"/>
      <c r="F86" s="3"/>
      <c r="G86" s="3"/>
      <c r="H86" s="3"/>
      <c r="I86" s="3"/>
    </row>
    <row r="87" spans="1:9" x14ac:dyDescent="0.3">
      <c r="A87" s="27" t="s">
        <v>80</v>
      </c>
      <c r="B87" s="26">
        <f t="shared" ref="B87:H87" si="13">+SUM(B79:B85)</f>
        <v>-175</v>
      </c>
      <c r="C87" s="26">
        <f t="shared" si="13"/>
        <v>-1040</v>
      </c>
      <c r="D87" s="26">
        <f t="shared" si="13"/>
        <v>-1008</v>
      </c>
      <c r="E87" s="26">
        <f t="shared" si="13"/>
        <v>276</v>
      </c>
      <c r="F87" s="26">
        <f t="shared" si="13"/>
        <v>-264</v>
      </c>
      <c r="G87" s="26">
        <f t="shared" si="13"/>
        <v>-1028</v>
      </c>
      <c r="H87" s="26">
        <f t="shared" si="13"/>
        <v>-3800</v>
      </c>
      <c r="I87" s="26">
        <f>+SUM(I79:I85)</f>
        <v>-1524</v>
      </c>
    </row>
    <row r="88" spans="1:9" x14ac:dyDescent="0.3">
      <c r="A88" s="1" t="s">
        <v>81</v>
      </c>
      <c r="B88" s="3"/>
      <c r="C88" s="3"/>
      <c r="D88" s="3"/>
      <c r="E88" s="3"/>
      <c r="F88" s="3"/>
      <c r="G88" s="3"/>
      <c r="H88" s="3"/>
      <c r="I88" s="3"/>
    </row>
    <row r="89" spans="1:9" x14ac:dyDescent="0.3">
      <c r="A89" s="2" t="s">
        <v>82</v>
      </c>
      <c r="B89" s="3"/>
      <c r="C89" s="3">
        <v>981</v>
      </c>
      <c r="D89" s="3">
        <v>1482</v>
      </c>
      <c r="E89" s="3"/>
      <c r="F89" s="3"/>
      <c r="G89" s="3">
        <v>6134</v>
      </c>
      <c r="H89" s="3">
        <v>0</v>
      </c>
      <c r="I89" s="3">
        <v>0</v>
      </c>
    </row>
    <row r="90" spans="1:9" x14ac:dyDescent="0.3">
      <c r="A90" s="2" t="s">
        <v>149</v>
      </c>
      <c r="B90" s="3">
        <v>-7</v>
      </c>
      <c r="C90" s="3">
        <v>-106</v>
      </c>
      <c r="D90" s="3">
        <v>-44</v>
      </c>
      <c r="E90" s="3">
        <v>-6</v>
      </c>
      <c r="F90" s="3"/>
      <c r="G90" s="3"/>
      <c r="H90" s="3"/>
      <c r="I90" s="3"/>
    </row>
    <row r="91" spans="1:9" x14ac:dyDescent="0.3">
      <c r="A91" s="2" t="s">
        <v>83</v>
      </c>
      <c r="B91" s="3">
        <v>-63</v>
      </c>
      <c r="C91" s="3">
        <v>-67</v>
      </c>
      <c r="D91" s="3">
        <v>327</v>
      </c>
      <c r="E91" s="3">
        <v>13</v>
      </c>
      <c r="F91" s="3">
        <v>-325</v>
      </c>
      <c r="G91" s="3">
        <v>49</v>
      </c>
      <c r="H91" s="3">
        <v>-52</v>
      </c>
      <c r="I91" s="3">
        <v>15</v>
      </c>
    </row>
    <row r="92" spans="1:9" x14ac:dyDescent="0.3">
      <c r="A92" s="2" t="s">
        <v>150</v>
      </c>
      <c r="B92" s="3">
        <v>-19</v>
      </c>
      <c r="C92" s="3">
        <v>-7</v>
      </c>
      <c r="D92" s="3">
        <v>-17</v>
      </c>
      <c r="E92" s="3">
        <v>-23</v>
      </c>
      <c r="F92" s="3"/>
      <c r="G92" s="3"/>
      <c r="H92" s="3"/>
      <c r="I92" s="3"/>
    </row>
    <row r="93" spans="1:9" x14ac:dyDescent="0.3">
      <c r="A93" s="2" t="s">
        <v>84</v>
      </c>
      <c r="B93" s="3"/>
      <c r="C93" s="3"/>
      <c r="D93" s="3"/>
      <c r="E93" s="3"/>
      <c r="F93" s="3"/>
      <c r="G93" s="3"/>
      <c r="H93" s="3">
        <v>-197</v>
      </c>
      <c r="I93" s="3">
        <v>0</v>
      </c>
    </row>
    <row r="94" spans="1:9" x14ac:dyDescent="0.3">
      <c r="A94" s="2" t="s">
        <v>85</v>
      </c>
      <c r="B94" s="3">
        <v>514</v>
      </c>
      <c r="C94" s="3">
        <v>507</v>
      </c>
      <c r="D94" s="3">
        <v>489</v>
      </c>
      <c r="E94" s="3">
        <v>733</v>
      </c>
      <c r="F94" s="3">
        <v>700</v>
      </c>
      <c r="G94" s="3">
        <v>885</v>
      </c>
      <c r="H94" s="3">
        <v>1172</v>
      </c>
      <c r="I94" s="3">
        <v>1151</v>
      </c>
    </row>
    <row r="95" spans="1:9" x14ac:dyDescent="0.3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3">
      <c r="A96" s="2" t="s">
        <v>151</v>
      </c>
      <c r="B96" s="3">
        <v>218</v>
      </c>
      <c r="C96" s="3">
        <v>281</v>
      </c>
      <c r="D96" s="3"/>
      <c r="E96" s="3"/>
      <c r="F96" s="3"/>
      <c r="G96" s="3"/>
      <c r="H96" s="3"/>
      <c r="I96" s="3"/>
    </row>
    <row r="97" spans="1:9" x14ac:dyDescent="0.3">
      <c r="A97" s="2" t="s">
        <v>86</v>
      </c>
      <c r="B97" s="3">
        <v>-899</v>
      </c>
      <c r="C97" s="3">
        <v>-1022</v>
      </c>
      <c r="D97" s="3">
        <v>-1133</v>
      </c>
      <c r="E97" s="3">
        <v>-1243</v>
      </c>
      <c r="F97" s="3">
        <v>-1332</v>
      </c>
      <c r="G97" s="3">
        <v>-1452</v>
      </c>
      <c r="H97" s="3">
        <v>-1638</v>
      </c>
      <c r="I97" s="3">
        <v>-1837</v>
      </c>
    </row>
    <row r="98" spans="1:9" x14ac:dyDescent="0.3">
      <c r="A98" s="2" t="s">
        <v>152</v>
      </c>
      <c r="B98" s="3"/>
      <c r="C98" s="3"/>
      <c r="D98" s="3">
        <v>-29</v>
      </c>
      <c r="E98" s="3">
        <v>-55</v>
      </c>
      <c r="F98" s="3"/>
      <c r="G98" s="3"/>
      <c r="H98" s="3"/>
      <c r="I98" s="3"/>
    </row>
    <row r="99" spans="1:9" x14ac:dyDescent="0.3">
      <c r="A99" s="2" t="s">
        <v>87</v>
      </c>
      <c r="B99" s="3"/>
      <c r="C99" s="3"/>
      <c r="D99" s="3"/>
      <c r="E99" s="3"/>
      <c r="F99" s="3">
        <v>-50</v>
      </c>
      <c r="G99" s="3">
        <v>-58</v>
      </c>
      <c r="H99" s="3">
        <v>-136</v>
      </c>
      <c r="I99" s="3">
        <v>-151</v>
      </c>
    </row>
    <row r="100" spans="1:9" x14ac:dyDescent="0.3">
      <c r="A100" s="27" t="s">
        <v>88</v>
      </c>
      <c r="B100" s="26">
        <f t="shared" ref="B100:H100" si="14">+SUM(B89:B99)</f>
        <v>-2790</v>
      </c>
      <c r="C100" s="26">
        <f t="shared" si="14"/>
        <v>-2671</v>
      </c>
      <c r="D100" s="26">
        <f t="shared" si="14"/>
        <v>-2148</v>
      </c>
      <c r="E100" s="26">
        <f t="shared" si="14"/>
        <v>-4835</v>
      </c>
      <c r="F100" s="26">
        <f t="shared" si="14"/>
        <v>-5293</v>
      </c>
      <c r="G100" s="26">
        <f t="shared" si="14"/>
        <v>2491</v>
      </c>
      <c r="H100" s="26">
        <f t="shared" si="14"/>
        <v>-1459</v>
      </c>
      <c r="I100" s="26">
        <f>+SUM(I89:I99)</f>
        <v>-4836</v>
      </c>
    </row>
    <row r="101" spans="1:9" x14ac:dyDescent="0.3">
      <c r="A101" s="2" t="s">
        <v>89</v>
      </c>
      <c r="B101" s="3">
        <v>-83</v>
      </c>
      <c r="C101" s="3">
        <v>-105</v>
      </c>
      <c r="D101" s="3">
        <v>-20</v>
      </c>
      <c r="E101" s="3">
        <v>45</v>
      </c>
      <c r="F101" s="3">
        <v>-129</v>
      </c>
      <c r="G101" s="3">
        <v>-66</v>
      </c>
      <c r="H101" s="3">
        <v>143</v>
      </c>
      <c r="I101" s="3">
        <v>-143</v>
      </c>
    </row>
    <row r="102" spans="1:9" x14ac:dyDescent="0.3">
      <c r="A102" s="27" t="s">
        <v>90</v>
      </c>
      <c r="B102" s="26">
        <f t="shared" ref="B102:H102" si="15">+B77+B87+B100+B101</f>
        <v>1632</v>
      </c>
      <c r="C102" s="26">
        <f t="shared" si="15"/>
        <v>-720</v>
      </c>
      <c r="D102" s="26">
        <f t="shared" si="15"/>
        <v>670</v>
      </c>
      <c r="E102" s="26">
        <f t="shared" si="15"/>
        <v>441</v>
      </c>
      <c r="F102" s="26">
        <f t="shared" si="15"/>
        <v>217</v>
      </c>
      <c r="G102" s="26">
        <f t="shared" si="15"/>
        <v>3882</v>
      </c>
      <c r="H102" s="26">
        <f t="shared" si="15"/>
        <v>1541</v>
      </c>
      <c r="I102" s="26">
        <f>+I77+I87+I100+I101</f>
        <v>-1315</v>
      </c>
    </row>
    <row r="103" spans="1:9" x14ac:dyDescent="0.3">
      <c r="A103" t="s">
        <v>91</v>
      </c>
      <c r="B103" s="3">
        <v>2220</v>
      </c>
      <c r="C103" s="3">
        <v>3852</v>
      </c>
      <c r="D103" s="3">
        <v>3138</v>
      </c>
      <c r="E103" s="3">
        <v>3808</v>
      </c>
      <c r="F103" s="3">
        <v>4249</v>
      </c>
      <c r="G103" s="3">
        <v>4466</v>
      </c>
      <c r="H103" s="3">
        <v>8348</v>
      </c>
      <c r="I103" s="3">
        <f>+H104</f>
        <v>9889</v>
      </c>
    </row>
    <row r="104" spans="1:9" ht="15" thickBot="1" x14ac:dyDescent="0.35">
      <c r="A104" s="6" t="s">
        <v>92</v>
      </c>
      <c r="B104" s="7">
        <v>3852</v>
      </c>
      <c r="C104" s="7">
        <v>3138</v>
      </c>
      <c r="D104" s="7">
        <v>3808</v>
      </c>
      <c r="E104" s="7">
        <v>4249</v>
      </c>
      <c r="F104" s="7">
        <v>4466</v>
      </c>
      <c r="G104" s="7">
        <v>8348</v>
      </c>
      <c r="H104" s="7">
        <f>+H102+H103</f>
        <v>9889</v>
      </c>
      <c r="I104" s="7">
        <f>+I102+I103</f>
        <v>8574</v>
      </c>
    </row>
    <row r="105" spans="1:9" s="12" customFormat="1" ht="15" thickTop="1" x14ac:dyDescent="0.3">
      <c r="A105" s="12" t="s">
        <v>19</v>
      </c>
      <c r="B105" s="13">
        <f t="shared" ref="B105:I105" si="16">+B104-B25</f>
        <v>0</v>
      </c>
      <c r="C105" s="13">
        <f t="shared" si="16"/>
        <v>0</v>
      </c>
      <c r="D105" s="13">
        <f t="shared" si="16"/>
        <v>0</v>
      </c>
      <c r="E105" s="13">
        <f t="shared" si="16"/>
        <v>0</v>
      </c>
      <c r="F105" s="13">
        <f t="shared" si="16"/>
        <v>0</v>
      </c>
      <c r="G105" s="13">
        <f t="shared" si="16"/>
        <v>0</v>
      </c>
      <c r="H105" s="13">
        <f t="shared" si="16"/>
        <v>0</v>
      </c>
      <c r="I105" s="13">
        <f t="shared" si="16"/>
        <v>0</v>
      </c>
    </row>
    <row r="106" spans="1:9" x14ac:dyDescent="0.3">
      <c r="A106" t="s">
        <v>93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17</v>
      </c>
      <c r="B107" s="3"/>
      <c r="C107" s="3"/>
      <c r="D107" s="3"/>
      <c r="E107" s="3"/>
      <c r="F107" s="3"/>
      <c r="G107" s="3"/>
      <c r="H107" s="3"/>
      <c r="I107" s="3"/>
    </row>
    <row r="108" spans="1:9" x14ac:dyDescent="0.3">
      <c r="A108" s="11" t="s">
        <v>94</v>
      </c>
      <c r="B108" s="3">
        <v>53</v>
      </c>
      <c r="C108" s="3">
        <v>70</v>
      </c>
      <c r="D108" s="3">
        <v>98</v>
      </c>
      <c r="E108" s="3">
        <v>125</v>
      </c>
      <c r="F108" s="3">
        <v>153</v>
      </c>
      <c r="G108" s="3">
        <v>140</v>
      </c>
      <c r="H108" s="3">
        <v>293</v>
      </c>
      <c r="I108" s="3">
        <v>290</v>
      </c>
    </row>
    <row r="109" spans="1:9" x14ac:dyDescent="0.3">
      <c r="A109" s="11" t="s">
        <v>18</v>
      </c>
      <c r="B109" s="3">
        <v>1262</v>
      </c>
      <c r="C109" s="3">
        <v>748</v>
      </c>
      <c r="D109" s="3">
        <v>703</v>
      </c>
      <c r="E109" s="3">
        <v>529</v>
      </c>
      <c r="F109" s="3">
        <v>757</v>
      </c>
      <c r="G109" s="3">
        <v>1028</v>
      </c>
      <c r="H109" s="3">
        <v>1177</v>
      </c>
      <c r="I109" s="3">
        <v>1231</v>
      </c>
    </row>
    <row r="110" spans="1:9" x14ac:dyDescent="0.3">
      <c r="A110" s="11" t="s">
        <v>95</v>
      </c>
      <c r="B110" s="3">
        <v>206</v>
      </c>
      <c r="C110" s="3">
        <v>252</v>
      </c>
      <c r="D110" s="3">
        <v>266</v>
      </c>
      <c r="E110" s="3">
        <v>294</v>
      </c>
      <c r="F110" s="3">
        <v>160</v>
      </c>
      <c r="G110" s="3">
        <v>121</v>
      </c>
      <c r="H110" s="3">
        <v>179</v>
      </c>
      <c r="I110" s="3">
        <v>160</v>
      </c>
    </row>
    <row r="111" spans="1:9" x14ac:dyDescent="0.3">
      <c r="A111" s="11" t="s">
        <v>96</v>
      </c>
      <c r="B111" s="3">
        <v>240</v>
      </c>
      <c r="C111" s="3">
        <v>271</v>
      </c>
      <c r="D111" s="3">
        <v>300</v>
      </c>
      <c r="E111" s="3">
        <v>320</v>
      </c>
      <c r="F111" s="3">
        <v>347</v>
      </c>
      <c r="G111" s="3">
        <v>385</v>
      </c>
      <c r="H111" s="3">
        <v>438</v>
      </c>
      <c r="I111" s="3">
        <v>480</v>
      </c>
    </row>
    <row r="113" spans="1:9" x14ac:dyDescent="0.3">
      <c r="A113" s="14" t="s">
        <v>99</v>
      </c>
      <c r="B113" s="14"/>
      <c r="C113" s="14"/>
      <c r="D113" s="14"/>
      <c r="E113" s="14"/>
      <c r="F113" s="14"/>
      <c r="G113" s="14"/>
      <c r="H113" s="14"/>
      <c r="I113" s="14"/>
    </row>
    <row r="114" spans="1:9" x14ac:dyDescent="0.3">
      <c r="A114" s="28" t="s">
        <v>109</v>
      </c>
      <c r="B114" s="3"/>
      <c r="C114" s="3"/>
      <c r="D114" s="3"/>
      <c r="E114" s="3"/>
      <c r="F114" s="3"/>
      <c r="G114" s="3"/>
      <c r="H114" s="3"/>
      <c r="I114" s="3"/>
    </row>
    <row r="115" spans="1:9" x14ac:dyDescent="0.3">
      <c r="A115" s="2" t="s">
        <v>100</v>
      </c>
      <c r="B115" s="3">
        <v>13740</v>
      </c>
      <c r="C115" s="3">
        <v>14764</v>
      </c>
      <c r="D115" s="3">
        <v>15216</v>
      </c>
      <c r="E115" s="3">
        <v>14855</v>
      </c>
      <c r="F115" s="3">
        <v>15902</v>
      </c>
      <c r="G115" s="3">
        <v>14484</v>
      </c>
      <c r="H115" s="3">
        <f t="shared" ref="H115" si="17">+SUM(H116:H118)</f>
        <v>17179</v>
      </c>
      <c r="I115" s="3">
        <f>+SUM(I116:I118)</f>
        <v>18353</v>
      </c>
    </row>
    <row r="116" spans="1:9" x14ac:dyDescent="0.3">
      <c r="A116" s="11" t="s">
        <v>113</v>
      </c>
      <c r="F116">
        <v>10045</v>
      </c>
      <c r="G116">
        <v>9329</v>
      </c>
      <c r="H116" s="8">
        <v>11644</v>
      </c>
      <c r="I116" s="8">
        <v>12228</v>
      </c>
    </row>
    <row r="117" spans="1:9" x14ac:dyDescent="0.3">
      <c r="A117" s="11" t="s">
        <v>114</v>
      </c>
      <c r="F117">
        <v>5260</v>
      </c>
      <c r="G117">
        <v>4639</v>
      </c>
      <c r="H117" s="8">
        <v>5028</v>
      </c>
      <c r="I117" s="8">
        <v>5492</v>
      </c>
    </row>
    <row r="118" spans="1:9" x14ac:dyDescent="0.3">
      <c r="A118" s="11" t="s">
        <v>115</v>
      </c>
      <c r="F118">
        <v>597</v>
      </c>
      <c r="G118">
        <v>516</v>
      </c>
      <c r="H118">
        <v>507</v>
      </c>
      <c r="I118">
        <v>633</v>
      </c>
    </row>
    <row r="119" spans="1:9" x14ac:dyDescent="0.3">
      <c r="A119" s="2" t="s">
        <v>101</v>
      </c>
      <c r="B119" s="3">
        <v>7126</v>
      </c>
      <c r="C119" s="3">
        <v>7315</v>
      </c>
      <c r="D119" s="3">
        <v>7698</v>
      </c>
      <c r="E119" s="3">
        <v>9242</v>
      </c>
      <c r="F119" s="3">
        <v>9812</v>
      </c>
      <c r="G119" s="3">
        <v>9347</v>
      </c>
      <c r="H119" s="3">
        <f t="shared" ref="H119" si="18">+SUM(H120:H122)</f>
        <v>11456</v>
      </c>
      <c r="I119" s="3">
        <f>+SUM(I120:I122)</f>
        <v>12479</v>
      </c>
    </row>
    <row r="120" spans="1:9" x14ac:dyDescent="0.3">
      <c r="A120" s="11" t="s">
        <v>113</v>
      </c>
      <c r="F120">
        <v>6293</v>
      </c>
      <c r="G120">
        <v>5892</v>
      </c>
      <c r="H120" s="8">
        <v>6970</v>
      </c>
      <c r="I120" s="8">
        <v>7388</v>
      </c>
    </row>
    <row r="121" spans="1:9" x14ac:dyDescent="0.3">
      <c r="A121" s="11" t="s">
        <v>114</v>
      </c>
      <c r="F121">
        <v>3087</v>
      </c>
      <c r="G121">
        <v>3053</v>
      </c>
      <c r="H121" s="8">
        <v>3996</v>
      </c>
      <c r="I121" s="8">
        <v>4527</v>
      </c>
    </row>
    <row r="122" spans="1:9" x14ac:dyDescent="0.3">
      <c r="A122" s="11" t="s">
        <v>115</v>
      </c>
      <c r="F122">
        <v>432</v>
      </c>
      <c r="G122">
        <v>402</v>
      </c>
      <c r="H122">
        <v>490</v>
      </c>
      <c r="I122">
        <v>564</v>
      </c>
    </row>
    <row r="123" spans="1:9" x14ac:dyDescent="0.3">
      <c r="A123" s="2" t="s">
        <v>102</v>
      </c>
      <c r="B123" s="3">
        <v>3067</v>
      </c>
      <c r="C123" s="3">
        <v>3785</v>
      </c>
      <c r="D123" s="3">
        <v>4237</v>
      </c>
      <c r="E123" s="3">
        <v>5134</v>
      </c>
      <c r="F123" s="3">
        <v>6208</v>
      </c>
      <c r="G123" s="3">
        <v>6679</v>
      </c>
      <c r="H123" s="3">
        <f t="shared" ref="H123" si="19">+SUM(H124:H126)</f>
        <v>8290</v>
      </c>
      <c r="I123" s="3">
        <f>+SUM(I124:I126)</f>
        <v>7547</v>
      </c>
    </row>
    <row r="124" spans="1:9" x14ac:dyDescent="0.3">
      <c r="A124" s="11" t="s">
        <v>113</v>
      </c>
      <c r="F124">
        <v>4262</v>
      </c>
      <c r="G124">
        <v>4635</v>
      </c>
      <c r="H124" s="8">
        <v>5748</v>
      </c>
      <c r="I124" s="8">
        <v>5416</v>
      </c>
    </row>
    <row r="125" spans="1:9" x14ac:dyDescent="0.3">
      <c r="A125" s="11" t="s">
        <v>114</v>
      </c>
      <c r="F125">
        <v>1808</v>
      </c>
      <c r="G125">
        <v>1896</v>
      </c>
      <c r="H125" s="8">
        <v>2347</v>
      </c>
      <c r="I125" s="8">
        <v>1938</v>
      </c>
    </row>
    <row r="126" spans="1:9" x14ac:dyDescent="0.3">
      <c r="A126" s="11" t="s">
        <v>115</v>
      </c>
      <c r="F126">
        <v>138</v>
      </c>
      <c r="G126">
        <v>148</v>
      </c>
      <c r="H126">
        <v>195</v>
      </c>
      <c r="I126">
        <v>193</v>
      </c>
    </row>
    <row r="127" spans="1:9" x14ac:dyDescent="0.3">
      <c r="A127" s="2" t="s">
        <v>106</v>
      </c>
      <c r="B127" s="3">
        <v>4653</v>
      </c>
      <c r="C127" s="3">
        <v>4570</v>
      </c>
      <c r="D127" s="3">
        <v>5009</v>
      </c>
      <c r="E127" s="3">
        <v>5166</v>
      </c>
      <c r="F127" s="3">
        <v>5254</v>
      </c>
      <c r="G127" s="3">
        <v>5028</v>
      </c>
      <c r="H127" s="3">
        <f t="shared" ref="H127" si="20">+SUM(H128:H130)</f>
        <v>5343</v>
      </c>
      <c r="I127" s="3">
        <f>+SUM(I128:I130)</f>
        <v>5955</v>
      </c>
    </row>
    <row r="128" spans="1:9" x14ac:dyDescent="0.3">
      <c r="A128" s="11" t="s">
        <v>113</v>
      </c>
      <c r="F128">
        <v>3622</v>
      </c>
      <c r="G128">
        <v>3449</v>
      </c>
      <c r="H128" s="8">
        <v>3659</v>
      </c>
      <c r="I128" s="8">
        <v>4111</v>
      </c>
    </row>
    <row r="129" spans="1:9" x14ac:dyDescent="0.3">
      <c r="A129" s="11" t="s">
        <v>114</v>
      </c>
      <c r="F129">
        <v>1395</v>
      </c>
      <c r="G129">
        <v>1365</v>
      </c>
      <c r="H129" s="8">
        <v>1494</v>
      </c>
      <c r="I129" s="8">
        <v>1610</v>
      </c>
    </row>
    <row r="130" spans="1:9" x14ac:dyDescent="0.3">
      <c r="A130" s="11" t="s">
        <v>115</v>
      </c>
      <c r="F130">
        <v>237</v>
      </c>
      <c r="G130">
        <v>214</v>
      </c>
      <c r="H130">
        <v>190</v>
      </c>
      <c r="I130">
        <v>234</v>
      </c>
    </row>
    <row r="131" spans="1:9" x14ac:dyDescent="0.3">
      <c r="A131" s="2" t="s">
        <v>107</v>
      </c>
      <c r="B131" s="3">
        <v>115</v>
      </c>
      <c r="C131" s="3">
        <v>73</v>
      </c>
      <c r="D131" s="3">
        <v>73</v>
      </c>
      <c r="E131" s="3">
        <v>88</v>
      </c>
      <c r="F131" s="3">
        <v>42</v>
      </c>
      <c r="G131" s="3">
        <v>30</v>
      </c>
      <c r="H131" s="3">
        <v>25</v>
      </c>
      <c r="I131" s="3">
        <v>102</v>
      </c>
    </row>
    <row r="132" spans="1:9" x14ac:dyDescent="0.3">
      <c r="A132" s="4" t="s">
        <v>103</v>
      </c>
      <c r="B132" s="5">
        <f t="shared" ref="B132:I132" si="21">+B115+B119+B123+B127+B131</f>
        <v>28701</v>
      </c>
      <c r="C132" s="5">
        <f t="shared" si="21"/>
        <v>30507</v>
      </c>
      <c r="D132" s="5">
        <f t="shared" si="21"/>
        <v>32233</v>
      </c>
      <c r="E132" s="5">
        <f t="shared" si="21"/>
        <v>34485</v>
      </c>
      <c r="F132" s="5">
        <f t="shared" si="21"/>
        <v>37218</v>
      </c>
      <c r="G132" s="5">
        <f t="shared" si="21"/>
        <v>35568</v>
      </c>
      <c r="H132" s="5">
        <f t="shared" si="21"/>
        <v>42293</v>
      </c>
      <c r="I132" s="5">
        <f t="shared" si="21"/>
        <v>44436</v>
      </c>
    </row>
    <row r="133" spans="1:9" x14ac:dyDescent="0.3">
      <c r="A133" s="2" t="s">
        <v>104</v>
      </c>
      <c r="B133" s="3">
        <v>1982</v>
      </c>
      <c r="C133" s="3">
        <v>1955</v>
      </c>
      <c r="D133" s="3">
        <v>2042</v>
      </c>
      <c r="E133" s="3">
        <v>1912</v>
      </c>
      <c r="F133" s="3">
        <v>1906</v>
      </c>
      <c r="G133" s="3">
        <v>1846</v>
      </c>
      <c r="H133" s="3">
        <f>+SUM(H134:H137)</f>
        <v>2205</v>
      </c>
      <c r="I133" s="3">
        <f>+SUM(I134:I137)</f>
        <v>2346</v>
      </c>
    </row>
    <row r="134" spans="1:9" x14ac:dyDescent="0.3">
      <c r="A134" s="11" t="s">
        <v>113</v>
      </c>
      <c r="B134" s="3"/>
      <c r="C134" s="3"/>
      <c r="D134" s="3"/>
      <c r="E134" s="3"/>
      <c r="F134" s="3">
        <v>1658</v>
      </c>
      <c r="G134" s="3">
        <v>-11</v>
      </c>
      <c r="H134" s="3">
        <v>1986</v>
      </c>
      <c r="I134" s="3">
        <v>2094</v>
      </c>
    </row>
    <row r="135" spans="1:9" x14ac:dyDescent="0.3">
      <c r="A135" s="11" t="s">
        <v>114</v>
      </c>
      <c r="B135" s="3"/>
      <c r="C135" s="3"/>
      <c r="D135" s="3"/>
      <c r="E135" s="3"/>
      <c r="F135" s="3">
        <v>118</v>
      </c>
      <c r="G135" s="3"/>
      <c r="H135" s="3">
        <v>104</v>
      </c>
      <c r="I135" s="3">
        <v>103</v>
      </c>
    </row>
    <row r="136" spans="1:9" x14ac:dyDescent="0.3">
      <c r="A136" s="11" t="s">
        <v>115</v>
      </c>
      <c r="B136" s="3"/>
      <c r="C136" s="3"/>
      <c r="D136" s="3"/>
      <c r="E136" s="3"/>
      <c r="F136" s="3">
        <v>24</v>
      </c>
      <c r="G136" s="3"/>
      <c r="H136" s="3">
        <v>29</v>
      </c>
      <c r="I136" s="3">
        <v>26</v>
      </c>
    </row>
    <row r="137" spans="1:9" x14ac:dyDescent="0.3">
      <c r="A137" s="11" t="s">
        <v>121</v>
      </c>
      <c r="B137" s="3"/>
      <c r="C137" s="3"/>
      <c r="D137" s="3"/>
      <c r="E137" s="3"/>
      <c r="F137" s="3">
        <v>106</v>
      </c>
      <c r="G137" s="3"/>
      <c r="H137" s="3">
        <v>86</v>
      </c>
      <c r="I137" s="3">
        <v>123</v>
      </c>
    </row>
    <row r="138" spans="1:9" x14ac:dyDescent="0.3">
      <c r="A138" s="2" t="s">
        <v>108</v>
      </c>
      <c r="B138" s="3">
        <v>-82</v>
      </c>
      <c r="C138" s="3">
        <v>-86</v>
      </c>
      <c r="D138" s="3">
        <v>75</v>
      </c>
      <c r="E138" s="3"/>
      <c r="F138" s="3">
        <v>-7</v>
      </c>
      <c r="G138" s="3"/>
      <c r="H138" s="3">
        <v>40</v>
      </c>
      <c r="I138" s="3">
        <v>-72</v>
      </c>
    </row>
    <row r="139" spans="1:9" ht="15" thickBot="1" x14ac:dyDescent="0.35">
      <c r="A139" s="6" t="s">
        <v>105</v>
      </c>
      <c r="B139" s="7">
        <f t="shared" ref="B139:H139" si="22">+B132+B133+B138</f>
        <v>30601</v>
      </c>
      <c r="C139" s="7">
        <f t="shared" si="22"/>
        <v>32376</v>
      </c>
      <c r="D139" s="7">
        <f t="shared" si="22"/>
        <v>34350</v>
      </c>
      <c r="E139" s="7">
        <f t="shared" si="22"/>
        <v>36397</v>
      </c>
      <c r="F139" s="7">
        <f t="shared" si="22"/>
        <v>39117</v>
      </c>
      <c r="G139" s="7">
        <f>+G132+G133+G134</f>
        <v>37403</v>
      </c>
      <c r="H139" s="7">
        <f t="shared" si="22"/>
        <v>44538</v>
      </c>
      <c r="I139" s="7">
        <f>+I132+I133+I138</f>
        <v>46710</v>
      </c>
    </row>
    <row r="140" spans="1:9" s="12" customFormat="1" ht="15" thickTop="1" x14ac:dyDescent="0.3">
      <c r="A140" s="12" t="s">
        <v>111</v>
      </c>
      <c r="B140" s="13">
        <f>+I139-I2</f>
        <v>0</v>
      </c>
      <c r="C140" s="13">
        <f t="shared" ref="C140:H140" si="23">+C139-C2</f>
        <v>0</v>
      </c>
      <c r="D140" s="13">
        <f t="shared" si="23"/>
        <v>0</v>
      </c>
      <c r="E140" s="13">
        <f t="shared" si="23"/>
        <v>0</v>
      </c>
      <c r="F140" s="13">
        <f t="shared" si="23"/>
        <v>0</v>
      </c>
      <c r="G140" s="13">
        <f t="shared" si="23"/>
        <v>0</v>
      </c>
      <c r="H140" s="13">
        <f t="shared" si="23"/>
        <v>0</v>
      </c>
    </row>
    <row r="141" spans="1:9" x14ac:dyDescent="0.3">
      <c r="A141" s="1" t="s">
        <v>110</v>
      </c>
    </row>
    <row r="142" spans="1:9" x14ac:dyDescent="0.3">
      <c r="A142" s="2" t="s">
        <v>100</v>
      </c>
      <c r="B142" s="3">
        <v>3645</v>
      </c>
      <c r="C142" s="3">
        <v>3763</v>
      </c>
      <c r="D142" s="3">
        <v>3875</v>
      </c>
      <c r="E142" s="3">
        <v>3600</v>
      </c>
      <c r="F142" s="3">
        <v>3925</v>
      </c>
      <c r="G142" s="3">
        <v>2899</v>
      </c>
      <c r="H142" s="3">
        <v>5089</v>
      </c>
      <c r="I142" s="3">
        <v>5114</v>
      </c>
    </row>
    <row r="143" spans="1:9" x14ac:dyDescent="0.3">
      <c r="A143" s="2" t="s">
        <v>101</v>
      </c>
      <c r="B143" s="3">
        <v>1524</v>
      </c>
      <c r="C143" s="3">
        <v>1723</v>
      </c>
      <c r="D143" s="3">
        <v>1507</v>
      </c>
      <c r="E143" s="3">
        <v>1587</v>
      </c>
      <c r="F143" s="3">
        <v>1995</v>
      </c>
      <c r="G143" s="3">
        <v>1541</v>
      </c>
      <c r="H143" s="3">
        <v>2435</v>
      </c>
      <c r="I143" s="3">
        <v>3293</v>
      </c>
    </row>
    <row r="144" spans="1:9" x14ac:dyDescent="0.3">
      <c r="A144" s="2" t="s">
        <v>102</v>
      </c>
      <c r="B144" s="3">
        <v>993</v>
      </c>
      <c r="C144" s="3">
        <v>1372</v>
      </c>
      <c r="D144" s="3">
        <v>1507</v>
      </c>
      <c r="E144" s="3">
        <v>1807</v>
      </c>
      <c r="F144" s="3">
        <v>2376</v>
      </c>
      <c r="G144" s="3">
        <v>2490</v>
      </c>
      <c r="H144" s="3">
        <v>3243</v>
      </c>
      <c r="I144" s="3">
        <v>2365</v>
      </c>
    </row>
    <row r="145" spans="1:9" x14ac:dyDescent="0.3">
      <c r="A145" s="2" t="s">
        <v>106</v>
      </c>
      <c r="B145" s="3">
        <v>918</v>
      </c>
      <c r="C145" s="3">
        <v>1066</v>
      </c>
      <c r="D145" s="3">
        <v>980</v>
      </c>
      <c r="E145" s="3">
        <v>1189</v>
      </c>
      <c r="F145" s="3">
        <v>1323</v>
      </c>
      <c r="G145" s="3">
        <v>1184</v>
      </c>
      <c r="H145" s="3">
        <v>1530</v>
      </c>
      <c r="I145" s="3">
        <v>1896</v>
      </c>
    </row>
    <row r="146" spans="1:9" x14ac:dyDescent="0.3">
      <c r="A146" s="2" t="s">
        <v>107</v>
      </c>
      <c r="B146" s="3">
        <v>-2267</v>
      </c>
      <c r="C146" s="3">
        <v>-2596</v>
      </c>
      <c r="D146" s="3">
        <v>-2677</v>
      </c>
      <c r="E146" s="3">
        <v>-2658</v>
      </c>
      <c r="F146" s="3">
        <v>-3262</v>
      </c>
      <c r="G146" s="3">
        <v>-3468</v>
      </c>
      <c r="H146" s="3">
        <v>-3656</v>
      </c>
      <c r="I146" s="3">
        <v>-4262</v>
      </c>
    </row>
    <row r="147" spans="1:9" x14ac:dyDescent="0.3">
      <c r="A147" s="4" t="s">
        <v>103</v>
      </c>
      <c r="B147" s="5">
        <f t="shared" ref="B147:I147" si="24">+SUM(B142:B146)</f>
        <v>4813</v>
      </c>
      <c r="C147" s="5">
        <f t="shared" si="24"/>
        <v>5328</v>
      </c>
      <c r="D147" s="5">
        <f t="shared" si="24"/>
        <v>5192</v>
      </c>
      <c r="E147" s="5">
        <f t="shared" si="24"/>
        <v>5525</v>
      </c>
      <c r="F147" s="5">
        <f t="shared" si="24"/>
        <v>6357</v>
      </c>
      <c r="G147" s="5">
        <f t="shared" si="24"/>
        <v>4646</v>
      </c>
      <c r="H147" s="5">
        <f t="shared" si="24"/>
        <v>8641</v>
      </c>
      <c r="I147" s="5">
        <f t="shared" si="24"/>
        <v>8406</v>
      </c>
    </row>
    <row r="148" spans="1:9" x14ac:dyDescent="0.3">
      <c r="A148" s="2" t="s">
        <v>104</v>
      </c>
      <c r="B148" s="3">
        <v>517</v>
      </c>
      <c r="C148" s="3">
        <v>487</v>
      </c>
      <c r="D148" s="3">
        <v>477</v>
      </c>
      <c r="E148" s="3">
        <v>310</v>
      </c>
      <c r="F148" s="3">
        <v>303</v>
      </c>
      <c r="G148" s="3">
        <v>297</v>
      </c>
      <c r="H148" s="3">
        <v>543</v>
      </c>
      <c r="I148" s="3">
        <v>669</v>
      </c>
    </row>
    <row r="149" spans="1:9" x14ac:dyDescent="0.3">
      <c r="A149" s="2" t="s">
        <v>108</v>
      </c>
      <c r="B149" s="3">
        <v>-1097</v>
      </c>
      <c r="C149" s="3">
        <v>-1173</v>
      </c>
      <c r="D149" s="3">
        <v>-724</v>
      </c>
      <c r="E149" s="3">
        <v>-1456</v>
      </c>
      <c r="F149" s="3">
        <v>-1810</v>
      </c>
      <c r="G149" s="3">
        <v>-1967</v>
      </c>
      <c r="H149" s="3">
        <v>-2261</v>
      </c>
      <c r="I149" s="3">
        <v>-2219</v>
      </c>
    </row>
    <row r="150" spans="1:9" x14ac:dyDescent="0.3">
      <c r="A150" s="2" t="s">
        <v>153</v>
      </c>
      <c r="B150" s="3"/>
      <c r="C150" s="3"/>
      <c r="D150" s="3">
        <f>D147+D148+D149</f>
        <v>4945</v>
      </c>
      <c r="E150" s="3"/>
      <c r="F150" s="3"/>
      <c r="G150" s="3"/>
      <c r="H150" s="3"/>
      <c r="I150" s="3"/>
    </row>
    <row r="151" spans="1:9" x14ac:dyDescent="0.3">
      <c r="A151" s="2" t="s">
        <v>154</v>
      </c>
      <c r="B151" s="3"/>
      <c r="C151" s="3"/>
      <c r="D151" s="3">
        <v>-59</v>
      </c>
      <c r="E151" s="3">
        <v>-54</v>
      </c>
      <c r="F151" s="3">
        <v>-49</v>
      </c>
      <c r="G151" s="3"/>
      <c r="H151" s="3"/>
      <c r="I151" s="3"/>
    </row>
    <row r="152" spans="1:9" ht="15" thickBot="1" x14ac:dyDescent="0.35">
      <c r="A152" s="6" t="s">
        <v>112</v>
      </c>
      <c r="B152" s="7">
        <f t="shared" ref="B152" si="25">+SUM(B147:B149)</f>
        <v>4233</v>
      </c>
      <c r="C152" s="7">
        <f t="shared" ref="C152" si="26">+SUM(C147:C149)</f>
        <v>4642</v>
      </c>
      <c r="D152" s="7">
        <f t="shared" ref="D152:H152" si="27">+SUM(D147:D149)</f>
        <v>4945</v>
      </c>
      <c r="E152" s="7">
        <f t="shared" si="27"/>
        <v>4379</v>
      </c>
      <c r="F152" s="7">
        <f t="shared" si="27"/>
        <v>4850</v>
      </c>
      <c r="G152" s="7">
        <f t="shared" si="27"/>
        <v>2976</v>
      </c>
      <c r="H152" s="7">
        <f t="shared" si="27"/>
        <v>6923</v>
      </c>
      <c r="I152" s="7">
        <f>+SUM(I147:I149)</f>
        <v>6856</v>
      </c>
    </row>
    <row r="153" spans="1:9" s="12" customFormat="1" ht="15" thickTop="1" x14ac:dyDescent="0.3">
      <c r="A153" s="12" t="s">
        <v>111</v>
      </c>
      <c r="B153" s="13">
        <f t="shared" ref="B153:I153" si="28">+B152-B10-B8</f>
        <v>0</v>
      </c>
      <c r="C153" s="13">
        <f t="shared" si="28"/>
        <v>0</v>
      </c>
      <c r="D153" s="13">
        <f t="shared" si="28"/>
        <v>0</v>
      </c>
      <c r="E153" s="13">
        <f t="shared" si="28"/>
        <v>0</v>
      </c>
      <c r="F153" s="13">
        <f t="shared" si="28"/>
        <v>0</v>
      </c>
      <c r="G153" s="13">
        <f t="shared" si="28"/>
        <v>0</v>
      </c>
      <c r="H153" s="13">
        <f t="shared" si="28"/>
        <v>0</v>
      </c>
      <c r="I153" s="13">
        <f t="shared" si="28"/>
        <v>0</v>
      </c>
    </row>
    <row r="154" spans="1:9" x14ac:dyDescent="0.3">
      <c r="A154" s="1" t="s">
        <v>117</v>
      </c>
    </row>
    <row r="155" spans="1:9" x14ac:dyDescent="0.3">
      <c r="A155" s="2" t="s">
        <v>100</v>
      </c>
      <c r="B155" s="3">
        <v>632</v>
      </c>
      <c r="C155" s="3">
        <v>742</v>
      </c>
      <c r="D155" s="3">
        <v>819</v>
      </c>
      <c r="E155" s="3">
        <v>848</v>
      </c>
      <c r="F155" s="3">
        <v>814</v>
      </c>
      <c r="G155" s="3">
        <v>645</v>
      </c>
      <c r="H155" s="3">
        <v>617</v>
      </c>
      <c r="I155" s="3">
        <v>639</v>
      </c>
    </row>
    <row r="156" spans="1:9" x14ac:dyDescent="0.3">
      <c r="A156" s="2" t="s">
        <v>101</v>
      </c>
      <c r="B156" s="3">
        <v>498</v>
      </c>
      <c r="C156" s="3">
        <v>639</v>
      </c>
      <c r="D156" s="3">
        <v>709</v>
      </c>
      <c r="E156" s="3">
        <v>849</v>
      </c>
      <c r="F156" s="3">
        <v>929</v>
      </c>
      <c r="G156" s="3">
        <v>885</v>
      </c>
      <c r="H156" s="3">
        <v>982</v>
      </c>
      <c r="I156" s="3">
        <v>920</v>
      </c>
    </row>
    <row r="157" spans="1:9" x14ac:dyDescent="0.3">
      <c r="A157" s="2" t="s">
        <v>102</v>
      </c>
      <c r="B157" s="3">
        <v>254</v>
      </c>
      <c r="C157" s="3">
        <v>234</v>
      </c>
      <c r="D157" s="3">
        <v>225</v>
      </c>
      <c r="E157" s="3">
        <v>256</v>
      </c>
      <c r="F157" s="3">
        <v>237</v>
      </c>
      <c r="G157" s="3">
        <v>214</v>
      </c>
      <c r="H157" s="3">
        <v>288</v>
      </c>
      <c r="I157" s="3">
        <v>303</v>
      </c>
    </row>
    <row r="158" spans="1:9" x14ac:dyDescent="0.3">
      <c r="A158" s="2" t="s">
        <v>118</v>
      </c>
      <c r="B158" s="3">
        <v>308</v>
      </c>
      <c r="C158" s="3">
        <v>332</v>
      </c>
      <c r="D158" s="3">
        <v>340</v>
      </c>
      <c r="E158" s="3">
        <v>339</v>
      </c>
      <c r="F158" s="3">
        <v>326</v>
      </c>
      <c r="G158" s="3">
        <v>296</v>
      </c>
      <c r="H158" s="3">
        <v>304</v>
      </c>
      <c r="I158" s="3">
        <v>274</v>
      </c>
    </row>
    <row r="159" spans="1:9" x14ac:dyDescent="0.3">
      <c r="A159" s="2" t="s">
        <v>107</v>
      </c>
      <c r="B159" s="3">
        <v>484</v>
      </c>
      <c r="C159" s="3">
        <v>511</v>
      </c>
      <c r="D159" s="3">
        <v>533</v>
      </c>
      <c r="E159" s="3">
        <v>597</v>
      </c>
      <c r="F159" s="3">
        <v>665</v>
      </c>
      <c r="G159" s="3">
        <v>830</v>
      </c>
      <c r="H159" s="3">
        <v>780</v>
      </c>
      <c r="I159" s="3">
        <v>789</v>
      </c>
    </row>
    <row r="160" spans="1:9" x14ac:dyDescent="0.3">
      <c r="A160" s="4" t="s">
        <v>119</v>
      </c>
      <c r="B160" s="5">
        <f t="shared" ref="B160:I160" si="29">+SUM(B155:B159)</f>
        <v>2176</v>
      </c>
      <c r="C160" s="5">
        <f t="shared" si="29"/>
        <v>2458</v>
      </c>
      <c r="D160" s="5">
        <f t="shared" si="29"/>
        <v>2626</v>
      </c>
      <c r="E160" s="5">
        <f t="shared" si="29"/>
        <v>2889</v>
      </c>
      <c r="F160" s="5">
        <f t="shared" si="29"/>
        <v>2971</v>
      </c>
      <c r="G160" s="5">
        <f t="shared" si="29"/>
        <v>2870</v>
      </c>
      <c r="H160" s="5">
        <f t="shared" si="29"/>
        <v>2971</v>
      </c>
      <c r="I160" s="5">
        <f t="shared" si="29"/>
        <v>2925</v>
      </c>
    </row>
    <row r="161" spans="1:9" x14ac:dyDescent="0.3">
      <c r="A161" s="2" t="s">
        <v>104</v>
      </c>
      <c r="B161" s="3">
        <v>122</v>
      </c>
      <c r="C161" s="3">
        <v>125</v>
      </c>
      <c r="D161" s="3">
        <v>125</v>
      </c>
      <c r="E161" s="3">
        <v>115</v>
      </c>
      <c r="F161" s="3">
        <v>100</v>
      </c>
      <c r="G161" s="3">
        <v>80</v>
      </c>
      <c r="H161" s="3">
        <v>63</v>
      </c>
      <c r="I161" s="3">
        <v>49</v>
      </c>
    </row>
    <row r="162" spans="1:9" x14ac:dyDescent="0.3">
      <c r="A162" s="2" t="s">
        <v>108</v>
      </c>
      <c r="B162" s="3">
        <v>713</v>
      </c>
      <c r="C162" s="3">
        <v>937</v>
      </c>
      <c r="D162" s="3">
        <v>1238</v>
      </c>
      <c r="E162" s="3">
        <v>1450</v>
      </c>
      <c r="F162" s="3">
        <v>1673</v>
      </c>
      <c r="G162" s="3">
        <v>1916</v>
      </c>
      <c r="H162" s="3">
        <v>1870</v>
      </c>
      <c r="I162" s="3">
        <v>1817</v>
      </c>
    </row>
    <row r="163" spans="1:9" ht="15" thickBot="1" x14ac:dyDescent="0.35">
      <c r="A163" s="6" t="s">
        <v>120</v>
      </c>
      <c r="B163" s="7">
        <f t="shared" ref="B163:H163" si="30">+SUM(B160:B162)</f>
        <v>3011</v>
      </c>
      <c r="C163" s="7">
        <f t="shared" si="30"/>
        <v>3520</v>
      </c>
      <c r="D163" s="7">
        <f t="shared" si="30"/>
        <v>3989</v>
      </c>
      <c r="E163" s="7">
        <f t="shared" si="30"/>
        <v>4454</v>
      </c>
      <c r="F163" s="7">
        <f t="shared" si="30"/>
        <v>4744</v>
      </c>
      <c r="G163" s="7">
        <f t="shared" si="30"/>
        <v>4866</v>
      </c>
      <c r="H163" s="7">
        <f t="shared" si="30"/>
        <v>4904</v>
      </c>
      <c r="I163" s="7">
        <f>+SUM(I160:I162)</f>
        <v>4791</v>
      </c>
    </row>
    <row r="164" spans="1:9" ht="15" thickTop="1" x14ac:dyDescent="0.3">
      <c r="A164" s="12" t="s">
        <v>111</v>
      </c>
      <c r="B164" s="13">
        <f t="shared" ref="B164:I164" si="31">+B163-B32</f>
        <v>0</v>
      </c>
      <c r="C164" s="13">
        <f t="shared" si="31"/>
        <v>0</v>
      </c>
      <c r="D164" s="13">
        <f t="shared" si="31"/>
        <v>0</v>
      </c>
      <c r="E164" s="13">
        <f t="shared" si="31"/>
        <v>0</v>
      </c>
      <c r="F164" s="13">
        <f t="shared" si="31"/>
        <v>0</v>
      </c>
      <c r="G164" s="13">
        <f t="shared" si="31"/>
        <v>0</v>
      </c>
      <c r="H164" s="13">
        <f t="shared" si="31"/>
        <v>0</v>
      </c>
      <c r="I164" s="13">
        <f t="shared" si="31"/>
        <v>0</v>
      </c>
    </row>
    <row r="165" spans="1:9" x14ac:dyDescent="0.3">
      <c r="A165" s="1" t="s">
        <v>122</v>
      </c>
    </row>
    <row r="166" spans="1:9" x14ac:dyDescent="0.3">
      <c r="A166" s="2" t="s">
        <v>100</v>
      </c>
      <c r="B166" s="3">
        <v>208</v>
      </c>
      <c r="C166" s="3">
        <v>242</v>
      </c>
      <c r="D166" s="3">
        <v>223</v>
      </c>
      <c r="E166" s="3">
        <v>196</v>
      </c>
      <c r="F166" s="3">
        <v>117</v>
      </c>
      <c r="G166" s="3">
        <v>110</v>
      </c>
      <c r="H166" s="3">
        <v>98</v>
      </c>
      <c r="I166" s="3">
        <v>146</v>
      </c>
    </row>
    <row r="167" spans="1:9" x14ac:dyDescent="0.3">
      <c r="A167" s="2" t="s">
        <v>101</v>
      </c>
      <c r="B167" s="3">
        <v>236</v>
      </c>
      <c r="C167" s="3">
        <v>232</v>
      </c>
      <c r="D167" s="3">
        <v>173</v>
      </c>
      <c r="E167" s="3">
        <v>240</v>
      </c>
      <c r="F167" s="3">
        <v>233</v>
      </c>
      <c r="G167" s="3">
        <v>139</v>
      </c>
      <c r="H167" s="3">
        <v>153</v>
      </c>
      <c r="I167" s="3">
        <v>197</v>
      </c>
    </row>
    <row r="168" spans="1:9" x14ac:dyDescent="0.3">
      <c r="A168" s="2" t="s">
        <v>102</v>
      </c>
      <c r="B168" s="3">
        <v>69</v>
      </c>
      <c r="C168" s="3">
        <v>44</v>
      </c>
      <c r="D168" s="3">
        <v>51</v>
      </c>
      <c r="E168" s="3">
        <v>76</v>
      </c>
      <c r="F168" s="3">
        <v>49</v>
      </c>
      <c r="G168" s="3">
        <v>28</v>
      </c>
      <c r="H168" s="3">
        <v>94</v>
      </c>
      <c r="I168" s="3">
        <v>78</v>
      </c>
    </row>
    <row r="169" spans="1:9" x14ac:dyDescent="0.3">
      <c r="A169" s="2" t="s">
        <v>118</v>
      </c>
      <c r="B169" s="3">
        <v>52</v>
      </c>
      <c r="C169" s="3">
        <v>64</v>
      </c>
      <c r="D169" s="3">
        <v>59</v>
      </c>
      <c r="E169" s="3">
        <v>49</v>
      </c>
      <c r="F169" s="3">
        <v>47</v>
      </c>
      <c r="G169" s="3">
        <v>41</v>
      </c>
      <c r="H169" s="3">
        <v>54</v>
      </c>
      <c r="I169" s="3">
        <v>56</v>
      </c>
    </row>
    <row r="170" spans="1:9" x14ac:dyDescent="0.3">
      <c r="A170" s="2" t="s">
        <v>107</v>
      </c>
      <c r="B170" s="3">
        <v>225</v>
      </c>
      <c r="C170" s="3">
        <v>258</v>
      </c>
      <c r="D170" s="3">
        <v>278</v>
      </c>
      <c r="E170" s="3">
        <v>286</v>
      </c>
      <c r="F170" s="3">
        <v>278</v>
      </c>
      <c r="G170" s="3">
        <v>438</v>
      </c>
      <c r="H170" s="3">
        <v>278</v>
      </c>
      <c r="I170" s="3">
        <v>222</v>
      </c>
    </row>
    <row r="171" spans="1:9" x14ac:dyDescent="0.3">
      <c r="A171" s="4" t="s">
        <v>119</v>
      </c>
      <c r="B171" s="5">
        <f t="shared" ref="B171:I171" si="32">+SUM(B166:B170)</f>
        <v>790</v>
      </c>
      <c r="C171" s="5">
        <f t="shared" si="32"/>
        <v>840</v>
      </c>
      <c r="D171" s="5">
        <f t="shared" si="32"/>
        <v>784</v>
      </c>
      <c r="E171" s="5">
        <f t="shared" si="32"/>
        <v>847</v>
      </c>
      <c r="F171" s="5">
        <f t="shared" si="32"/>
        <v>724</v>
      </c>
      <c r="G171" s="5">
        <f t="shared" si="32"/>
        <v>756</v>
      </c>
      <c r="H171" s="5">
        <f t="shared" si="32"/>
        <v>677</v>
      </c>
      <c r="I171" s="5">
        <f t="shared" si="32"/>
        <v>699</v>
      </c>
    </row>
    <row r="172" spans="1:9" x14ac:dyDescent="0.3">
      <c r="A172" s="2" t="s">
        <v>104</v>
      </c>
      <c r="B172" s="3">
        <v>69</v>
      </c>
      <c r="C172" s="3">
        <v>39</v>
      </c>
      <c r="D172" s="3">
        <v>30</v>
      </c>
      <c r="E172" s="3">
        <v>22</v>
      </c>
      <c r="F172" s="3">
        <v>18</v>
      </c>
      <c r="G172" s="3">
        <v>12</v>
      </c>
      <c r="H172" s="3">
        <v>7</v>
      </c>
      <c r="I172" s="3">
        <v>9</v>
      </c>
    </row>
    <row r="173" spans="1:9" x14ac:dyDescent="0.3">
      <c r="A173" s="2" t="s">
        <v>108</v>
      </c>
      <c r="B173" s="3">
        <v>144</v>
      </c>
      <c r="C173" s="3">
        <v>312</v>
      </c>
      <c r="D173" s="3">
        <v>387</v>
      </c>
      <c r="E173" s="3">
        <v>325</v>
      </c>
      <c r="F173" s="3">
        <v>333</v>
      </c>
      <c r="G173" s="3">
        <v>356</v>
      </c>
      <c r="H173" s="3">
        <f t="shared" ref="H173" si="33">-(SUM(H171:H172)+H82)</f>
        <v>11</v>
      </c>
      <c r="I173" s="3">
        <f>-(SUM(I171:I172)+I82)</f>
        <v>50</v>
      </c>
    </row>
    <row r="174" spans="1:9" ht="15" thickBot="1" x14ac:dyDescent="0.35">
      <c r="A174" s="6" t="s">
        <v>123</v>
      </c>
      <c r="B174" s="7">
        <f t="shared" ref="B174:H174" si="34">+SUM(B171:B173)</f>
        <v>1003</v>
      </c>
      <c r="C174" s="7">
        <f t="shared" si="34"/>
        <v>1191</v>
      </c>
      <c r="D174" s="7">
        <f t="shared" si="34"/>
        <v>1201</v>
      </c>
      <c r="E174" s="7">
        <f t="shared" si="34"/>
        <v>1194</v>
      </c>
      <c r="F174" s="7">
        <f t="shared" si="34"/>
        <v>1075</v>
      </c>
      <c r="G174" s="7">
        <f t="shared" si="34"/>
        <v>1124</v>
      </c>
      <c r="H174" s="7">
        <f t="shared" si="34"/>
        <v>695</v>
      </c>
      <c r="I174" s="7">
        <f>+SUM(I171:I173)</f>
        <v>758</v>
      </c>
    </row>
    <row r="175" spans="1:9" ht="15" thickTop="1" x14ac:dyDescent="0.3">
      <c r="A175" s="12" t="s">
        <v>111</v>
      </c>
      <c r="B175" s="13">
        <f t="shared" ref="B175:H175" si="35">+B174+B82</f>
        <v>40</v>
      </c>
      <c r="C175" s="13">
        <f t="shared" si="35"/>
        <v>48</v>
      </c>
      <c r="D175" s="13">
        <f t="shared" si="35"/>
        <v>96</v>
      </c>
      <c r="E175" s="13">
        <f t="shared" si="35"/>
        <v>166</v>
      </c>
      <c r="F175" s="13">
        <f t="shared" si="35"/>
        <v>-44</v>
      </c>
      <c r="G175" s="13">
        <f t="shared" si="35"/>
        <v>38</v>
      </c>
      <c r="H175" s="13">
        <f t="shared" si="35"/>
        <v>0</v>
      </c>
      <c r="I175" s="13">
        <f>+I174+I82</f>
        <v>0</v>
      </c>
    </row>
    <row r="176" spans="1:9" x14ac:dyDescent="0.3">
      <c r="A176" s="1" t="s">
        <v>124</v>
      </c>
    </row>
    <row r="177" spans="1:9" x14ac:dyDescent="0.3">
      <c r="A177" s="2" t="s">
        <v>100</v>
      </c>
      <c r="B177" s="3">
        <v>121</v>
      </c>
      <c r="C177" s="3">
        <v>133</v>
      </c>
      <c r="D177" s="3">
        <v>140</v>
      </c>
      <c r="E177" s="3">
        <v>160</v>
      </c>
      <c r="F177" s="3">
        <v>149</v>
      </c>
      <c r="G177" s="3">
        <v>148</v>
      </c>
      <c r="H177" s="3">
        <v>130</v>
      </c>
      <c r="I177" s="3">
        <v>124</v>
      </c>
    </row>
    <row r="178" spans="1:9" x14ac:dyDescent="0.3">
      <c r="A178" s="2" t="s">
        <v>101</v>
      </c>
      <c r="B178" s="3">
        <v>87</v>
      </c>
      <c r="C178" s="3">
        <v>85</v>
      </c>
      <c r="D178" s="3">
        <v>106</v>
      </c>
      <c r="E178" s="3">
        <v>116</v>
      </c>
      <c r="F178" s="3">
        <v>111</v>
      </c>
      <c r="G178" s="3">
        <v>132</v>
      </c>
      <c r="H178" s="3">
        <v>136</v>
      </c>
      <c r="I178" s="3">
        <v>134</v>
      </c>
    </row>
    <row r="179" spans="1:9" x14ac:dyDescent="0.3">
      <c r="A179" s="2" t="s">
        <v>102</v>
      </c>
      <c r="B179" s="3">
        <v>46</v>
      </c>
      <c r="C179" s="3">
        <v>48</v>
      </c>
      <c r="D179" s="3">
        <v>54</v>
      </c>
      <c r="E179" s="3">
        <v>56</v>
      </c>
      <c r="F179" s="3">
        <v>50</v>
      </c>
      <c r="G179" s="3">
        <v>44</v>
      </c>
      <c r="H179" s="3">
        <v>46</v>
      </c>
      <c r="I179" s="3">
        <v>41</v>
      </c>
    </row>
    <row r="180" spans="1:9" x14ac:dyDescent="0.3">
      <c r="A180" s="2" t="s">
        <v>106</v>
      </c>
      <c r="B180" s="3">
        <v>49</v>
      </c>
      <c r="C180" s="3">
        <v>42</v>
      </c>
      <c r="D180" s="3">
        <v>54</v>
      </c>
      <c r="E180" s="3">
        <v>55</v>
      </c>
      <c r="F180" s="3">
        <v>53</v>
      </c>
      <c r="G180" s="3">
        <v>46</v>
      </c>
      <c r="H180" s="3">
        <v>43</v>
      </c>
      <c r="I180" s="3">
        <v>42</v>
      </c>
    </row>
    <row r="181" spans="1:9" x14ac:dyDescent="0.3">
      <c r="A181" s="2" t="s">
        <v>107</v>
      </c>
      <c r="B181" s="3">
        <v>210</v>
      </c>
      <c r="C181" s="3">
        <v>230</v>
      </c>
      <c r="D181" s="3">
        <v>233</v>
      </c>
      <c r="E181" s="3">
        <v>217</v>
      </c>
      <c r="F181" s="3">
        <v>195</v>
      </c>
      <c r="G181" s="3">
        <v>214</v>
      </c>
      <c r="H181" s="3">
        <v>222</v>
      </c>
      <c r="I181" s="3">
        <v>220</v>
      </c>
    </row>
    <row r="182" spans="1:9" x14ac:dyDescent="0.3">
      <c r="A182" s="4" t="s">
        <v>119</v>
      </c>
      <c r="B182" s="5">
        <f t="shared" ref="B182:I182" si="36">+SUM(B177:B181)</f>
        <v>513</v>
      </c>
      <c r="C182" s="5">
        <f t="shared" si="36"/>
        <v>538</v>
      </c>
      <c r="D182" s="5">
        <f t="shared" si="36"/>
        <v>587</v>
      </c>
      <c r="E182" s="5">
        <f t="shared" si="36"/>
        <v>604</v>
      </c>
      <c r="F182" s="5">
        <f t="shared" si="36"/>
        <v>558</v>
      </c>
      <c r="G182" s="5">
        <f t="shared" si="36"/>
        <v>584</v>
      </c>
      <c r="H182" s="5">
        <f t="shared" si="36"/>
        <v>577</v>
      </c>
      <c r="I182" s="5">
        <f t="shared" si="36"/>
        <v>561</v>
      </c>
    </row>
    <row r="183" spans="1:9" x14ac:dyDescent="0.3">
      <c r="A183" s="2" t="s">
        <v>104</v>
      </c>
      <c r="B183" s="3">
        <v>18</v>
      </c>
      <c r="C183" s="3">
        <v>27</v>
      </c>
      <c r="D183" s="3">
        <v>28</v>
      </c>
      <c r="E183" s="3">
        <v>33</v>
      </c>
      <c r="F183" s="3">
        <v>31</v>
      </c>
      <c r="G183" s="3">
        <v>25</v>
      </c>
      <c r="H183" s="3">
        <v>26</v>
      </c>
      <c r="I183" s="3">
        <v>22</v>
      </c>
    </row>
    <row r="184" spans="1:9" x14ac:dyDescent="0.3">
      <c r="A184" s="2" t="s">
        <v>108</v>
      </c>
      <c r="B184" s="3">
        <v>75</v>
      </c>
      <c r="C184" s="3">
        <v>84</v>
      </c>
      <c r="D184" s="3">
        <v>91</v>
      </c>
      <c r="E184" s="3">
        <v>110</v>
      </c>
      <c r="F184" s="3">
        <v>116</v>
      </c>
      <c r="G184" s="3">
        <v>112</v>
      </c>
      <c r="H184" s="3">
        <v>141</v>
      </c>
      <c r="I184" s="3">
        <v>134</v>
      </c>
    </row>
    <row r="185" spans="1:9" ht="15" thickBot="1" x14ac:dyDescent="0.35">
      <c r="A185" s="6" t="s">
        <v>125</v>
      </c>
      <c r="B185" s="7">
        <f t="shared" ref="B185:H185" si="37">+SUM(B182:B184)</f>
        <v>606</v>
      </c>
      <c r="C185" s="7">
        <f t="shared" si="37"/>
        <v>649</v>
      </c>
      <c r="D185" s="7">
        <f t="shared" si="37"/>
        <v>706</v>
      </c>
      <c r="E185" s="7">
        <f t="shared" si="37"/>
        <v>747</v>
      </c>
      <c r="F185" s="7">
        <f t="shared" si="37"/>
        <v>705</v>
      </c>
      <c r="G185" s="7">
        <f t="shared" si="37"/>
        <v>721</v>
      </c>
      <c r="H185" s="7">
        <f t="shared" si="37"/>
        <v>744</v>
      </c>
      <c r="I185" s="7">
        <f>+SUM(I182:I184)</f>
        <v>717</v>
      </c>
    </row>
    <row r="186" spans="1:9" ht="15" thickTop="1" x14ac:dyDescent="0.3">
      <c r="A186" s="12" t="s">
        <v>111</v>
      </c>
      <c r="B186" s="13">
        <f t="shared" ref="B186:I186" si="38">+B185-B67</f>
        <v>0</v>
      </c>
      <c r="C186" s="13">
        <f t="shared" si="38"/>
        <v>0</v>
      </c>
      <c r="D186" s="13">
        <f t="shared" si="38"/>
        <v>0</v>
      </c>
      <c r="E186" s="13">
        <f t="shared" si="38"/>
        <v>0</v>
      </c>
      <c r="F186" s="13">
        <f t="shared" si="38"/>
        <v>0</v>
      </c>
      <c r="G186" s="13">
        <f t="shared" si="38"/>
        <v>0</v>
      </c>
      <c r="H186" s="13">
        <f t="shared" si="38"/>
        <v>0</v>
      </c>
      <c r="I186" s="13">
        <f t="shared" si="38"/>
        <v>0</v>
      </c>
    </row>
    <row r="187" spans="1:9" x14ac:dyDescent="0.3">
      <c r="A187" s="14" t="s">
        <v>126</v>
      </c>
      <c r="B187" s="14"/>
      <c r="C187" s="14"/>
      <c r="D187" s="14"/>
      <c r="E187" s="14"/>
      <c r="F187" s="14"/>
      <c r="G187" s="14"/>
      <c r="H187" s="14"/>
      <c r="I187" s="14"/>
    </row>
    <row r="188" spans="1:9" x14ac:dyDescent="0.3">
      <c r="A188" s="28" t="s">
        <v>127</v>
      </c>
    </row>
    <row r="189" spans="1:9" x14ac:dyDescent="0.3">
      <c r="A189" s="48" t="s">
        <v>100</v>
      </c>
      <c r="B189" s="49">
        <v>0.12</v>
      </c>
      <c r="C189" s="49">
        <f t="shared" ref="C189:G192" si="39">C115/B115-1</f>
        <v>7.4526928675400228E-2</v>
      </c>
      <c r="D189" s="49">
        <f t="shared" si="39"/>
        <v>3.0615009482525046E-2</v>
      </c>
      <c r="E189" s="49">
        <f t="shared" si="39"/>
        <v>-2.372502628811779E-2</v>
      </c>
      <c r="F189" s="49">
        <f t="shared" si="39"/>
        <v>7.0481319421070276E-2</v>
      </c>
      <c r="G189" s="49">
        <f t="shared" si="39"/>
        <v>-8.9171173437303519E-2</v>
      </c>
      <c r="H189" s="49">
        <f>H115/G115-1</f>
        <v>0.18606738470035911</v>
      </c>
      <c r="I189" s="50">
        <v>7.0000000000000007E-2</v>
      </c>
    </row>
    <row r="190" spans="1:9" x14ac:dyDescent="0.3">
      <c r="A190" s="31" t="s">
        <v>113</v>
      </c>
      <c r="B190" s="51"/>
      <c r="C190" s="51"/>
      <c r="D190" s="51"/>
      <c r="E190" s="51"/>
      <c r="F190" s="51"/>
      <c r="G190" s="51">
        <f>G116/F116-1</f>
        <v>-7.1279243404678949E-2</v>
      </c>
      <c r="H190" s="51">
        <f t="shared" ref="H190:H213" si="40">H116/G116-1</f>
        <v>0.24815092721620746</v>
      </c>
      <c r="I190" s="30">
        <v>0.05</v>
      </c>
    </row>
    <row r="191" spans="1:9" x14ac:dyDescent="0.3">
      <c r="A191" s="31" t="s">
        <v>114</v>
      </c>
      <c r="B191" s="51"/>
      <c r="C191" s="51"/>
      <c r="D191" s="51"/>
      <c r="E191" s="51"/>
      <c r="F191" s="51"/>
      <c r="G191" s="51">
        <f t="shared" si="39"/>
        <v>-0.11806083650190113</v>
      </c>
      <c r="H191" s="51">
        <f t="shared" si="40"/>
        <v>8.3854278939426541E-2</v>
      </c>
      <c r="I191" s="30">
        <v>0.09</v>
      </c>
    </row>
    <row r="192" spans="1:9" x14ac:dyDescent="0.3">
      <c r="A192" s="31" t="s">
        <v>115</v>
      </c>
      <c r="B192" s="51"/>
      <c r="C192" s="51"/>
      <c r="D192" s="51"/>
      <c r="E192" s="51"/>
      <c r="F192" s="51"/>
      <c r="G192" s="51">
        <f t="shared" si="39"/>
        <v>-0.13567839195979903</v>
      </c>
      <c r="H192" s="51">
        <f>H118/G118-1</f>
        <v>-1.744186046511631E-2</v>
      </c>
      <c r="I192" s="30">
        <v>0.25</v>
      </c>
    </row>
    <row r="193" spans="1:9" x14ac:dyDescent="0.3">
      <c r="A193" s="48" t="s">
        <v>101</v>
      </c>
      <c r="B193" s="49">
        <v>0.09</v>
      </c>
      <c r="C193" s="49">
        <f t="shared" ref="C193:G207" si="41">C119/B119-1</f>
        <v>2.6522593320235766E-2</v>
      </c>
      <c r="D193" s="49">
        <f t="shared" si="41"/>
        <v>5.2358168147641937E-2</v>
      </c>
      <c r="E193" s="49">
        <f t="shared" si="41"/>
        <v>0.20057157703299566</v>
      </c>
      <c r="F193" s="49">
        <f t="shared" si="41"/>
        <v>6.1674962129409261E-2</v>
      </c>
      <c r="G193" s="49">
        <f t="shared" si="41"/>
        <v>-4.7390949857317621E-2</v>
      </c>
      <c r="H193" s="49">
        <f>H119/G119-1</f>
        <v>0.22563389322777372</v>
      </c>
      <c r="I193" s="50">
        <v>0.12</v>
      </c>
    </row>
    <row r="194" spans="1:9" x14ac:dyDescent="0.3">
      <c r="A194" s="31" t="s">
        <v>113</v>
      </c>
      <c r="B194" s="51"/>
      <c r="C194" s="51"/>
      <c r="D194" s="51"/>
      <c r="E194" s="51"/>
      <c r="F194" s="51"/>
      <c r="G194" s="51">
        <f t="shared" si="41"/>
        <v>-6.3721595423486432E-2</v>
      </c>
      <c r="H194" s="51">
        <f t="shared" si="40"/>
        <v>0.18295994568907004</v>
      </c>
      <c r="I194" s="30">
        <v>0.09</v>
      </c>
    </row>
    <row r="195" spans="1:9" x14ac:dyDescent="0.3">
      <c r="A195" s="31" t="s">
        <v>114</v>
      </c>
      <c r="B195" s="51"/>
      <c r="C195" s="51"/>
      <c r="D195" s="51"/>
      <c r="E195" s="51"/>
      <c r="F195" s="51"/>
      <c r="G195" s="51">
        <f t="shared" si="41"/>
        <v>-1.1013929381276322E-2</v>
      </c>
      <c r="H195" s="51">
        <f t="shared" si="40"/>
        <v>0.30887651490337364</v>
      </c>
      <c r="I195" s="30">
        <v>0.16</v>
      </c>
    </row>
    <row r="196" spans="1:9" x14ac:dyDescent="0.3">
      <c r="A196" s="31" t="s">
        <v>115</v>
      </c>
      <c r="B196" s="51"/>
      <c r="C196" s="51"/>
      <c r="D196" s="51"/>
      <c r="E196" s="51"/>
      <c r="F196" s="51"/>
      <c r="G196" s="51">
        <f t="shared" si="41"/>
        <v>-6.944444444444442E-2</v>
      </c>
      <c r="H196" s="51">
        <f t="shared" si="40"/>
        <v>0.21890547263681581</v>
      </c>
      <c r="I196" s="30">
        <v>0.17</v>
      </c>
    </row>
    <row r="197" spans="1:9" x14ac:dyDescent="0.3">
      <c r="A197" s="48" t="s">
        <v>102</v>
      </c>
      <c r="B197" s="49">
        <v>0.18</v>
      </c>
      <c r="C197" s="49">
        <f t="shared" ref="C197:F197" si="42">C123/B123-1</f>
        <v>0.23410498858819695</v>
      </c>
      <c r="D197" s="49">
        <f t="shared" si="42"/>
        <v>0.11941875825627468</v>
      </c>
      <c r="E197" s="49">
        <f t="shared" si="42"/>
        <v>0.21170639603493036</v>
      </c>
      <c r="F197" s="49">
        <f t="shared" si="42"/>
        <v>0.20919361121932223</v>
      </c>
      <c r="G197" s="49">
        <f t="shared" si="41"/>
        <v>7.5869845360824639E-2</v>
      </c>
      <c r="H197" s="49">
        <f t="shared" si="40"/>
        <v>0.24120377301991325</v>
      </c>
      <c r="I197" s="50">
        <v>-0.13</v>
      </c>
    </row>
    <row r="198" spans="1:9" x14ac:dyDescent="0.3">
      <c r="A198" s="31" t="s">
        <v>113</v>
      </c>
      <c r="B198" s="51"/>
      <c r="C198" s="51"/>
      <c r="D198" s="51"/>
      <c r="E198" s="51"/>
      <c r="F198" s="51"/>
      <c r="G198" s="51">
        <f t="shared" si="41"/>
        <v>8.7517597372125833E-2</v>
      </c>
      <c r="H198" s="51">
        <f t="shared" si="40"/>
        <v>0.24012944983818763</v>
      </c>
      <c r="I198" s="30">
        <v>-0.1</v>
      </c>
    </row>
    <row r="199" spans="1:9" x14ac:dyDescent="0.3">
      <c r="A199" s="31" t="s">
        <v>114</v>
      </c>
      <c r="B199" s="51"/>
      <c r="C199" s="51"/>
      <c r="D199" s="51"/>
      <c r="E199" s="51"/>
      <c r="F199" s="51"/>
      <c r="G199" s="51">
        <f t="shared" si="41"/>
        <v>4.8672566371681381E-2</v>
      </c>
      <c r="H199" s="51">
        <f t="shared" si="40"/>
        <v>0.2378691983122363</v>
      </c>
      <c r="I199" s="30">
        <v>-0.21</v>
      </c>
    </row>
    <row r="200" spans="1:9" x14ac:dyDescent="0.3">
      <c r="A200" s="31" t="s">
        <v>115</v>
      </c>
      <c r="B200" s="51"/>
      <c r="C200" s="51"/>
      <c r="D200" s="51"/>
      <c r="E200" s="51"/>
      <c r="F200" s="51"/>
      <c r="G200" s="51">
        <f t="shared" si="41"/>
        <v>7.2463768115942129E-2</v>
      </c>
      <c r="H200" s="51">
        <f t="shared" si="40"/>
        <v>0.31756756756756754</v>
      </c>
      <c r="I200" s="30">
        <v>-0.06</v>
      </c>
    </row>
    <row r="201" spans="1:9" x14ac:dyDescent="0.3">
      <c r="A201" s="48" t="s">
        <v>106</v>
      </c>
      <c r="B201" s="52">
        <v>-1.5E-3</v>
      </c>
      <c r="C201" s="49">
        <f t="shared" ref="C201:F201" si="43">C127/B127-1</f>
        <v>-1.783795400816679E-2</v>
      </c>
      <c r="D201" s="49">
        <f t="shared" si="43"/>
        <v>9.6061269146608286E-2</v>
      </c>
      <c r="E201" s="49">
        <f t="shared" si="43"/>
        <v>3.1343581553204158E-2</v>
      </c>
      <c r="F201" s="49">
        <f t="shared" si="43"/>
        <v>1.7034456058846237E-2</v>
      </c>
      <c r="G201" s="49">
        <f t="shared" si="41"/>
        <v>-4.3014845831747195E-2</v>
      </c>
      <c r="H201" s="49">
        <f t="shared" si="40"/>
        <v>6.2649164677804237E-2</v>
      </c>
      <c r="I201" s="50">
        <v>0.16</v>
      </c>
    </row>
    <row r="202" spans="1:9" x14ac:dyDescent="0.3">
      <c r="A202" s="31" t="s">
        <v>113</v>
      </c>
      <c r="B202" s="51"/>
      <c r="C202" s="51"/>
      <c r="D202" s="51"/>
      <c r="E202" s="51"/>
      <c r="F202" s="51"/>
      <c r="G202" s="51">
        <f t="shared" si="41"/>
        <v>-4.7763666482606326E-2</v>
      </c>
      <c r="H202" s="51">
        <f t="shared" si="40"/>
        <v>6.0887213685126174E-2</v>
      </c>
      <c r="I202" s="30">
        <v>0.17</v>
      </c>
    </row>
    <row r="203" spans="1:9" x14ac:dyDescent="0.3">
      <c r="A203" s="31" t="s">
        <v>114</v>
      </c>
      <c r="B203" s="51"/>
      <c r="C203" s="51"/>
      <c r="D203" s="51"/>
      <c r="E203" s="51"/>
      <c r="F203" s="51"/>
      <c r="G203" s="51">
        <f t="shared" si="41"/>
        <v>-2.1505376344086002E-2</v>
      </c>
      <c r="H203" s="51">
        <f t="shared" si="40"/>
        <v>9.4505494505494614E-2</v>
      </c>
      <c r="I203" s="30">
        <v>0.12</v>
      </c>
    </row>
    <row r="204" spans="1:9" x14ac:dyDescent="0.3">
      <c r="A204" s="31" t="s">
        <v>115</v>
      </c>
      <c r="B204" s="51"/>
      <c r="C204" s="51"/>
      <c r="D204" s="51"/>
      <c r="E204" s="51"/>
      <c r="F204" s="51"/>
      <c r="G204" s="51">
        <f t="shared" si="41"/>
        <v>-9.7046413502109741E-2</v>
      </c>
      <c r="H204" s="51">
        <f t="shared" si="40"/>
        <v>-0.11214953271028039</v>
      </c>
      <c r="I204" s="30">
        <v>0.28000000000000003</v>
      </c>
    </row>
    <row r="205" spans="1:9" x14ac:dyDescent="0.3">
      <c r="A205" s="33" t="s">
        <v>107</v>
      </c>
      <c r="B205" s="49">
        <v>-0.08</v>
      </c>
      <c r="C205" s="49">
        <f t="shared" ref="C205:D207" si="44">C131/B131-1</f>
        <v>-0.36521739130434783</v>
      </c>
      <c r="D205" s="49">
        <f>D131/C131-1</f>
        <v>0</v>
      </c>
      <c r="E205" s="49">
        <f t="shared" ref="E205:F207" si="45">E131/D131-1</f>
        <v>0.20547945205479445</v>
      </c>
      <c r="F205" s="49">
        <f t="shared" si="45"/>
        <v>-0.52272727272727271</v>
      </c>
      <c r="G205" s="49">
        <f t="shared" si="41"/>
        <v>-0.2857142857142857</v>
      </c>
      <c r="H205" s="49">
        <f t="shared" si="40"/>
        <v>-0.16666666666666663</v>
      </c>
      <c r="I205" s="34">
        <v>3.02</v>
      </c>
    </row>
    <row r="206" spans="1:9" x14ac:dyDescent="0.3">
      <c r="A206" s="35" t="s">
        <v>103</v>
      </c>
      <c r="B206" s="51">
        <v>0.1</v>
      </c>
      <c r="C206" s="51">
        <f t="shared" si="44"/>
        <v>6.2924636772237807E-2</v>
      </c>
      <c r="D206" s="51">
        <f t="shared" si="44"/>
        <v>5.6577179008096445E-2</v>
      </c>
      <c r="E206" s="51">
        <f t="shared" si="45"/>
        <v>6.9866286104303121E-2</v>
      </c>
      <c r="F206" s="51">
        <f t="shared" si="45"/>
        <v>7.9251848629839028E-2</v>
      </c>
      <c r="G206" s="51">
        <f t="shared" si="41"/>
        <v>-4.4333387070772168E-2</v>
      </c>
      <c r="H206" s="51">
        <f t="shared" si="40"/>
        <v>0.18907444894286995</v>
      </c>
      <c r="I206" s="37">
        <v>0.06</v>
      </c>
    </row>
    <row r="207" spans="1:9" x14ac:dyDescent="0.3">
      <c r="A207" s="33" t="s">
        <v>104</v>
      </c>
      <c r="B207" s="51">
        <v>0.18</v>
      </c>
      <c r="C207" s="51">
        <f t="shared" si="44"/>
        <v>-1.3622603430877955E-2</v>
      </c>
      <c r="D207" s="51">
        <f t="shared" si="44"/>
        <v>4.4501278772378416E-2</v>
      </c>
      <c r="E207" s="51">
        <f t="shared" si="45"/>
        <v>-6.3663075416258597E-2</v>
      </c>
      <c r="F207" s="51">
        <f t="shared" si="45"/>
        <v>-3.1380753138074979E-3</v>
      </c>
      <c r="G207" s="51">
        <f t="shared" si="41"/>
        <v>-3.147953830010497E-2</v>
      </c>
      <c r="H207" s="51">
        <f t="shared" si="40"/>
        <v>0.19447453954496208</v>
      </c>
      <c r="I207" s="34">
        <v>7.0000000000000007E-2</v>
      </c>
    </row>
    <row r="208" spans="1:9" x14ac:dyDescent="0.3">
      <c r="A208" s="31" t="s">
        <v>113</v>
      </c>
      <c r="B208" s="51"/>
      <c r="C208" s="51"/>
      <c r="D208" s="51"/>
      <c r="E208" s="51"/>
      <c r="F208" s="51"/>
      <c r="G208" s="51">
        <f>G134/F134-1</f>
        <v>-1.0066344993968637</v>
      </c>
      <c r="H208" s="51">
        <f t="shared" si="40"/>
        <v>-181.54545454545453</v>
      </c>
      <c r="I208" s="30">
        <v>0.06</v>
      </c>
    </row>
    <row r="209" spans="1:9" x14ac:dyDescent="0.3">
      <c r="A209" s="31" t="s">
        <v>114</v>
      </c>
      <c r="B209" s="51"/>
      <c r="C209" s="51"/>
      <c r="D209" s="51"/>
      <c r="E209" s="51"/>
      <c r="F209" s="51"/>
      <c r="G209" s="51">
        <f t="shared" ref="G209:G213" si="46">G135/F135-1</f>
        <v>-1</v>
      </c>
      <c r="H209" s="51"/>
      <c r="I209" s="30">
        <v>-0.03</v>
      </c>
    </row>
    <row r="210" spans="1:9" x14ac:dyDescent="0.3">
      <c r="A210" s="31" t="s">
        <v>115</v>
      </c>
      <c r="B210" s="51"/>
      <c r="C210" s="51"/>
      <c r="D210" s="51"/>
      <c r="E210" s="51"/>
      <c r="F210" s="51"/>
      <c r="G210" s="51">
        <f t="shared" si="46"/>
        <v>-1</v>
      </c>
      <c r="H210" s="51"/>
      <c r="I210" s="30">
        <v>-0.16</v>
      </c>
    </row>
    <row r="211" spans="1:9" x14ac:dyDescent="0.3">
      <c r="A211" s="31" t="s">
        <v>121</v>
      </c>
      <c r="B211" s="51"/>
      <c r="C211" s="51"/>
      <c r="D211" s="51"/>
      <c r="E211" s="51"/>
      <c r="F211" s="51"/>
      <c r="G211" s="51">
        <f t="shared" si="46"/>
        <v>-1</v>
      </c>
      <c r="H211" s="51"/>
      <c r="I211" s="30">
        <v>0.42</v>
      </c>
    </row>
    <row r="212" spans="1:9" x14ac:dyDescent="0.3">
      <c r="A212" s="29" t="s">
        <v>108</v>
      </c>
      <c r="B212" s="51"/>
      <c r="C212" s="51">
        <f t="shared" ref="C212:E213" si="47">C138/B138-1</f>
        <v>4.8780487804878092E-2</v>
      </c>
      <c r="D212" s="51">
        <f t="shared" si="47"/>
        <v>-1.8720930232558139</v>
      </c>
      <c r="E212" s="51">
        <f t="shared" si="47"/>
        <v>-1</v>
      </c>
      <c r="F212" s="51">
        <f>G139/F139-1</f>
        <v>-4.3817266150267153E-2</v>
      </c>
      <c r="G212" s="51">
        <f t="shared" si="46"/>
        <v>-1</v>
      </c>
      <c r="H212" s="51"/>
      <c r="I212" s="30">
        <v>0</v>
      </c>
    </row>
    <row r="213" spans="1:9" ht="15" thickBot="1" x14ac:dyDescent="0.35">
      <c r="A213" s="32" t="s">
        <v>105</v>
      </c>
      <c r="B213" s="36">
        <v>0.1</v>
      </c>
      <c r="C213" s="49">
        <f>C139/B139-1</f>
        <v>5.8004640371229765E-2</v>
      </c>
      <c r="D213" s="49">
        <f t="shared" si="47"/>
        <v>6.0971089696071123E-2</v>
      </c>
      <c r="E213" s="49">
        <f t="shared" si="47"/>
        <v>5.95924308588065E-2</v>
      </c>
      <c r="F213" s="49">
        <f>F139/E139-1</f>
        <v>7.4731433909388079E-2</v>
      </c>
      <c r="G213" s="49">
        <f t="shared" si="46"/>
        <v>-4.3817266150267153E-2</v>
      </c>
      <c r="H213" s="49">
        <f t="shared" si="40"/>
        <v>0.19076009945726269</v>
      </c>
      <c r="I213" s="36">
        <v>0.06</v>
      </c>
    </row>
    <row r="214" spans="1:9" ht="15" thickTop="1" x14ac:dyDescent="0.3"/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CFA9-1BA6-4CC7-9389-5A320C0C0D72}">
  <dimension ref="A1:N190"/>
  <sheetViews>
    <sheetView tabSelected="1" workbookViewId="0">
      <selection activeCell="M11" sqref="M11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53">
        <f>+I1+1</f>
        <v>2023</v>
      </c>
      <c r="K1" s="53">
        <f t="shared" ref="K1:N1" si="1">+J1+1</f>
        <v>2024</v>
      </c>
      <c r="L1" s="53">
        <f t="shared" si="1"/>
        <v>2025</v>
      </c>
      <c r="M1" s="53">
        <f t="shared" si="1"/>
        <v>2026</v>
      </c>
      <c r="N1" s="53">
        <f t="shared" si="1"/>
        <v>2027</v>
      </c>
    </row>
    <row r="2" spans="1:14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" thickBot="1" x14ac:dyDescent="0.35">
      <c r="A3" s="40" t="s">
        <v>139</v>
      </c>
      <c r="B3" s="7">
        <v>30601</v>
      </c>
      <c r="C3" s="7">
        <v>32376</v>
      </c>
      <c r="D3" s="7">
        <v>34350</v>
      </c>
      <c r="E3" s="7">
        <v>36397</v>
      </c>
      <c r="F3" s="7">
        <v>39117</v>
      </c>
      <c r="G3" s="7">
        <v>37403</v>
      </c>
      <c r="H3" s="7">
        <v>44538</v>
      </c>
      <c r="I3" s="7">
        <v>46710</v>
      </c>
      <c r="J3" s="54">
        <f t="shared" ref="J3:L3" si="2">J18+J45+J72+J99+J126+J147</f>
        <v>50704.500599999992</v>
      </c>
      <c r="K3" s="54">
        <f t="shared" si="2"/>
        <v>54981.754454679998</v>
      </c>
      <c r="L3" s="54">
        <f t="shared" si="2"/>
        <v>59707.020591682107</v>
      </c>
      <c r="M3" s="54">
        <f>M18+M45+M72+M99+M126+M147</f>
        <v>64934.971697428249</v>
      </c>
      <c r="N3" s="54">
        <f>N18+N45+N72+N99+N126+N147</f>
        <v>70727.592759607956</v>
      </c>
    </row>
    <row r="4" spans="1:14" ht="15" thickTop="1" x14ac:dyDescent="0.3">
      <c r="A4" s="41" t="s">
        <v>129</v>
      </c>
      <c r="B4" s="55"/>
      <c r="C4" s="55">
        <f>C3/B3-1</f>
        <v>5.8004640371229765E-2</v>
      </c>
      <c r="D4" s="55">
        <f t="shared" ref="D4:N4" si="3">D3/C3-1</f>
        <v>6.0971089696071123E-2</v>
      </c>
      <c r="E4" s="55">
        <f t="shared" si="3"/>
        <v>5.95924308588065E-2</v>
      </c>
      <c r="F4" s="55">
        <f t="shared" si="3"/>
        <v>7.4731433909388079E-2</v>
      </c>
      <c r="G4" s="55">
        <f t="shared" si="3"/>
        <v>-4.3817266150267153E-2</v>
      </c>
      <c r="H4" s="55">
        <f t="shared" si="3"/>
        <v>0.19076009945726269</v>
      </c>
      <c r="I4" s="55">
        <f t="shared" si="3"/>
        <v>4.8767344739323759E-2</v>
      </c>
      <c r="J4" s="55">
        <f t="shared" si="3"/>
        <v>8.5517032755298539E-2</v>
      </c>
      <c r="K4" s="55">
        <f t="shared" si="3"/>
        <v>8.4356493093632912E-2</v>
      </c>
      <c r="L4" s="55">
        <f t="shared" si="3"/>
        <v>8.5942440067041215E-2</v>
      </c>
      <c r="M4" s="55">
        <f t="shared" si="3"/>
        <v>8.7560073404072236E-2</v>
      </c>
      <c r="N4" s="55">
        <f t="shared" si="3"/>
        <v>8.9206492445566443E-2</v>
      </c>
    </row>
    <row r="5" spans="1:14" ht="15" thickBot="1" x14ac:dyDescent="0.35">
      <c r="A5" s="40" t="s">
        <v>130</v>
      </c>
      <c r="B5" s="56">
        <f>B11+B8</f>
        <v>4839</v>
      </c>
      <c r="C5" s="56">
        <f>C11+C8</f>
        <v>5291</v>
      </c>
      <c r="D5" s="56">
        <f>D11+D8</f>
        <v>5651</v>
      </c>
      <c r="E5" s="56">
        <f>E11+E8</f>
        <v>5126</v>
      </c>
      <c r="F5" s="56">
        <f>F32+F59+F86+F113+F129+F176</f>
        <v>5555</v>
      </c>
      <c r="G5" s="56">
        <f t="shared" ref="G5" si="4">G32+G59+G86+G113+G129+G176</f>
        <v>3697</v>
      </c>
      <c r="H5" s="56">
        <f>H32+H59+H86+H113+H129+H176</f>
        <v>5909</v>
      </c>
      <c r="I5" s="56">
        <f>I32+I59+I86+I113+I129+I176</f>
        <v>4979</v>
      </c>
      <c r="J5" s="56">
        <v>6977</v>
      </c>
      <c r="K5" s="56">
        <f t="shared" ref="K5:N5" si="5">K32+K59+K86+K113+K129+K176</f>
        <v>7513.1465560000015</v>
      </c>
      <c r="L5" s="56">
        <f>L32+L59+L86+L113+L129+L176</f>
        <v>8169.3156403369994</v>
      </c>
      <c r="M5" s="56">
        <f>M32+M59+M86+M113+M129+M176</f>
        <v>8853.0796161796352</v>
      </c>
      <c r="N5" s="56">
        <f>N32+N59+N86+N113+N129+N176</f>
        <v>9577.936671219697</v>
      </c>
    </row>
    <row r="6" spans="1:14" ht="15" thickTop="1" x14ac:dyDescent="0.3">
      <c r="A6" s="41" t="s">
        <v>129</v>
      </c>
      <c r="C6" s="55">
        <f t="shared" ref="C6:H6" si="6">C5/B5-1</f>
        <v>9.3407728869601137E-2</v>
      </c>
      <c r="D6" s="55">
        <f t="shared" si="6"/>
        <v>6.8040068040068125E-2</v>
      </c>
      <c r="E6" s="55">
        <f t="shared" si="6"/>
        <v>-9.2903910812245583E-2</v>
      </c>
      <c r="F6" s="55">
        <f t="shared" si="6"/>
        <v>8.3690987124463545E-2</v>
      </c>
      <c r="G6" s="55">
        <f t="shared" si="6"/>
        <v>-0.3344734473447345</v>
      </c>
      <c r="H6" s="55">
        <f t="shared" si="6"/>
        <v>0.59832296456586431</v>
      </c>
      <c r="I6" s="55">
        <f>I5/H5-1</f>
        <v>-0.15738703672364185</v>
      </c>
      <c r="J6" s="55">
        <f>J5/I5-1</f>
        <v>0.40128539867443269</v>
      </c>
      <c r="K6" s="55">
        <f t="shared" ref="K6:N6" si="7">K5/J5-1</f>
        <v>7.6844855381969612E-2</v>
      </c>
      <c r="L6" s="55">
        <f t="shared" si="7"/>
        <v>8.7336122015746032E-2</v>
      </c>
      <c r="M6" s="55">
        <f t="shared" si="7"/>
        <v>8.3699052153948683E-2</v>
      </c>
      <c r="N6" s="55">
        <f t="shared" si="7"/>
        <v>8.1876260743813267E-2</v>
      </c>
    </row>
    <row r="7" spans="1:14" x14ac:dyDescent="0.3">
      <c r="A7" s="41" t="s">
        <v>131</v>
      </c>
      <c r="B7" s="55">
        <f>B5/B3</f>
        <v>0.15813208718669325</v>
      </c>
      <c r="C7" s="55">
        <f t="shared" ref="C7:N7" si="8">C5/C3</f>
        <v>0.16342352359772672</v>
      </c>
      <c r="D7" s="55">
        <f t="shared" si="8"/>
        <v>0.16451237263464338</v>
      </c>
      <c r="E7" s="55">
        <f t="shared" si="8"/>
        <v>0.14083578316894249</v>
      </c>
      <c r="F7" s="55">
        <f t="shared" si="8"/>
        <v>0.14200986783240024</v>
      </c>
      <c r="G7" s="55">
        <f t="shared" si="8"/>
        <v>9.8842338849824879E-2</v>
      </c>
      <c r="H7" s="55">
        <f t="shared" si="8"/>
        <v>0.13267322286586736</v>
      </c>
      <c r="I7" s="55">
        <f t="shared" si="8"/>
        <v>0.10659387711410832</v>
      </c>
      <c r="J7" s="55">
        <f>J5/J3</f>
        <v>0.13760119747634397</v>
      </c>
      <c r="K7" s="55">
        <f t="shared" si="8"/>
        <v>0.13664799587639367</v>
      </c>
      <c r="L7" s="55">
        <f t="shared" si="8"/>
        <v>0.13682336782812241</v>
      </c>
      <c r="M7" s="55">
        <f t="shared" si="8"/>
        <v>0.13633762185085024</v>
      </c>
      <c r="N7" s="55">
        <f t="shared" si="8"/>
        <v>0.13542008567679673</v>
      </c>
    </row>
    <row r="8" spans="1:14" ht="15" thickBot="1" x14ac:dyDescent="0.35">
      <c r="A8" s="40" t="s">
        <v>132</v>
      </c>
      <c r="B8" s="7">
        <v>606</v>
      </c>
      <c r="C8" s="7">
        <v>649</v>
      </c>
      <c r="D8" s="7">
        <v>706</v>
      </c>
      <c r="E8" s="7">
        <v>747</v>
      </c>
      <c r="F8" s="7">
        <f>F35+F62+F89+F116+F134+F180</f>
        <v>705</v>
      </c>
      <c r="G8" s="7">
        <v>721</v>
      </c>
      <c r="H8" s="7">
        <v>744</v>
      </c>
      <c r="I8" s="7">
        <v>717</v>
      </c>
      <c r="J8" s="57">
        <f>I8*1.03</f>
        <v>738.51</v>
      </c>
      <c r="K8" s="57">
        <f>J8*1.03</f>
        <v>760.6653</v>
      </c>
      <c r="L8" s="57">
        <f t="shared" ref="L8:N8" si="9">K8*1.03</f>
        <v>783.48525900000004</v>
      </c>
      <c r="M8" s="57">
        <f t="shared" si="9"/>
        <v>806.98981677000006</v>
      </c>
      <c r="N8" s="57">
        <f>M8*1.03</f>
        <v>831.19951127310003</v>
      </c>
    </row>
    <row r="9" spans="1:14" ht="15" thickTop="1" x14ac:dyDescent="0.3">
      <c r="A9" s="41" t="s">
        <v>129</v>
      </c>
      <c r="C9" s="55">
        <f>C8/B8-1</f>
        <v>7.0957095709570872E-2</v>
      </c>
      <c r="D9" s="55">
        <f t="shared" ref="D9:N9" si="10">D8/C8-1</f>
        <v>8.7827426810477727E-2</v>
      </c>
      <c r="E9" s="55">
        <f t="shared" si="10"/>
        <v>5.8073654390934815E-2</v>
      </c>
      <c r="F9" s="55">
        <f t="shared" si="10"/>
        <v>-5.6224899598393607E-2</v>
      </c>
      <c r="G9" s="55">
        <f t="shared" si="10"/>
        <v>2.2695035460992941E-2</v>
      </c>
      <c r="H9" s="55">
        <f t="shared" si="10"/>
        <v>3.1900138696255187E-2</v>
      </c>
      <c r="I9" s="55">
        <f t="shared" si="10"/>
        <v>-3.6290322580645129E-2</v>
      </c>
      <c r="J9" s="55">
        <f t="shared" si="10"/>
        <v>3.0000000000000027E-2</v>
      </c>
      <c r="K9" s="55">
        <f t="shared" si="10"/>
        <v>3.0000000000000027E-2</v>
      </c>
      <c r="L9" s="55">
        <f t="shared" si="10"/>
        <v>3.0000000000000027E-2</v>
      </c>
      <c r="M9" s="55">
        <f t="shared" si="10"/>
        <v>3.0000000000000027E-2</v>
      </c>
      <c r="N9" s="55">
        <f t="shared" si="10"/>
        <v>3.0000000000000027E-2</v>
      </c>
    </row>
    <row r="10" spans="1:14" x14ac:dyDescent="0.3">
      <c r="A10" s="41" t="s">
        <v>133</v>
      </c>
      <c r="B10" s="58">
        <f>B8/B3</f>
        <v>1.9803274402797295E-2</v>
      </c>
      <c r="C10" s="58">
        <f>C8/C3</f>
        <v>2.0045712873733631E-2</v>
      </c>
      <c r="D10" s="58">
        <f>D8/D3</f>
        <v>2.0553129548762736E-2</v>
      </c>
      <c r="E10" s="58">
        <f>E8/E3</f>
        <v>2.0523669533203285E-2</v>
      </c>
      <c r="F10" s="58">
        <f>F8/F3</f>
        <v>1.8022854513382928E-2</v>
      </c>
      <c r="G10" s="58">
        <f t="shared" ref="G10:N10" si="11">G8/G3</f>
        <v>1.9276528620698875E-2</v>
      </c>
      <c r="H10" s="58">
        <f t="shared" si="11"/>
        <v>1.6704836319547355E-2</v>
      </c>
      <c r="I10" s="58">
        <f t="shared" si="11"/>
        <v>1.5350032113037893E-2</v>
      </c>
      <c r="J10" s="58">
        <f>J8/J3</f>
        <v>1.4564979267343382E-2</v>
      </c>
      <c r="K10" s="58">
        <f>K8/K3</f>
        <v>1.3834867721927576E-2</v>
      </c>
      <c r="L10" s="58">
        <f t="shared" si="11"/>
        <v>1.3122163042735191E-2</v>
      </c>
      <c r="M10" s="59">
        <f t="shared" si="11"/>
        <v>1.2427661022634448E-2</v>
      </c>
      <c r="N10" s="59">
        <f t="shared" si="11"/>
        <v>1.1752125003012861E-2</v>
      </c>
    </row>
    <row r="11" spans="1:14" ht="15" thickBot="1" x14ac:dyDescent="0.35">
      <c r="A11" s="40" t="s">
        <v>134</v>
      </c>
      <c r="B11" s="7">
        <v>4233</v>
      </c>
      <c r="C11" s="7">
        <v>4642</v>
      </c>
      <c r="D11" s="7">
        <v>4945</v>
      </c>
      <c r="E11" s="7">
        <v>4379</v>
      </c>
      <c r="F11" s="7">
        <f>F38+F65+F92+F119+F138+F184</f>
        <v>4850</v>
      </c>
      <c r="G11" s="7">
        <v>2976</v>
      </c>
      <c r="H11" s="7">
        <f>H38+H65+H92+H119+H138+H184</f>
        <v>5165</v>
      </c>
      <c r="I11" s="7">
        <f>I38+I65+I92+I119+I138+I184</f>
        <v>4262</v>
      </c>
      <c r="J11" s="7">
        <f>J38+J65+J92+J119+J138+J184</f>
        <v>6238.012333333334</v>
      </c>
      <c r="K11" s="7">
        <f t="shared" ref="K11:N11" si="12">K5-K8</f>
        <v>6752.4812560000018</v>
      </c>
      <c r="L11" s="7">
        <f t="shared" si="12"/>
        <v>7385.8303813369994</v>
      </c>
      <c r="M11" s="7">
        <f>M5-M8</f>
        <v>8046.0897994096349</v>
      </c>
      <c r="N11" s="7">
        <f t="shared" si="12"/>
        <v>8746.7371599465969</v>
      </c>
    </row>
    <row r="12" spans="1:14" ht="15" thickTop="1" x14ac:dyDescent="0.3">
      <c r="A12" s="41" t="s">
        <v>129</v>
      </c>
      <c r="B12" s="55"/>
      <c r="C12" s="55">
        <f>C11/B11-1</f>
        <v>9.6621781242617555E-2</v>
      </c>
      <c r="D12" s="55">
        <f t="shared" ref="D12:N12" si="13">D11/C11-1</f>
        <v>6.5273588970271357E-2</v>
      </c>
      <c r="E12" s="55">
        <f t="shared" si="13"/>
        <v>-0.11445904954499497</v>
      </c>
      <c r="F12" s="55">
        <f t="shared" si="13"/>
        <v>0.10755880337976698</v>
      </c>
      <c r="G12" s="55">
        <f t="shared" si="13"/>
        <v>-0.38639175257731961</v>
      </c>
      <c r="H12" s="55">
        <f t="shared" si="13"/>
        <v>0.73555107526881724</v>
      </c>
      <c r="I12" s="55">
        <f t="shared" si="13"/>
        <v>-0.17483059051306871</v>
      </c>
      <c r="J12" s="55">
        <f t="shared" si="13"/>
        <v>0.4636349913968405</v>
      </c>
      <c r="K12" s="55">
        <f t="shared" si="13"/>
        <v>8.2473213449348437E-2</v>
      </c>
      <c r="L12" s="55">
        <f t="shared" si="13"/>
        <v>9.3795021611385865E-2</v>
      </c>
      <c r="M12" s="55">
        <f t="shared" si="13"/>
        <v>8.9395421229957028E-2</v>
      </c>
      <c r="N12" s="55">
        <f t="shared" si="13"/>
        <v>8.7079236996381759E-2</v>
      </c>
    </row>
    <row r="13" spans="1:14" x14ac:dyDescent="0.3">
      <c r="A13" s="41" t="s">
        <v>131</v>
      </c>
      <c r="B13" s="55">
        <f>B8/B3</f>
        <v>1.9803274402797295E-2</v>
      </c>
      <c r="C13" s="55">
        <f t="shared" ref="C13:N13" si="14">C11/C3</f>
        <v>0.14337781072399308</v>
      </c>
      <c r="D13" s="55">
        <f t="shared" si="14"/>
        <v>0.14395924308588065</v>
      </c>
      <c r="E13" s="55">
        <f t="shared" si="14"/>
        <v>0.12031211363573921</v>
      </c>
      <c r="F13" s="55">
        <f t="shared" si="14"/>
        <v>0.12398701331901731</v>
      </c>
      <c r="G13" s="55">
        <f t="shared" si="14"/>
        <v>7.9565810229126011E-2</v>
      </c>
      <c r="H13" s="55">
        <f t="shared" si="14"/>
        <v>0.11596838654632</v>
      </c>
      <c r="I13" s="55">
        <f t="shared" si="14"/>
        <v>9.1243845001070439E-2</v>
      </c>
      <c r="J13" s="55">
        <f t="shared" si="14"/>
        <v>0.12302679761199216</v>
      </c>
      <c r="K13" s="55">
        <f t="shared" si="14"/>
        <v>0.1228131281544661</v>
      </c>
      <c r="L13" s="55">
        <f t="shared" si="14"/>
        <v>0.12370120478538721</v>
      </c>
      <c r="M13" s="55">
        <f t="shared" si="14"/>
        <v>0.12390996082821579</v>
      </c>
      <c r="N13" s="55">
        <f t="shared" si="14"/>
        <v>0.12366796067378386</v>
      </c>
    </row>
    <row r="14" spans="1:14" ht="15" thickBot="1" x14ac:dyDescent="0.35">
      <c r="A14" s="40" t="s">
        <v>135</v>
      </c>
      <c r="B14" s="7">
        <v>1003</v>
      </c>
      <c r="C14" s="7">
        <v>1191</v>
      </c>
      <c r="D14" s="7">
        <v>1201</v>
      </c>
      <c r="E14" s="7">
        <v>1194</v>
      </c>
      <c r="F14" s="7">
        <v>1075</v>
      </c>
      <c r="G14" s="7">
        <v>1124</v>
      </c>
      <c r="H14" s="7">
        <v>695</v>
      </c>
      <c r="I14" s="7">
        <v>758</v>
      </c>
      <c r="J14" s="54">
        <f>J41+J68+J95+J122+J142+J188</f>
        <v>850.31799999999998</v>
      </c>
      <c r="K14" s="54">
        <f t="shared" ref="K14:N14" si="15">K41+K68+K95+K122+K142+K188</f>
        <v>1024.267832</v>
      </c>
      <c r="L14" s="54">
        <f>L41+L68+L95+L122+L142+L188</f>
        <v>1368.357405796</v>
      </c>
      <c r="M14" s="54">
        <f t="shared" si="15"/>
        <v>2071.0068081076761</v>
      </c>
      <c r="N14" s="54">
        <f t="shared" si="15"/>
        <v>3534.2111817671862</v>
      </c>
    </row>
    <row r="15" spans="1:14" ht="15" thickTop="1" x14ac:dyDescent="0.3">
      <c r="A15" s="41" t="s">
        <v>129</v>
      </c>
      <c r="C15" s="55">
        <f>C14/C3</f>
        <v>3.6786508524833207E-2</v>
      </c>
      <c r="D15" s="55">
        <f t="shared" ref="D15:N15" si="16">D14/D3</f>
        <v>3.4963609898107713E-2</v>
      </c>
      <c r="E15" s="55">
        <f t="shared" si="16"/>
        <v>3.2804901502871117E-2</v>
      </c>
      <c r="F15" s="55">
        <f t="shared" si="16"/>
        <v>2.7481657591328579E-2</v>
      </c>
      <c r="G15" s="55">
        <f t="shared" si="16"/>
        <v>3.0051065422559687E-2</v>
      </c>
      <c r="H15" s="55">
        <f t="shared" si="16"/>
        <v>1.5604652207104046E-2</v>
      </c>
      <c r="I15" s="55">
        <f t="shared" si="16"/>
        <v>1.6227788482123744E-2</v>
      </c>
      <c r="J15" s="55">
        <f t="shared" si="16"/>
        <v>1.6770069519233172E-2</v>
      </c>
      <c r="K15" s="55">
        <f t="shared" si="16"/>
        <v>1.8629231499774652E-2</v>
      </c>
      <c r="L15" s="55">
        <f t="shared" si="16"/>
        <v>2.2917864469469581E-2</v>
      </c>
      <c r="M15" s="55">
        <f t="shared" si="16"/>
        <v>3.1893550639519236E-2</v>
      </c>
      <c r="N15" s="55">
        <f t="shared" si="16"/>
        <v>4.9969340732115938E-2</v>
      </c>
    </row>
    <row r="16" spans="1:14" x14ac:dyDescent="0.3">
      <c r="A16" s="41" t="s">
        <v>133</v>
      </c>
      <c r="B16" s="55">
        <f>B14/B3</f>
        <v>3.2776706643573739E-2</v>
      </c>
      <c r="C16" s="55">
        <f>C14/C3</f>
        <v>3.6786508524833207E-2</v>
      </c>
      <c r="D16" s="55">
        <f t="shared" ref="D16:N16" si="17">D14/D3</f>
        <v>3.4963609898107713E-2</v>
      </c>
      <c r="E16" s="55">
        <f t="shared" si="17"/>
        <v>3.2804901502871117E-2</v>
      </c>
      <c r="F16" s="55">
        <f t="shared" si="17"/>
        <v>2.7481657591328579E-2</v>
      </c>
      <c r="G16" s="55">
        <f t="shared" si="17"/>
        <v>3.0051065422559687E-2</v>
      </c>
      <c r="H16" s="55">
        <f t="shared" si="17"/>
        <v>1.5604652207104046E-2</v>
      </c>
      <c r="I16" s="55">
        <f t="shared" si="17"/>
        <v>1.6227788482123744E-2</v>
      </c>
      <c r="J16" s="55">
        <f t="shared" si="17"/>
        <v>1.6770069519233172E-2</v>
      </c>
      <c r="K16" s="55">
        <f t="shared" si="17"/>
        <v>1.8629231499774652E-2</v>
      </c>
      <c r="L16" s="55">
        <f t="shared" si="17"/>
        <v>2.2917864469469581E-2</v>
      </c>
      <c r="M16" s="55">
        <f t="shared" si="17"/>
        <v>3.1893550639519236E-2</v>
      </c>
      <c r="N16" s="55">
        <f t="shared" si="17"/>
        <v>4.9969340732115938E-2</v>
      </c>
    </row>
    <row r="17" spans="1:14" x14ac:dyDescent="0.3">
      <c r="A17" s="42" t="str">
        <f>+[1]Historicals!A115</f>
        <v>North America</v>
      </c>
      <c r="B17" s="42"/>
      <c r="C17" s="42"/>
      <c r="D17" s="42"/>
      <c r="E17" s="42"/>
      <c r="F17" s="42"/>
      <c r="G17" s="42"/>
      <c r="H17" s="42"/>
      <c r="I17" s="42"/>
      <c r="J17" s="60"/>
      <c r="K17" s="60"/>
      <c r="L17" s="60"/>
      <c r="M17" s="60"/>
      <c r="N17" s="60"/>
    </row>
    <row r="18" spans="1:14" ht="15" thickBot="1" x14ac:dyDescent="0.35">
      <c r="A18" s="9" t="s">
        <v>136</v>
      </c>
      <c r="B18" s="7">
        <v>13740</v>
      </c>
      <c r="C18" s="7">
        <v>14764</v>
      </c>
      <c r="D18" s="7">
        <v>15216</v>
      </c>
      <c r="E18" s="7">
        <v>14855</v>
      </c>
      <c r="F18" s="7">
        <v>15902</v>
      </c>
      <c r="G18" s="7">
        <v>14484</v>
      </c>
      <c r="H18" s="7">
        <f>+[1]Historicals!H115</f>
        <v>17179</v>
      </c>
      <c r="I18" s="7">
        <f>+[1]Historicals!I115</f>
        <v>18353</v>
      </c>
      <c r="J18" s="54">
        <f>J20+J24+J28</f>
        <v>19660.999</v>
      </c>
      <c r="K18" s="54">
        <f>K20+K24+K28</f>
        <v>21063.814841000003</v>
      </c>
      <c r="L18" s="54">
        <f t="shared" ref="L18:M18" si="18">L20+L24+L28</f>
        <v>22568.429595007001</v>
      </c>
      <c r="M18" s="54">
        <f t="shared" si="18"/>
        <v>24182.34699515779</v>
      </c>
      <c r="N18" s="54">
        <f>N20+N24+N28</f>
        <v>25913.631942867934</v>
      </c>
    </row>
    <row r="19" spans="1:14" ht="15" thickTop="1" x14ac:dyDescent="0.3">
      <c r="A19" s="43" t="s">
        <v>129</v>
      </c>
      <c r="B19" s="46" t="str">
        <f t="shared" ref="B19:H19" si="19">+IFERROR(B18/A18-1,"nm")</f>
        <v>nm</v>
      </c>
      <c r="C19" s="46">
        <f t="shared" si="19"/>
        <v>7.4526928675400228E-2</v>
      </c>
      <c r="D19" s="46">
        <f t="shared" si="19"/>
        <v>3.0615009482525046E-2</v>
      </c>
      <c r="E19" s="46">
        <f t="shared" si="19"/>
        <v>-2.372502628811779E-2</v>
      </c>
      <c r="F19" s="46">
        <f t="shared" si="19"/>
        <v>7.0481319421070276E-2</v>
      </c>
      <c r="G19" s="46">
        <f t="shared" si="19"/>
        <v>-8.9171173437303519E-2</v>
      </c>
      <c r="H19" s="46">
        <f t="shared" si="19"/>
        <v>0.18606738470035911</v>
      </c>
      <c r="I19" s="46">
        <f>+IFERROR(I18/H18-1,"nm")</f>
        <v>6.8339251411607238E-2</v>
      </c>
      <c r="J19" s="46">
        <f t="shared" ref="J19:N19" si="20">+IFERROR(J18/I18-1,"nm")</f>
        <v>7.1268947855936293E-2</v>
      </c>
      <c r="K19" s="46">
        <f t="shared" si="20"/>
        <v>7.1350181188656991E-2</v>
      </c>
      <c r="L19" s="46">
        <f t="shared" si="20"/>
        <v>7.1431256178644098E-2</v>
      </c>
      <c r="M19" s="46">
        <f t="shared" si="20"/>
        <v>7.1512171166213889E-2</v>
      </c>
      <c r="N19" s="46">
        <f t="shared" si="20"/>
        <v>7.1592924708954619E-2</v>
      </c>
    </row>
    <row r="20" spans="1:14" ht="15" thickBot="1" x14ac:dyDescent="0.35">
      <c r="A20" s="44" t="s">
        <v>113</v>
      </c>
      <c r="B20" s="3">
        <f>+[1]Historicals!B116</f>
        <v>0</v>
      </c>
      <c r="C20" s="3">
        <f>+[1]Historicals!C116</f>
        <v>0</v>
      </c>
      <c r="D20" s="3">
        <f>+[1]Historicals!D116</f>
        <v>0</v>
      </c>
      <c r="E20" s="3">
        <f>+[1]Historicals!E116</f>
        <v>0</v>
      </c>
      <c r="F20" s="7">
        <v>10045</v>
      </c>
      <c r="G20" s="7">
        <v>9329</v>
      </c>
      <c r="H20" s="7">
        <f>+[1]Historicals!H116</f>
        <v>11644</v>
      </c>
      <c r="I20" s="7">
        <f>+[1]Historicals!I116</f>
        <v>12228</v>
      </c>
      <c r="J20" s="54">
        <f>I20*1.076</f>
        <v>13157.328000000001</v>
      </c>
      <c r="K20" s="54">
        <f t="shared" ref="K20:N20" si="21">J20*1.076</f>
        <v>14157.284928000003</v>
      </c>
      <c r="L20" s="54">
        <f t="shared" si="21"/>
        <v>15233.238582528003</v>
      </c>
      <c r="M20" s="54">
        <f t="shared" si="21"/>
        <v>16390.964714800131</v>
      </c>
      <c r="N20" s="54">
        <f t="shared" si="21"/>
        <v>17636.678033124943</v>
      </c>
    </row>
    <row r="21" spans="1:14" ht="15" thickTop="1" x14ac:dyDescent="0.3">
      <c r="A21" s="43" t="s">
        <v>129</v>
      </c>
      <c r="B21" s="46" t="str">
        <f t="shared" ref="B21:F21" si="22">+IFERROR(B20/A20-1,"nm")</f>
        <v>nm</v>
      </c>
      <c r="C21" s="46" t="str">
        <f t="shared" si="22"/>
        <v>nm</v>
      </c>
      <c r="D21" s="46" t="str">
        <f t="shared" si="22"/>
        <v>nm</v>
      </c>
      <c r="E21" s="46" t="str">
        <f t="shared" si="22"/>
        <v>nm</v>
      </c>
      <c r="F21" s="46" t="str">
        <f t="shared" si="22"/>
        <v>nm</v>
      </c>
      <c r="G21" s="46">
        <f>+IFERROR(G20/F20-1,"nm")</f>
        <v>-7.1279243404678949E-2</v>
      </c>
      <c r="H21" s="46">
        <f t="shared" ref="H21" si="23">+IFERROR(H20/G20-1,"nm")</f>
        <v>0.24815092721620746</v>
      </c>
      <c r="I21" s="46">
        <f>+IFERROR(I20/H20-1,"nm")</f>
        <v>5.0154586052902683E-2</v>
      </c>
      <c r="J21" s="46">
        <f t="shared" ref="J21:N21" si="24">+IFERROR(J20/I20-1,"nm")</f>
        <v>7.6000000000000068E-2</v>
      </c>
      <c r="K21" s="46">
        <f t="shared" si="24"/>
        <v>7.6000000000000068E-2</v>
      </c>
      <c r="L21" s="46">
        <f t="shared" si="24"/>
        <v>7.6000000000000068E-2</v>
      </c>
      <c r="M21" s="46">
        <f t="shared" si="24"/>
        <v>7.6000000000000068E-2</v>
      </c>
      <c r="N21" s="46">
        <f t="shared" si="24"/>
        <v>7.6000000000000068E-2</v>
      </c>
    </row>
    <row r="22" spans="1:14" x14ac:dyDescent="0.3">
      <c r="A22" s="43" t="s">
        <v>137</v>
      </c>
      <c r="B22" s="46">
        <f>+[1]Historicals!B190</f>
        <v>0</v>
      </c>
      <c r="C22" s="46">
        <f>+[1]Historicals!C190</f>
        <v>0</v>
      </c>
      <c r="D22" s="46">
        <f>+[1]Historicals!D190</f>
        <v>0</v>
      </c>
      <c r="E22" s="46">
        <f>+[1]Historicals!E190</f>
        <v>0</v>
      </c>
      <c r="F22" s="46">
        <f>+[1]Historicals!F190</f>
        <v>0</v>
      </c>
      <c r="G22" s="46">
        <f>+[1]Historicals!G190</f>
        <v>-7.1279243404678949E-2</v>
      </c>
      <c r="H22" s="46">
        <f>+[1]Historicals!H190</f>
        <v>0.24815092721620746</v>
      </c>
      <c r="I22" s="46">
        <f>+[1]Historicals!I190</f>
        <v>0.05</v>
      </c>
      <c r="J22" s="46">
        <f>+[1]Historicals!J190</f>
        <v>0</v>
      </c>
      <c r="K22" s="46">
        <f>+[1]Historicals!K190</f>
        <v>0</v>
      </c>
      <c r="L22" s="46">
        <f>+[1]Historicals!L190</f>
        <v>0</v>
      </c>
      <c r="M22" s="46">
        <f>+[1]Historicals!M190</f>
        <v>0</v>
      </c>
      <c r="N22" s="46">
        <f>+[1]Historicals!N190</f>
        <v>0</v>
      </c>
    </row>
    <row r="23" spans="1:14" x14ac:dyDescent="0.3">
      <c r="A23" s="43" t="s">
        <v>138</v>
      </c>
      <c r="B23" s="46" t="str">
        <f t="shared" ref="B23:H23" si="25">+IFERROR(B21-B22,"nm")</f>
        <v>nm</v>
      </c>
      <c r="C23" s="46" t="str">
        <f t="shared" si="25"/>
        <v>nm</v>
      </c>
      <c r="D23" s="46" t="str">
        <f t="shared" si="25"/>
        <v>nm</v>
      </c>
      <c r="E23" s="46" t="str">
        <f t="shared" si="25"/>
        <v>nm</v>
      </c>
      <c r="F23" s="46" t="str">
        <f t="shared" si="25"/>
        <v>nm</v>
      </c>
      <c r="G23" s="46">
        <f t="shared" si="25"/>
        <v>0</v>
      </c>
      <c r="H23" s="46">
        <f t="shared" si="25"/>
        <v>0</v>
      </c>
      <c r="I23" s="46">
        <f>+IFERROR(I21-I22,"nm")</f>
        <v>1.5458605290268046E-4</v>
      </c>
      <c r="J23" s="46">
        <f t="shared" ref="J23:N23" si="26">+IFERROR(J21-J22,"nm")</f>
        <v>7.6000000000000068E-2</v>
      </c>
      <c r="K23" s="46">
        <f t="shared" si="26"/>
        <v>7.6000000000000068E-2</v>
      </c>
      <c r="L23" s="46">
        <f t="shared" si="26"/>
        <v>7.6000000000000068E-2</v>
      </c>
      <c r="M23" s="46">
        <f t="shared" si="26"/>
        <v>7.6000000000000068E-2</v>
      </c>
      <c r="N23" s="46">
        <f t="shared" si="26"/>
        <v>7.6000000000000068E-2</v>
      </c>
    </row>
    <row r="24" spans="1:14" ht="15" thickBot="1" x14ac:dyDescent="0.35">
      <c r="A24" s="44" t="s">
        <v>114</v>
      </c>
      <c r="B24" s="3">
        <f>+[1]Historicals!B117</f>
        <v>0</v>
      </c>
      <c r="C24" s="3">
        <f>+[1]Historicals!C117</f>
        <v>0</v>
      </c>
      <c r="D24" s="3">
        <f>+[1]Historicals!D117</f>
        <v>0</v>
      </c>
      <c r="E24" s="3">
        <f>+[1]Historicals!E117</f>
        <v>0</v>
      </c>
      <c r="F24" s="7">
        <v>5260</v>
      </c>
      <c r="G24" s="7">
        <v>4639</v>
      </c>
      <c r="H24" s="7">
        <f>+[1]Historicals!H117</f>
        <v>5028</v>
      </c>
      <c r="I24" s="7">
        <f>+[1]Historicals!I117</f>
        <v>5492</v>
      </c>
      <c r="J24" s="54">
        <f>I24*1.058</f>
        <v>5810.5360000000001</v>
      </c>
      <c r="K24" s="54">
        <f t="shared" ref="K24:N24" si="27">J24*1.058</f>
        <v>6147.5470880000003</v>
      </c>
      <c r="L24" s="54">
        <f t="shared" si="27"/>
        <v>6504.1048191040009</v>
      </c>
      <c r="M24" s="54">
        <f t="shared" si="27"/>
        <v>6881.3428986120334</v>
      </c>
      <c r="N24" s="54">
        <f t="shared" si="27"/>
        <v>7280.4607867315317</v>
      </c>
    </row>
    <row r="25" spans="1:14" ht="15" thickTop="1" x14ac:dyDescent="0.3">
      <c r="A25" s="43" t="s">
        <v>129</v>
      </c>
      <c r="B25" s="46" t="str">
        <f t="shared" ref="B25:H25" si="28">+IFERROR(B24/A24-1,"nm")</f>
        <v>nm</v>
      </c>
      <c r="C25" s="46" t="str">
        <f t="shared" si="28"/>
        <v>nm</v>
      </c>
      <c r="D25" s="46" t="str">
        <f t="shared" si="28"/>
        <v>nm</v>
      </c>
      <c r="E25" s="46" t="str">
        <f t="shared" si="28"/>
        <v>nm</v>
      </c>
      <c r="F25" s="46" t="str">
        <f t="shared" si="28"/>
        <v>nm</v>
      </c>
      <c r="G25" s="46">
        <f t="shared" si="28"/>
        <v>-0.11806083650190113</v>
      </c>
      <c r="H25" s="46">
        <f t="shared" si="28"/>
        <v>8.3854278939426541E-2</v>
      </c>
      <c r="I25" s="46">
        <f>+IFERROR(I24/H24-1,"nm")</f>
        <v>9.2283214001591007E-2</v>
      </c>
      <c r="J25" s="46">
        <f t="shared" ref="J25:N25" si="29">+IFERROR(J24/I24-1,"nm")</f>
        <v>5.8000000000000052E-2</v>
      </c>
      <c r="K25" s="46">
        <f t="shared" si="29"/>
        <v>5.8000000000000052E-2</v>
      </c>
      <c r="L25" s="46">
        <f t="shared" si="29"/>
        <v>5.8000000000000052E-2</v>
      </c>
      <c r="M25" s="46">
        <f t="shared" si="29"/>
        <v>5.8000000000000052E-2</v>
      </c>
      <c r="N25" s="46">
        <f t="shared" si="29"/>
        <v>5.8000000000000052E-2</v>
      </c>
    </row>
    <row r="26" spans="1:14" x14ac:dyDescent="0.3">
      <c r="A26" s="43" t="s">
        <v>137</v>
      </c>
      <c r="B26" s="46">
        <f>+[1]Historicals!B194</f>
        <v>0</v>
      </c>
      <c r="C26" s="46">
        <f>+[1]Historicals!C194</f>
        <v>0</v>
      </c>
      <c r="D26" s="46">
        <f>+[1]Historicals!D194</f>
        <v>0</v>
      </c>
      <c r="E26" s="46">
        <f>+[1]Historicals!E194</f>
        <v>0</v>
      </c>
      <c r="F26" s="46">
        <f>+[1]Historicals!F194</f>
        <v>0</v>
      </c>
      <c r="G26" s="46">
        <f>+[1]Historicals!G194</f>
        <v>-6.3721595423486432E-2</v>
      </c>
      <c r="H26" s="46">
        <f>+[1]Historicals!H194</f>
        <v>0.18295994568907004</v>
      </c>
      <c r="I26" s="46">
        <f>+[1]Historicals!I194</f>
        <v>0.09</v>
      </c>
      <c r="J26" s="46">
        <f>+[1]Historicals!J194</f>
        <v>0</v>
      </c>
      <c r="K26" s="46">
        <f>+[1]Historicals!K194</f>
        <v>0</v>
      </c>
      <c r="L26" s="46">
        <f>+[1]Historicals!L194</f>
        <v>0</v>
      </c>
      <c r="M26" s="46">
        <f>+[1]Historicals!M194</f>
        <v>0</v>
      </c>
      <c r="N26" s="46">
        <f>+[1]Historicals!N194</f>
        <v>0</v>
      </c>
    </row>
    <row r="27" spans="1:14" x14ac:dyDescent="0.3">
      <c r="A27" s="43" t="s">
        <v>138</v>
      </c>
      <c r="B27" s="46" t="str">
        <f>+IFERROR(B25-B26,"nm")</f>
        <v>nm</v>
      </c>
      <c r="C27" s="46" t="str">
        <f t="shared" ref="C27:F27" si="30">+IFERROR(C25-C26,"nm")</f>
        <v>nm</v>
      </c>
      <c r="D27" s="46" t="str">
        <f t="shared" si="30"/>
        <v>nm</v>
      </c>
      <c r="E27" s="46" t="str">
        <f t="shared" si="30"/>
        <v>nm</v>
      </c>
      <c r="F27" s="46" t="str">
        <f t="shared" si="30"/>
        <v>nm</v>
      </c>
      <c r="G27" s="46">
        <f>+IFERROR(G25-G26,"nm")</f>
        <v>-5.4339241078414702E-2</v>
      </c>
      <c r="H27" s="46">
        <f t="shared" ref="H27" si="31">+IFERROR(H25-H26,"nm")</f>
        <v>-9.9105666749643495E-2</v>
      </c>
      <c r="I27" s="46">
        <f>+IFERROR(I25-I26,"nm")</f>
        <v>2.2832140015910107E-3</v>
      </c>
      <c r="J27" s="58">
        <v>-1E-4</v>
      </c>
      <c r="K27" s="58">
        <v>-1E-4</v>
      </c>
      <c r="L27" s="58">
        <v>-1E-4</v>
      </c>
      <c r="M27" s="58">
        <v>-1E-4</v>
      </c>
      <c r="N27" s="58">
        <v>-1E-4</v>
      </c>
    </row>
    <row r="28" spans="1:14" ht="15" thickBot="1" x14ac:dyDescent="0.35">
      <c r="A28" s="44" t="s">
        <v>115</v>
      </c>
      <c r="B28" s="3">
        <f>+[1]Historicals!B118</f>
        <v>0</v>
      </c>
      <c r="C28" s="3">
        <f>+[1]Historicals!C118</f>
        <v>0</v>
      </c>
      <c r="D28" s="3">
        <f>+[1]Historicals!D118</f>
        <v>0</v>
      </c>
      <c r="E28" s="3">
        <f>+[1]Historicals!E118</f>
        <v>0</v>
      </c>
      <c r="F28" s="7">
        <v>597</v>
      </c>
      <c r="G28" s="7">
        <v>516</v>
      </c>
      <c r="H28" s="7">
        <f>+[1]Historicals!H118</f>
        <v>507</v>
      </c>
      <c r="I28" s="7">
        <f>+[1]Historicals!I118</f>
        <v>633</v>
      </c>
      <c r="J28" s="54">
        <f>I28*1.095</f>
        <v>693.13499999999999</v>
      </c>
      <c r="K28" s="54">
        <f t="shared" ref="K28:N28" si="32">J28*1.095</f>
        <v>758.98282499999993</v>
      </c>
      <c r="L28" s="54">
        <f t="shared" si="32"/>
        <v>831.08619337499988</v>
      </c>
      <c r="M28" s="54">
        <f t="shared" si="32"/>
        <v>910.03938174562484</v>
      </c>
      <c r="N28" s="54">
        <f t="shared" si="32"/>
        <v>996.49312301145915</v>
      </c>
    </row>
    <row r="29" spans="1:14" ht="15" thickTop="1" x14ac:dyDescent="0.3">
      <c r="A29" s="43" t="s">
        <v>129</v>
      </c>
      <c r="B29" s="46" t="str">
        <f t="shared" ref="B29:H29" si="33">+IFERROR(B28/A28-1,"nm")</f>
        <v>nm</v>
      </c>
      <c r="C29" s="46" t="str">
        <f t="shared" si="33"/>
        <v>nm</v>
      </c>
      <c r="D29" s="46" t="str">
        <f t="shared" si="33"/>
        <v>nm</v>
      </c>
      <c r="E29" s="46" t="str">
        <f t="shared" si="33"/>
        <v>nm</v>
      </c>
      <c r="F29" s="46" t="str">
        <f t="shared" si="33"/>
        <v>nm</v>
      </c>
      <c r="G29" s="46">
        <f t="shared" si="33"/>
        <v>-0.13567839195979903</v>
      </c>
      <c r="H29" s="46">
        <f t="shared" si="33"/>
        <v>-1.744186046511631E-2</v>
      </c>
      <c r="I29" s="46">
        <f>+IFERROR(I28/H28-1,"nm")</f>
        <v>0.24852071005917153</v>
      </c>
      <c r="J29" s="46">
        <f t="shared" ref="J29:N29" si="34">+IFERROR(J28/I28-1,"nm")</f>
        <v>9.4999999999999973E-2</v>
      </c>
      <c r="K29" s="46">
        <f t="shared" si="34"/>
        <v>9.4999999999999973E-2</v>
      </c>
      <c r="L29" s="46">
        <f t="shared" si="34"/>
        <v>9.4999999999999973E-2</v>
      </c>
      <c r="M29" s="46">
        <f t="shared" si="34"/>
        <v>9.4999999999999973E-2</v>
      </c>
      <c r="N29" s="46">
        <f t="shared" si="34"/>
        <v>9.4999999999999973E-2</v>
      </c>
    </row>
    <row r="30" spans="1:14" x14ac:dyDescent="0.3">
      <c r="A30" s="43" t="s">
        <v>137</v>
      </c>
      <c r="B30" s="46">
        <f>+[1]Historicals!B192</f>
        <v>0</v>
      </c>
      <c r="C30" s="46">
        <f>+[1]Historicals!C192</f>
        <v>0</v>
      </c>
      <c r="D30" s="46">
        <f>+[1]Historicals!D192</f>
        <v>0</v>
      </c>
      <c r="E30" s="46">
        <f>+[1]Historicals!E192</f>
        <v>0</v>
      </c>
      <c r="F30" s="46">
        <f>+[1]Historicals!F192</f>
        <v>0</v>
      </c>
      <c r="G30" s="46">
        <f>+[1]Historicals!G192</f>
        <v>-0.13567839195979903</v>
      </c>
      <c r="H30" s="46">
        <f>+[1]Historicals!H192</f>
        <v>-1.744186046511631E-2</v>
      </c>
      <c r="I30" s="46">
        <f>+[1]Historicals!I192</f>
        <v>0.25</v>
      </c>
      <c r="J30" s="46">
        <f>+[1]Historicals!J192</f>
        <v>0</v>
      </c>
      <c r="K30" s="46">
        <f>+[1]Historicals!K192</f>
        <v>0</v>
      </c>
      <c r="L30" s="46">
        <f>+[1]Historicals!L192</f>
        <v>0</v>
      </c>
      <c r="M30" s="46">
        <f>+[1]Historicals!M192</f>
        <v>0</v>
      </c>
      <c r="N30" s="46">
        <f>+[1]Historicals!N192</f>
        <v>0</v>
      </c>
    </row>
    <row r="31" spans="1:14" x14ac:dyDescent="0.3">
      <c r="A31" s="43" t="s">
        <v>138</v>
      </c>
      <c r="B31" s="46" t="str">
        <f t="shared" ref="B31:F31" si="35">+IFERROR(B29-B30,"nm")</f>
        <v>nm</v>
      </c>
      <c r="C31" s="46" t="str">
        <f t="shared" si="35"/>
        <v>nm</v>
      </c>
      <c r="D31" s="46" t="str">
        <f t="shared" si="35"/>
        <v>nm</v>
      </c>
      <c r="E31" s="46" t="str">
        <f t="shared" si="35"/>
        <v>nm</v>
      </c>
      <c r="F31" s="46" t="str">
        <f t="shared" si="35"/>
        <v>nm</v>
      </c>
      <c r="G31" s="46">
        <f>+IFERROR(G29-G30,"nm")</f>
        <v>0</v>
      </c>
      <c r="H31" s="46">
        <f>+IFERROR(H29-H30,"nm")</f>
        <v>0</v>
      </c>
      <c r="I31" s="46">
        <f>+IFERROR(I29-I30,"nm")</f>
        <v>-1.4792899408284654E-3</v>
      </c>
      <c r="J31" s="58">
        <v>-5.1999999999999998E-2</v>
      </c>
      <c r="K31" s="58">
        <v>-5.1999999999999998E-2</v>
      </c>
      <c r="L31" s="58">
        <v>-5.1999999999999998E-2</v>
      </c>
      <c r="M31" s="58">
        <v>-5.1999999999999998E-2</v>
      </c>
      <c r="N31" s="58">
        <v>-5.1999999999999998E-2</v>
      </c>
    </row>
    <row r="32" spans="1:14" ht="15" thickBot="1" x14ac:dyDescent="0.35">
      <c r="A32" s="9" t="s">
        <v>130</v>
      </c>
      <c r="B32" s="56">
        <f>B38+B35</f>
        <v>3766</v>
      </c>
      <c r="C32" s="56">
        <f t="shared" ref="C32:E32" si="36">C38+C35</f>
        <v>3896</v>
      </c>
      <c r="D32" s="56">
        <f t="shared" si="36"/>
        <v>4015</v>
      </c>
      <c r="E32" s="56">
        <f t="shared" si="36"/>
        <v>3760</v>
      </c>
      <c r="F32" s="56">
        <f>F38+F35</f>
        <v>4074</v>
      </c>
      <c r="G32" s="56">
        <f>G38+G35</f>
        <v>3047</v>
      </c>
      <c r="H32" s="56">
        <f>H38+H35</f>
        <v>5219</v>
      </c>
      <c r="I32" s="56">
        <f>I38+I35</f>
        <v>5238</v>
      </c>
      <c r="J32" s="54">
        <f>I32*1.078</f>
        <v>5646.5640000000003</v>
      </c>
      <c r="K32" s="54">
        <f>J32*1.078</f>
        <v>6086.995992000001</v>
      </c>
      <c r="L32" s="54">
        <f t="shared" ref="L32:M32" si="37">K32*1.078</f>
        <v>6561.7816793760012</v>
      </c>
      <c r="M32" s="54">
        <f t="shared" si="37"/>
        <v>7073.6006503673298</v>
      </c>
      <c r="N32" s="54">
        <f>M32*1.078</f>
        <v>7625.3415010959816</v>
      </c>
    </row>
    <row r="33" spans="1:14" ht="15" thickTop="1" x14ac:dyDescent="0.3">
      <c r="A33" s="45" t="s">
        <v>129</v>
      </c>
      <c r="B33" s="46" t="str">
        <f t="shared" ref="B33:H33" si="38">+IFERROR(B32/A32-1,"nm")</f>
        <v>nm</v>
      </c>
      <c r="C33" s="46">
        <f t="shared" si="38"/>
        <v>3.4519383961763239E-2</v>
      </c>
      <c r="D33" s="46">
        <f t="shared" si="38"/>
        <v>3.0544147843942548E-2</v>
      </c>
      <c r="E33" s="46">
        <f t="shared" si="38"/>
        <v>-6.3511830635118338E-2</v>
      </c>
      <c r="F33" s="46">
        <f t="shared" si="38"/>
        <v>8.3510638297872308E-2</v>
      </c>
      <c r="G33" s="46">
        <f t="shared" si="38"/>
        <v>-0.25208640157093765</v>
      </c>
      <c r="H33" s="46">
        <f t="shared" si="38"/>
        <v>0.71283229405973092</v>
      </c>
      <c r="I33" s="46">
        <f>+IFERROR(I32/H32-1,"nm")</f>
        <v>3.6405441655489312E-3</v>
      </c>
      <c r="J33" s="46">
        <f t="shared" ref="J33:N33" si="39">+IFERROR(J32/I32-1,"nm")</f>
        <v>7.8000000000000069E-2</v>
      </c>
      <c r="K33" s="46">
        <f t="shared" si="39"/>
        <v>7.8000000000000069E-2</v>
      </c>
      <c r="L33" s="46">
        <f t="shared" si="39"/>
        <v>7.8000000000000069E-2</v>
      </c>
      <c r="M33" s="46">
        <f t="shared" si="39"/>
        <v>7.8000000000000069E-2</v>
      </c>
      <c r="N33" s="46">
        <f t="shared" si="39"/>
        <v>7.8000000000000069E-2</v>
      </c>
    </row>
    <row r="34" spans="1:14" x14ac:dyDescent="0.3">
      <c r="A34" s="45" t="s">
        <v>131</v>
      </c>
      <c r="B34" s="46">
        <f t="shared" ref="B34:G34" si="40">+IFERROR(B32/B$18,"nm")</f>
        <v>0.27409024745269289</v>
      </c>
      <c r="C34" s="46">
        <f t="shared" si="40"/>
        <v>0.26388512598211866</v>
      </c>
      <c r="D34" s="46">
        <f t="shared" si="40"/>
        <v>0.26386698212407994</v>
      </c>
      <c r="E34" s="46">
        <f t="shared" si="40"/>
        <v>0.25311342982160889</v>
      </c>
      <c r="F34" s="46">
        <f t="shared" si="40"/>
        <v>0.25619418941013711</v>
      </c>
      <c r="G34" s="46">
        <f t="shared" si="40"/>
        <v>0.2103700635183651</v>
      </c>
      <c r="H34" s="46">
        <f>+IFERROR(H32/H$18,"nm")</f>
        <v>0.30380115256999823</v>
      </c>
      <c r="I34" s="46">
        <f>+IFERROR(I32/I$18,"nm")</f>
        <v>0.28540293140086087</v>
      </c>
      <c r="J34" s="46">
        <f t="shared" ref="J34:N34" si="41">+IFERROR(J32/J$18,"nm")</f>
        <v>0.28719618977652156</v>
      </c>
      <c r="K34" s="46">
        <f t="shared" si="41"/>
        <v>0.28897880265030956</v>
      </c>
      <c r="L34" s="46">
        <f>+IFERROR(L32/L$18,"nm")</f>
        <v>0.29075047742035709</v>
      </c>
      <c r="M34" s="46">
        <f t="shared" si="41"/>
        <v>0.29251092343450902</v>
      </c>
      <c r="N34" s="46">
        <f t="shared" si="41"/>
        <v>0.29425985203107208</v>
      </c>
    </row>
    <row r="35" spans="1:14" ht="15" thickBot="1" x14ac:dyDescent="0.35">
      <c r="A35" s="9" t="s">
        <v>132</v>
      </c>
      <c r="B35" s="7">
        <v>121</v>
      </c>
      <c r="C35" s="7">
        <v>133</v>
      </c>
      <c r="D35" s="7">
        <v>140</v>
      </c>
      <c r="E35" s="7">
        <v>160</v>
      </c>
      <c r="F35" s="7">
        <v>149</v>
      </c>
      <c r="G35" s="7">
        <v>148</v>
      </c>
      <c r="H35" s="7">
        <f>+[1]Historicals!H177</f>
        <v>130</v>
      </c>
      <c r="I35" s="7">
        <f>+[1]Historicals!I177</f>
        <v>124</v>
      </c>
      <c r="J35" s="61">
        <f>J32-J38</f>
        <v>108.10200000000077</v>
      </c>
      <c r="K35" s="61">
        <f t="shared" ref="K35:N35" si="42">K32-K38</f>
        <v>88.841646000001674</v>
      </c>
      <c r="L35" s="61">
        <f t="shared" si="42"/>
        <v>65.780522658002155</v>
      </c>
      <c r="M35" s="61">
        <f t="shared" si="42"/>
        <v>38.431397641737021</v>
      </c>
      <c r="N35" s="61">
        <f t="shared" si="42"/>
        <v>6.2532003941651055</v>
      </c>
    </row>
    <row r="36" spans="1:14" ht="15" thickTop="1" x14ac:dyDescent="0.3">
      <c r="A36" s="45" t="s">
        <v>129</v>
      </c>
      <c r="B36" s="46" t="str">
        <f t="shared" ref="B36:H36" si="43">+IFERROR(B35/A35-1,"nm")</f>
        <v>nm</v>
      </c>
      <c r="C36" s="46">
        <f t="shared" si="43"/>
        <v>9.9173553719008156E-2</v>
      </c>
      <c r="D36" s="46">
        <f t="shared" si="43"/>
        <v>5.2631578947368363E-2</v>
      </c>
      <c r="E36" s="46">
        <f t="shared" si="43"/>
        <v>0.14285714285714279</v>
      </c>
      <c r="F36" s="46">
        <f t="shared" si="43"/>
        <v>-6.8749999999999978E-2</v>
      </c>
      <c r="G36" s="46">
        <f t="shared" si="43"/>
        <v>-6.7114093959731447E-3</v>
      </c>
      <c r="H36" s="46">
        <f t="shared" si="43"/>
        <v>-0.1216216216216216</v>
      </c>
      <c r="I36" s="46">
        <f>+IFERROR(I35/H35-1,"nm")</f>
        <v>-4.6153846153846101E-2</v>
      </c>
      <c r="J36" s="46">
        <f t="shared" ref="J36:N36" si="44">+IFERROR(J35/I35-1,"nm")</f>
        <v>-0.12820967741934863</v>
      </c>
      <c r="K36" s="46">
        <f t="shared" si="44"/>
        <v>-0.17816834101125756</v>
      </c>
      <c r="L36" s="46">
        <f t="shared" si="44"/>
        <v>-0.25957559748498005</v>
      </c>
      <c r="M36" s="46">
        <f t="shared" si="44"/>
        <v>-0.41576326716732359</v>
      </c>
      <c r="N36" s="46">
        <f t="shared" si="44"/>
        <v>-0.83728927965466327</v>
      </c>
    </row>
    <row r="37" spans="1:14" x14ac:dyDescent="0.3">
      <c r="A37" s="45" t="s">
        <v>133</v>
      </c>
      <c r="B37" s="46">
        <f t="shared" ref="B37:H37" si="45">+IFERROR(B35/B$18,"nm")</f>
        <v>8.8064046579330417E-3</v>
      </c>
      <c r="C37" s="46">
        <f t="shared" si="45"/>
        <v>9.0083988079111346E-3</v>
      </c>
      <c r="D37" s="46">
        <f t="shared" si="45"/>
        <v>9.2008412197686646E-3</v>
      </c>
      <c r="E37" s="46">
        <f t="shared" si="45"/>
        <v>1.0770784247728038E-2</v>
      </c>
      <c r="F37" s="46">
        <f t="shared" si="45"/>
        <v>9.3698905798012821E-3</v>
      </c>
      <c r="G37" s="46">
        <f t="shared" si="45"/>
        <v>1.0218171775752554E-2</v>
      </c>
      <c r="H37" s="46">
        <f t="shared" si="45"/>
        <v>7.5673787764130628E-3</v>
      </c>
      <c r="I37" s="46">
        <f>+IFERROR(I35/I$18,"nm")</f>
        <v>6.7563886013185855E-3</v>
      </c>
      <c r="J37" s="46">
        <f t="shared" ref="J37:N37" si="46">+IFERROR(J35/J$18,"nm")</f>
        <v>5.4982963988758037E-3</v>
      </c>
      <c r="K37" s="46">
        <f t="shared" si="46"/>
        <v>4.2177377018655909E-3</v>
      </c>
      <c r="L37" s="46">
        <f t="shared" si="46"/>
        <v>2.9147142197503773E-3</v>
      </c>
      <c r="M37" s="46">
        <f t="shared" si="46"/>
        <v>1.5892335698198534E-3</v>
      </c>
      <c r="N37" s="46">
        <f t="shared" si="46"/>
        <v>2.4130930036945822E-4</v>
      </c>
    </row>
    <row r="38" spans="1:14" ht="15" thickBot="1" x14ac:dyDescent="0.35">
      <c r="A38" s="9" t="s">
        <v>134</v>
      </c>
      <c r="B38" s="7">
        <v>3645</v>
      </c>
      <c r="C38" s="7">
        <v>3763</v>
      </c>
      <c r="D38" s="7">
        <v>3875</v>
      </c>
      <c r="E38" s="7">
        <v>3600</v>
      </c>
      <c r="F38" s="7">
        <v>3925</v>
      </c>
      <c r="G38" s="7">
        <v>2899</v>
      </c>
      <c r="H38" s="7">
        <f>+[1]Historicals!H142</f>
        <v>5089</v>
      </c>
      <c r="I38" s="7">
        <f>+[1]Historicals!I142</f>
        <v>5114</v>
      </c>
      <c r="J38" s="54">
        <f>I38*1.083</f>
        <v>5538.4619999999995</v>
      </c>
      <c r="K38" s="54">
        <f t="shared" ref="K38:N38" si="47">J38*1.083</f>
        <v>5998.1543459999994</v>
      </c>
      <c r="L38" s="54">
        <f t="shared" si="47"/>
        <v>6496.001156717999</v>
      </c>
      <c r="M38" s="54">
        <f t="shared" si="47"/>
        <v>7035.1692527255927</v>
      </c>
      <c r="N38" s="54">
        <f t="shared" si="47"/>
        <v>7619.0883007018165</v>
      </c>
    </row>
    <row r="39" spans="1:14" ht="15" thickTop="1" x14ac:dyDescent="0.3">
      <c r="A39" s="45" t="s">
        <v>129</v>
      </c>
      <c r="B39" s="46" t="str">
        <f t="shared" ref="B39:H39" si="48">+IFERROR(B38/A38-1,"nm")</f>
        <v>nm</v>
      </c>
      <c r="C39" s="46">
        <f t="shared" si="48"/>
        <v>3.2373113854595292E-2</v>
      </c>
      <c r="D39" s="46">
        <f t="shared" si="48"/>
        <v>2.9763486579856391E-2</v>
      </c>
      <c r="E39" s="46">
        <f t="shared" si="48"/>
        <v>-7.096774193548383E-2</v>
      </c>
      <c r="F39" s="46">
        <f t="shared" si="48"/>
        <v>9.0277777777777679E-2</v>
      </c>
      <c r="G39" s="46">
        <f t="shared" si="48"/>
        <v>-0.26140127388535028</v>
      </c>
      <c r="H39" s="46">
        <f t="shared" si="48"/>
        <v>0.75543290789927564</v>
      </c>
      <c r="I39" s="46">
        <f>+IFERROR(I38/H38-1,"nm")</f>
        <v>4.9125564943997002E-3</v>
      </c>
      <c r="J39" s="46">
        <f t="shared" ref="J39:N39" si="49">+IFERROR(J38/I38-1,"nm")</f>
        <v>8.2999999999999963E-2</v>
      </c>
      <c r="K39" s="46">
        <f t="shared" si="49"/>
        <v>8.2999999999999963E-2</v>
      </c>
      <c r="L39" s="46">
        <f t="shared" si="49"/>
        <v>8.2999999999999963E-2</v>
      </c>
      <c r="M39" s="46">
        <f t="shared" si="49"/>
        <v>8.2999999999999963E-2</v>
      </c>
      <c r="N39" s="46">
        <f t="shared" si="49"/>
        <v>8.2999999999999963E-2</v>
      </c>
    </row>
    <row r="40" spans="1:14" x14ac:dyDescent="0.3">
      <c r="A40" s="45" t="s">
        <v>131</v>
      </c>
      <c r="B40" s="46">
        <f t="shared" ref="B40:H40" si="50">+IFERROR(B38/B$18,"nm")</f>
        <v>0.26528384279475981</v>
      </c>
      <c r="C40" s="46">
        <f>+IFERROR(C38/C$18,"nm")</f>
        <v>0.25487672717420751</v>
      </c>
      <c r="D40" s="46">
        <f t="shared" si="50"/>
        <v>0.25466614090431128</v>
      </c>
      <c r="E40" s="46">
        <f t="shared" si="50"/>
        <v>0.24234264557388085</v>
      </c>
      <c r="F40" s="46">
        <f t="shared" si="50"/>
        <v>0.2468242988303358</v>
      </c>
      <c r="G40" s="46">
        <f t="shared" si="50"/>
        <v>0.20015189174261253</v>
      </c>
      <c r="H40" s="46">
        <f t="shared" si="50"/>
        <v>0.29623377379358518</v>
      </c>
      <c r="I40" s="46">
        <f>+IFERROR(I38/I$18,"nm")</f>
        <v>0.27864654279954232</v>
      </c>
      <c r="J40" s="46">
        <f t="shared" ref="J40:N40" si="51">+IFERROR(J38/J$18,"nm")</f>
        <v>0.28169789337764573</v>
      </c>
      <c r="K40" s="46">
        <f t="shared" si="51"/>
        <v>0.28476106494844394</v>
      </c>
      <c r="L40" s="46">
        <f t="shared" si="51"/>
        <v>0.28783576320060666</v>
      </c>
      <c r="M40" s="46">
        <f t="shared" si="51"/>
        <v>0.29092168986468919</v>
      </c>
      <c r="N40" s="46">
        <f t="shared" si="51"/>
        <v>0.29401854273070266</v>
      </c>
    </row>
    <row r="41" spans="1:14" ht="15" thickBot="1" x14ac:dyDescent="0.35">
      <c r="A41" s="9" t="s">
        <v>135</v>
      </c>
      <c r="B41" s="7">
        <v>208</v>
      </c>
      <c r="C41" s="7">
        <v>242</v>
      </c>
      <c r="D41" s="7">
        <v>223</v>
      </c>
      <c r="E41" s="7">
        <v>196</v>
      </c>
      <c r="F41" s="7">
        <v>117</v>
      </c>
      <c r="G41" s="7">
        <v>110</v>
      </c>
      <c r="H41" s="7">
        <v>98</v>
      </c>
      <c r="I41" s="7">
        <v>146</v>
      </c>
      <c r="J41" s="54">
        <f>I41*0.97</f>
        <v>141.62</v>
      </c>
      <c r="K41" s="54">
        <f t="shared" ref="K41:N41" si="52">J41*0.97</f>
        <v>137.37139999999999</v>
      </c>
      <c r="L41" s="54">
        <f t="shared" si="52"/>
        <v>133.250258</v>
      </c>
      <c r="M41" s="54">
        <f t="shared" si="52"/>
        <v>129.25275026</v>
      </c>
      <c r="N41" s="54">
        <f t="shared" si="52"/>
        <v>125.3751677522</v>
      </c>
    </row>
    <row r="42" spans="1:14" ht="15" thickTop="1" x14ac:dyDescent="0.3">
      <c r="A42" s="45" t="s">
        <v>129</v>
      </c>
      <c r="B42" s="46" t="str">
        <f t="shared" ref="B42:G42" si="53">+IFERROR(B41/A41-1,"nm")</f>
        <v>nm</v>
      </c>
      <c r="C42" s="46">
        <f t="shared" si="53"/>
        <v>0.16346153846153855</v>
      </c>
      <c r="D42" s="46">
        <f t="shared" si="53"/>
        <v>-7.8512396694214837E-2</v>
      </c>
      <c r="E42" s="46">
        <f t="shared" si="53"/>
        <v>-0.12107623318385652</v>
      </c>
      <c r="F42" s="46">
        <f t="shared" si="53"/>
        <v>-0.40306122448979587</v>
      </c>
      <c r="G42" s="46">
        <f t="shared" si="53"/>
        <v>-5.9829059829059839E-2</v>
      </c>
      <c r="H42" s="46">
        <f>+IFERROR(H41/G41-1,"nm")</f>
        <v>-0.10909090909090913</v>
      </c>
      <c r="I42" s="46">
        <f>+IFERROR(I41/H41-1,"nm")</f>
        <v>0.48979591836734704</v>
      </c>
      <c r="J42" s="46">
        <f t="shared" ref="J42:N42" si="54">+IFERROR(J41/I41-1,"nm")</f>
        <v>-2.9999999999999916E-2</v>
      </c>
      <c r="K42" s="46">
        <f t="shared" si="54"/>
        <v>-3.0000000000000027E-2</v>
      </c>
      <c r="L42" s="46">
        <f t="shared" si="54"/>
        <v>-2.9999999999999916E-2</v>
      </c>
      <c r="M42" s="46">
        <f t="shared" si="54"/>
        <v>-3.0000000000000027E-2</v>
      </c>
      <c r="N42" s="46">
        <f t="shared" si="54"/>
        <v>-3.0000000000000027E-2</v>
      </c>
    </row>
    <row r="43" spans="1:14" x14ac:dyDescent="0.3">
      <c r="A43" s="45" t="s">
        <v>133</v>
      </c>
      <c r="B43" s="46">
        <f t="shared" ref="B43:H43" si="55">+IFERROR(B41/B$18,"nm")</f>
        <v>1.5138282387190683E-2</v>
      </c>
      <c r="C43" s="46">
        <f t="shared" si="55"/>
        <v>1.6391221891086428E-2</v>
      </c>
      <c r="D43" s="46">
        <f t="shared" si="55"/>
        <v>1.4655625657202945E-2</v>
      </c>
      <c r="E43" s="46">
        <f t="shared" si="55"/>
        <v>1.3194210703466847E-2</v>
      </c>
      <c r="F43" s="46">
        <f t="shared" si="55"/>
        <v>7.3575650861526856E-3</v>
      </c>
      <c r="G43" s="46">
        <f t="shared" si="55"/>
        <v>7.5945871306268989E-3</v>
      </c>
      <c r="H43" s="46">
        <f t="shared" si="55"/>
        <v>5.7046393852960009E-3</v>
      </c>
      <c r="I43" s="46">
        <f>+IFERROR(I41/I$18,"nm")</f>
        <v>7.9551027080041418E-3</v>
      </c>
      <c r="J43" s="46">
        <f t="shared" ref="J43:N43" si="56">+IFERROR(J41/J$18,"nm")</f>
        <v>7.2030927828234973E-3</v>
      </c>
      <c r="K43" s="46">
        <f t="shared" si="56"/>
        <v>6.5216771528304176E-3</v>
      </c>
      <c r="L43" s="46">
        <f t="shared" si="56"/>
        <v>5.9042769209551047E-3</v>
      </c>
      <c r="M43" s="46">
        <f t="shared" si="56"/>
        <v>5.3449216606593743E-3</v>
      </c>
      <c r="N43" s="46">
        <f t="shared" si="56"/>
        <v>4.8381935819963792E-3</v>
      </c>
    </row>
    <row r="44" spans="1:14" x14ac:dyDescent="0.3">
      <c r="A44" s="42" t="str">
        <f>+[1]Historicals!A119</f>
        <v>Europe, Middle East &amp; Africa</v>
      </c>
      <c r="B44" s="42"/>
      <c r="C44" s="42"/>
      <c r="D44" s="42"/>
      <c r="E44" s="42"/>
      <c r="F44" s="42"/>
      <c r="G44" s="42"/>
      <c r="H44" s="42"/>
      <c r="I44" s="42"/>
      <c r="J44" s="60"/>
      <c r="K44" s="60"/>
      <c r="L44" s="60"/>
      <c r="M44" s="60"/>
      <c r="N44" s="60"/>
    </row>
    <row r="45" spans="1:14" ht="15" thickBot="1" x14ac:dyDescent="0.35">
      <c r="A45" s="9" t="s">
        <v>136</v>
      </c>
      <c r="B45" s="7">
        <v>7126</v>
      </c>
      <c r="C45" s="7">
        <v>7315</v>
      </c>
      <c r="D45" s="7">
        <v>7698</v>
      </c>
      <c r="E45" s="7">
        <v>9242</v>
      </c>
      <c r="F45" s="7">
        <v>9812</v>
      </c>
      <c r="G45" s="7">
        <v>9347</v>
      </c>
      <c r="H45" s="7">
        <v>11456</v>
      </c>
      <c r="I45" s="7">
        <f t="shared" ref="I45:L45" si="57">I47+I51+I55</f>
        <v>12524</v>
      </c>
      <c r="J45" s="54">
        <f t="shared" si="57"/>
        <v>13727.768</v>
      </c>
      <c r="K45" s="54">
        <f t="shared" si="57"/>
        <v>15072.202352</v>
      </c>
      <c r="L45" s="54">
        <f t="shared" si="57"/>
        <v>16576.161015008001</v>
      </c>
      <c r="M45" s="54">
        <f>M47+M51+M55</f>
        <v>18261.225611767233</v>
      </c>
      <c r="N45" s="54">
        <f>N47+N51+N55</f>
        <v>20152.108827014265</v>
      </c>
    </row>
    <row r="46" spans="1:14" ht="15" thickTop="1" x14ac:dyDescent="0.3">
      <c r="A46" s="43" t="s">
        <v>129</v>
      </c>
      <c r="B46" s="46" t="str">
        <f t="shared" ref="B46:H46" si="58">+IFERROR(B45/A45-1,"nm")</f>
        <v>nm</v>
      </c>
      <c r="C46" s="46">
        <f t="shared" si="58"/>
        <v>2.6522593320235766E-2</v>
      </c>
      <c r="D46" s="46">
        <f t="shared" si="58"/>
        <v>5.2358168147641937E-2</v>
      </c>
      <c r="E46" s="46">
        <f t="shared" si="58"/>
        <v>0.20057157703299566</v>
      </c>
      <c r="F46" s="46">
        <f t="shared" si="58"/>
        <v>6.1674962129409261E-2</v>
      </c>
      <c r="G46" s="46">
        <f t="shared" si="58"/>
        <v>-4.7390949857317621E-2</v>
      </c>
      <c r="H46" s="46">
        <f t="shared" si="58"/>
        <v>0.22563389322777372</v>
      </c>
      <c r="I46" s="46">
        <f>+IFERROR(I45/H45-1,"nm")</f>
        <v>9.3226256983240274E-2</v>
      </c>
      <c r="J46" s="46">
        <f t="shared" ref="J46:N46" si="59">+IFERROR(J45/I45-1,"nm")</f>
        <v>9.611689556052383E-2</v>
      </c>
      <c r="K46" s="46">
        <f t="shared" si="59"/>
        <v>9.7935392847548153E-2</v>
      </c>
      <c r="L46" s="46">
        <f t="shared" si="59"/>
        <v>9.978360347639792E-2</v>
      </c>
      <c r="M46" s="46">
        <f t="shared" si="59"/>
        <v>0.10165590182392537</v>
      </c>
      <c r="N46" s="46">
        <f t="shared" si="59"/>
        <v>0.10354634762458526</v>
      </c>
    </row>
    <row r="47" spans="1:14" ht="15" thickBot="1" x14ac:dyDescent="0.35">
      <c r="A47" s="44" t="s">
        <v>113</v>
      </c>
      <c r="B47" s="7"/>
      <c r="C47" s="7"/>
      <c r="D47" s="7"/>
      <c r="E47" s="7"/>
      <c r="F47" s="6">
        <v>6293</v>
      </c>
      <c r="G47" s="6">
        <v>5892</v>
      </c>
      <c r="H47" s="7">
        <v>6970</v>
      </c>
      <c r="I47" s="7">
        <v>7388</v>
      </c>
      <c r="J47" s="61">
        <f>I47*1.06</f>
        <v>7831.2800000000007</v>
      </c>
      <c r="K47" s="61">
        <f t="shared" ref="K47:M47" si="60">J47*1.06</f>
        <v>8301.1568000000007</v>
      </c>
      <c r="L47" s="61">
        <f t="shared" si="60"/>
        <v>8799.2262080000019</v>
      </c>
      <c r="M47" s="61">
        <f t="shared" si="60"/>
        <v>9327.1797804800026</v>
      </c>
      <c r="N47" s="61">
        <f>M47*1.06</f>
        <v>9886.810567308803</v>
      </c>
    </row>
    <row r="48" spans="1:14" ht="15" thickTop="1" x14ac:dyDescent="0.3">
      <c r="A48" s="43" t="s">
        <v>129</v>
      </c>
      <c r="B48" s="46" t="str">
        <f t="shared" ref="B48:H48" si="61">+IFERROR(B47/A47-1,"nm")</f>
        <v>nm</v>
      </c>
      <c r="C48" s="46" t="str">
        <f t="shared" si="61"/>
        <v>nm</v>
      </c>
      <c r="D48" s="46" t="str">
        <f t="shared" si="61"/>
        <v>nm</v>
      </c>
      <c r="E48" s="46" t="str">
        <f t="shared" si="61"/>
        <v>nm</v>
      </c>
      <c r="F48" s="46" t="str">
        <f t="shared" si="61"/>
        <v>nm</v>
      </c>
      <c r="G48" s="46">
        <f t="shared" si="61"/>
        <v>-6.3721595423486432E-2</v>
      </c>
      <c r="H48" s="46">
        <f t="shared" si="61"/>
        <v>0.18295994568907004</v>
      </c>
      <c r="I48" s="46">
        <f>+IFERROR(I47/H47-1,"nm")</f>
        <v>5.9971305595408975E-2</v>
      </c>
      <c r="J48" s="46">
        <f>+IFERROR(J47/I47-1,"nm")</f>
        <v>6.0000000000000053E-2</v>
      </c>
      <c r="K48" s="46">
        <f t="shared" ref="K48:N48" si="62">+IFERROR(K47/J47-1,"nm")</f>
        <v>6.0000000000000053E-2</v>
      </c>
      <c r="L48" s="46">
        <f t="shared" si="62"/>
        <v>6.0000000000000053E-2</v>
      </c>
      <c r="M48" s="46">
        <f t="shared" si="62"/>
        <v>6.0000000000000053E-2</v>
      </c>
      <c r="N48" s="46">
        <f t="shared" si="62"/>
        <v>6.0000000000000053E-2</v>
      </c>
    </row>
    <row r="49" spans="1:14" x14ac:dyDescent="0.3">
      <c r="A49" s="43" t="s">
        <v>137</v>
      </c>
      <c r="B49" s="46">
        <f>+[1]Historicals!B217</f>
        <v>0</v>
      </c>
      <c r="C49" s="46">
        <f>+[1]Historicals!C217</f>
        <v>0</v>
      </c>
      <c r="D49" s="46">
        <f>+[1]Historicals!D217</f>
        <v>0</v>
      </c>
      <c r="E49" s="46">
        <f>+[1]Historicals!E217</f>
        <v>0</v>
      </c>
      <c r="F49" s="46">
        <f>+[1]Historicals!F217</f>
        <v>0</v>
      </c>
      <c r="G49" s="46">
        <f>+[1]Historicals!G217</f>
        <v>0</v>
      </c>
      <c r="H49" s="46">
        <f>+[1]Historicals!H217</f>
        <v>0</v>
      </c>
      <c r="I49" s="46">
        <f>+[1]Historicals!I217</f>
        <v>0</v>
      </c>
      <c r="J49" s="46">
        <f>+[1]Historicals!J217</f>
        <v>0</v>
      </c>
      <c r="K49" s="46">
        <f>+[1]Historicals!K217</f>
        <v>0</v>
      </c>
      <c r="L49" s="46">
        <f>+[1]Historicals!L217</f>
        <v>0</v>
      </c>
      <c r="M49" s="46">
        <f>+[1]Historicals!M217</f>
        <v>0</v>
      </c>
      <c r="N49" s="46">
        <f>+[1]Historicals!N217</f>
        <v>0</v>
      </c>
    </row>
    <row r="50" spans="1:14" x14ac:dyDescent="0.3">
      <c r="A50" s="43" t="s">
        <v>138</v>
      </c>
      <c r="B50" s="46" t="str">
        <f t="shared" ref="B50:G50" si="63">+IFERROR(B48-B49,"nm")</f>
        <v>nm</v>
      </c>
      <c r="C50" s="46" t="str">
        <f t="shared" si="63"/>
        <v>nm</v>
      </c>
      <c r="D50" s="46" t="str">
        <f t="shared" si="63"/>
        <v>nm</v>
      </c>
      <c r="E50" s="46" t="str">
        <f t="shared" si="63"/>
        <v>nm</v>
      </c>
      <c r="F50" s="46" t="str">
        <f t="shared" si="63"/>
        <v>nm</v>
      </c>
      <c r="G50" s="46">
        <f t="shared" si="63"/>
        <v>-6.3721595423486432E-2</v>
      </c>
      <c r="H50" s="46">
        <f>+IFERROR(H48-H49,"nm")</f>
        <v>0.18295994568907004</v>
      </c>
      <c r="I50" s="46">
        <f>+IFERROR(I48-I49,"nm")</f>
        <v>5.9971305595408975E-2</v>
      </c>
      <c r="J50" s="55">
        <v>-0.09</v>
      </c>
      <c r="K50" s="55">
        <v>-0.09</v>
      </c>
      <c r="L50" s="55">
        <v>-0.09</v>
      </c>
      <c r="M50" s="55">
        <v>-0.09</v>
      </c>
      <c r="N50" s="55">
        <v>-0.09</v>
      </c>
    </row>
    <row r="51" spans="1:14" ht="15" thickBot="1" x14ac:dyDescent="0.35">
      <c r="A51" s="44" t="s">
        <v>114</v>
      </c>
      <c r="B51" s="7"/>
      <c r="C51" s="7"/>
      <c r="D51" s="7"/>
      <c r="E51" s="7"/>
      <c r="F51" s="6">
        <v>3087</v>
      </c>
      <c r="G51" s="6">
        <v>3053</v>
      </c>
      <c r="H51" s="7">
        <f>+[1]Historicals!H144</f>
        <v>3243</v>
      </c>
      <c r="I51" s="7">
        <v>4572</v>
      </c>
      <c r="J51" s="61">
        <f>I51*1.154</f>
        <v>5276.0879999999997</v>
      </c>
      <c r="K51" s="61">
        <f t="shared" ref="K51:N51" si="64">J51*1.154</f>
        <v>6088.6055519999991</v>
      </c>
      <c r="L51" s="61">
        <f t="shared" si="64"/>
        <v>7026.2508070079984</v>
      </c>
      <c r="M51" s="61">
        <f t="shared" si="64"/>
        <v>8108.2934312872294</v>
      </c>
      <c r="N51" s="61">
        <f t="shared" si="64"/>
        <v>9356.970619705462</v>
      </c>
    </row>
    <row r="52" spans="1:14" ht="15" thickTop="1" x14ac:dyDescent="0.3">
      <c r="A52" s="43" t="s">
        <v>129</v>
      </c>
      <c r="B52" s="46" t="str">
        <f t="shared" ref="B52:H52" si="65">+IFERROR(B51/A51-1,"nm")</f>
        <v>nm</v>
      </c>
      <c r="C52" s="46" t="str">
        <f t="shared" si="65"/>
        <v>nm</v>
      </c>
      <c r="D52" s="46" t="str">
        <f t="shared" si="65"/>
        <v>nm</v>
      </c>
      <c r="E52" s="46" t="str">
        <f t="shared" si="65"/>
        <v>nm</v>
      </c>
      <c r="F52" s="46" t="str">
        <f t="shared" si="65"/>
        <v>nm</v>
      </c>
      <c r="G52" s="46">
        <f t="shared" si="65"/>
        <v>-1.1013929381276322E-2</v>
      </c>
      <c r="H52" s="46">
        <f t="shared" si="65"/>
        <v>6.2233868326236452E-2</v>
      </c>
      <c r="I52" s="46">
        <f>+IFERROR(I51/H51-1,"nm")</f>
        <v>0.40980573543015719</v>
      </c>
      <c r="J52" s="46">
        <f>+IFERROR(J51/I51-1,"nm")</f>
        <v>0.15399999999999991</v>
      </c>
      <c r="K52" s="46">
        <f t="shared" ref="K52:N52" si="66">+IFERROR(K51/J51-1,"nm")</f>
        <v>0.15399999999999991</v>
      </c>
      <c r="L52" s="46">
        <f t="shared" si="66"/>
        <v>0.15399999999999991</v>
      </c>
      <c r="M52" s="46">
        <f t="shared" si="66"/>
        <v>0.15399999999999991</v>
      </c>
      <c r="N52" s="46">
        <f t="shared" si="66"/>
        <v>0.15399999999999991</v>
      </c>
    </row>
    <row r="53" spans="1:14" x14ac:dyDescent="0.3">
      <c r="A53" s="43" t="s">
        <v>137</v>
      </c>
      <c r="B53" s="46">
        <f>+[1]Historicals!B221</f>
        <v>0</v>
      </c>
      <c r="C53" s="46">
        <f>+[1]Historicals!C221</f>
        <v>0</v>
      </c>
      <c r="D53" s="46">
        <f>+[1]Historicals!D221</f>
        <v>0</v>
      </c>
      <c r="E53" s="46">
        <f>+[1]Historicals!E221</f>
        <v>0</v>
      </c>
      <c r="F53" s="46">
        <f>+[1]Historicals!F221</f>
        <v>0</v>
      </c>
      <c r="G53" s="46">
        <f>+[1]Historicals!G221</f>
        <v>0</v>
      </c>
      <c r="H53" s="46">
        <f>+[1]Historicals!H221</f>
        <v>0</v>
      </c>
      <c r="I53" s="46">
        <f>+[1]Historicals!I221</f>
        <v>0</v>
      </c>
      <c r="J53" s="46">
        <f>+[1]Historicals!J221</f>
        <v>0</v>
      </c>
      <c r="K53" s="46">
        <f>+[1]Historicals!K221</f>
        <v>0</v>
      </c>
      <c r="L53" s="46">
        <f>+[1]Historicals!L221</f>
        <v>0</v>
      </c>
      <c r="M53" s="46">
        <f>+[1]Historicals!M221</f>
        <v>0</v>
      </c>
      <c r="N53" s="46">
        <f>+[1]Historicals!N221</f>
        <v>0</v>
      </c>
    </row>
    <row r="54" spans="1:14" x14ac:dyDescent="0.3">
      <c r="A54" s="43" t="s">
        <v>138</v>
      </c>
      <c r="B54" s="46" t="str">
        <f t="shared" ref="B54:H54" si="67">+IFERROR(B52-B53,"nm")</f>
        <v>nm</v>
      </c>
      <c r="C54" s="46" t="str">
        <f t="shared" si="67"/>
        <v>nm</v>
      </c>
      <c r="D54" s="46" t="str">
        <f t="shared" si="67"/>
        <v>nm</v>
      </c>
      <c r="E54" s="46" t="str">
        <f t="shared" si="67"/>
        <v>nm</v>
      </c>
      <c r="F54" s="46" t="str">
        <f t="shared" si="67"/>
        <v>nm</v>
      </c>
      <c r="G54" s="46">
        <f t="shared" si="67"/>
        <v>-1.1013929381276322E-2</v>
      </c>
      <c r="H54" s="46">
        <f t="shared" si="67"/>
        <v>6.2233868326236452E-2</v>
      </c>
      <c r="I54" s="46">
        <f>+IFERROR(I52-I53,"nm")</f>
        <v>0.40980573543015719</v>
      </c>
      <c r="J54" s="55">
        <v>-7.2999999999999995E-2</v>
      </c>
      <c r="K54" s="55">
        <v>-7.2999999999999995E-2</v>
      </c>
      <c r="L54" s="55">
        <v>-7.2999999999999995E-2</v>
      </c>
      <c r="M54" s="55">
        <v>-7.2999999999999995E-2</v>
      </c>
      <c r="N54" s="55">
        <v>-7.2999999999999995E-2</v>
      </c>
    </row>
    <row r="55" spans="1:14" ht="15" thickBot="1" x14ac:dyDescent="0.35">
      <c r="A55" s="44" t="s">
        <v>115</v>
      </c>
      <c r="B55" s="7"/>
      <c r="C55" s="7"/>
      <c r="D55" s="7"/>
      <c r="E55" s="7"/>
      <c r="F55" s="6">
        <v>432</v>
      </c>
      <c r="G55" s="6">
        <v>402</v>
      </c>
      <c r="H55" s="7">
        <v>490</v>
      </c>
      <c r="I55" s="7">
        <v>564</v>
      </c>
      <c r="J55" s="61">
        <f>I55*1.1</f>
        <v>620.40000000000009</v>
      </c>
      <c r="K55" s="61">
        <f t="shared" ref="K55:N55" si="68">J55*1.1</f>
        <v>682.44000000000017</v>
      </c>
      <c r="L55" s="61">
        <f t="shared" si="68"/>
        <v>750.6840000000002</v>
      </c>
      <c r="M55" s="61">
        <f t="shared" si="68"/>
        <v>825.75240000000031</v>
      </c>
      <c r="N55" s="61">
        <f t="shared" si="68"/>
        <v>908.32764000000043</v>
      </c>
    </row>
    <row r="56" spans="1:14" ht="15" thickTop="1" x14ac:dyDescent="0.3">
      <c r="A56" s="43" t="s">
        <v>129</v>
      </c>
      <c r="B56" s="46" t="str">
        <f t="shared" ref="B56:H56" si="69">+IFERROR(B55/A55-1,"nm")</f>
        <v>nm</v>
      </c>
      <c r="C56" s="46" t="str">
        <f t="shared" si="69"/>
        <v>nm</v>
      </c>
      <c r="D56" s="46" t="str">
        <f t="shared" si="69"/>
        <v>nm</v>
      </c>
      <c r="E56" s="46" t="str">
        <f t="shared" si="69"/>
        <v>nm</v>
      </c>
      <c r="F56" s="46" t="str">
        <f t="shared" si="69"/>
        <v>nm</v>
      </c>
      <c r="G56" s="46">
        <f t="shared" si="69"/>
        <v>-6.944444444444442E-2</v>
      </c>
      <c r="H56" s="46">
        <f t="shared" si="69"/>
        <v>0.21890547263681581</v>
      </c>
      <c r="I56" s="46">
        <f>+IFERROR(I55/H55-1,"nm")</f>
        <v>0.15102040816326534</v>
      </c>
      <c r="J56" s="46">
        <f t="shared" ref="J56:N56" si="70">+IFERROR(J55/I55-1,"nm")</f>
        <v>0.10000000000000009</v>
      </c>
      <c r="K56" s="46">
        <f t="shared" si="70"/>
        <v>0.10000000000000009</v>
      </c>
      <c r="L56" s="46">
        <f t="shared" si="70"/>
        <v>0.10000000000000009</v>
      </c>
      <c r="M56" s="46">
        <f t="shared" si="70"/>
        <v>0.10000000000000009</v>
      </c>
      <c r="N56" s="46">
        <f t="shared" si="70"/>
        <v>0.10000000000000009</v>
      </c>
    </row>
    <row r="57" spans="1:14" x14ac:dyDescent="0.3">
      <c r="A57" s="43" t="s">
        <v>137</v>
      </c>
      <c r="B57" s="46">
        <f>+[1]Historicals!B219</f>
        <v>0</v>
      </c>
      <c r="C57" s="46">
        <f>+[1]Historicals!C219</f>
        <v>0</v>
      </c>
      <c r="D57" s="46">
        <f>+[1]Historicals!D219</f>
        <v>0</v>
      </c>
      <c r="E57" s="46">
        <f>+[1]Historicals!E219</f>
        <v>0</v>
      </c>
      <c r="F57" s="46">
        <f>+[1]Historicals!F219</f>
        <v>0</v>
      </c>
      <c r="G57" s="46">
        <f>+[1]Historicals!G219</f>
        <v>0</v>
      </c>
      <c r="H57" s="46">
        <f>+[1]Historicals!H219</f>
        <v>0</v>
      </c>
      <c r="I57" s="46">
        <f>+[1]Historicals!I219</f>
        <v>0</v>
      </c>
      <c r="J57" s="46">
        <f>+[1]Historicals!J219</f>
        <v>0</v>
      </c>
      <c r="K57" s="46">
        <f>+[1]Historicals!K219</f>
        <v>0</v>
      </c>
      <c r="L57" s="46">
        <f>+[1]Historicals!L219</f>
        <v>0</v>
      </c>
      <c r="M57" s="46">
        <f>+[1]Historicals!M219</f>
        <v>0</v>
      </c>
      <c r="N57" s="46">
        <f>+[1]Historicals!N219</f>
        <v>0</v>
      </c>
    </row>
    <row r="58" spans="1:14" x14ac:dyDescent="0.3">
      <c r="A58" s="43" t="s">
        <v>138</v>
      </c>
      <c r="B58" s="46" t="str">
        <f t="shared" ref="B58:H58" si="71">+IFERROR(B56-B57,"nm")</f>
        <v>nm</v>
      </c>
      <c r="C58" s="46" t="str">
        <f t="shared" si="71"/>
        <v>nm</v>
      </c>
      <c r="D58" s="46" t="str">
        <f t="shared" si="71"/>
        <v>nm</v>
      </c>
      <c r="E58" s="46" t="str">
        <f t="shared" si="71"/>
        <v>nm</v>
      </c>
      <c r="F58" s="46" t="str">
        <f t="shared" si="71"/>
        <v>nm</v>
      </c>
      <c r="G58" s="46">
        <f t="shared" si="71"/>
        <v>-6.944444444444442E-2</v>
      </c>
      <c r="H58" s="46">
        <f t="shared" si="71"/>
        <v>0.21890547263681581</v>
      </c>
      <c r="I58" s="46">
        <f>+IFERROR(I56-I57,"nm")</f>
        <v>0.15102040816326534</v>
      </c>
      <c r="J58" s="55">
        <v>-0.99199999999999999</v>
      </c>
      <c r="K58" s="55">
        <v>-0.99199999999999999</v>
      </c>
      <c r="L58" s="55">
        <v>-0.99199999999999999</v>
      </c>
      <c r="M58" s="55">
        <v>-0.99199999999999999</v>
      </c>
      <c r="N58" s="55">
        <v>-0.99199999999999999</v>
      </c>
    </row>
    <row r="59" spans="1:14" ht="15" thickBot="1" x14ac:dyDescent="0.35">
      <c r="A59" s="9" t="s">
        <v>130</v>
      </c>
      <c r="B59" s="56">
        <f>+B65+B62</f>
        <v>1611</v>
      </c>
      <c r="C59" s="56">
        <f>+C65+C62</f>
        <v>1808</v>
      </c>
      <c r="D59" s="56">
        <f t="shared" ref="D59:F59" si="72">+D65+D62</f>
        <v>1613</v>
      </c>
      <c r="E59" s="56">
        <f>+E65+E62</f>
        <v>1703</v>
      </c>
      <c r="F59" s="56">
        <f t="shared" si="72"/>
        <v>2106</v>
      </c>
      <c r="G59" s="56">
        <f>+G65+G62</f>
        <v>1673</v>
      </c>
      <c r="H59" s="56">
        <f>+H65+H62</f>
        <v>813</v>
      </c>
      <c r="I59" s="56">
        <f>+I65+I62</f>
        <v>833</v>
      </c>
      <c r="J59" s="61">
        <f>0.945*I59</f>
        <v>787.18499999999995</v>
      </c>
      <c r="K59" s="61">
        <f t="shared" ref="K59" si="73">0.945*J59</f>
        <v>743.88982499999986</v>
      </c>
      <c r="L59" s="61">
        <f>L62+L65</f>
        <v>740.57621893399971</v>
      </c>
      <c r="M59" s="61">
        <f>M62+M65</f>
        <v>716.10466178907768</v>
      </c>
      <c r="N59" s="61">
        <f>N62+N65</f>
        <v>694.6299888087409</v>
      </c>
    </row>
    <row r="60" spans="1:14" ht="15" thickTop="1" x14ac:dyDescent="0.3">
      <c r="A60" s="45" t="s">
        <v>129</v>
      </c>
      <c r="B60" s="46" t="str">
        <f t="shared" ref="B60:H60" si="74">+IFERROR(B59/A59-1,"nm")</f>
        <v>nm</v>
      </c>
      <c r="C60" s="46">
        <f t="shared" si="74"/>
        <v>0.12228429546865294</v>
      </c>
      <c r="D60" s="46">
        <f t="shared" si="74"/>
        <v>-0.10785398230088494</v>
      </c>
      <c r="E60" s="46">
        <f t="shared" si="74"/>
        <v>5.5796652200867936E-2</v>
      </c>
      <c r="F60" s="46">
        <f t="shared" si="74"/>
        <v>0.23664122137404586</v>
      </c>
      <c r="G60" s="46">
        <f t="shared" si="74"/>
        <v>-0.20560303893637222</v>
      </c>
      <c r="H60" s="46">
        <f t="shared" si="74"/>
        <v>-0.51404662283323366</v>
      </c>
      <c r="I60" s="46">
        <f>+IFERROR(I59/H59-1,"nm")</f>
        <v>2.4600246002460135E-2</v>
      </c>
      <c r="J60" s="46">
        <f>+IFERROR(J59/I59-1,"nm")</f>
        <v>-5.5000000000000049E-2</v>
      </c>
      <c r="K60" s="46">
        <f t="shared" ref="K60:N60" si="75">+IFERROR(K59/J59-1,"nm")</f>
        <v>-5.500000000000016E-2</v>
      </c>
      <c r="L60" s="46">
        <f t="shared" si="75"/>
        <v>-4.4544312270975439E-3</v>
      </c>
      <c r="M60" s="46">
        <f t="shared" si="75"/>
        <v>-3.3043941351704298E-2</v>
      </c>
      <c r="N60" s="46">
        <f t="shared" si="75"/>
        <v>-2.998817648622143E-2</v>
      </c>
    </row>
    <row r="61" spans="1:14" x14ac:dyDescent="0.3">
      <c r="A61" s="45" t="s">
        <v>131</v>
      </c>
      <c r="B61" s="46">
        <f t="shared" ref="B61:H61" si="76">+IFERROR(B59/B$18,"nm")</f>
        <v>0.11724890829694323</v>
      </c>
      <c r="C61" s="46">
        <f t="shared" si="76"/>
        <v>0.12246003793010024</v>
      </c>
      <c r="D61" s="46">
        <f t="shared" si="76"/>
        <v>0.10600683491062039</v>
      </c>
      <c r="E61" s="46">
        <f t="shared" si="76"/>
        <v>0.11464153483675531</v>
      </c>
      <c r="F61" s="46">
        <f t="shared" si="76"/>
        <v>0.13243617155074833</v>
      </c>
      <c r="G61" s="46">
        <f t="shared" si="76"/>
        <v>0.11550676608671638</v>
      </c>
      <c r="H61" s="46">
        <f t="shared" si="76"/>
        <v>4.7325222655567843E-2</v>
      </c>
      <c r="I61" s="46">
        <f>+IFERROR(I59/I$18,"nm")</f>
        <v>4.5387675039503077E-2</v>
      </c>
      <c r="J61" s="46">
        <f t="shared" ref="J61:N61" si="77">+IFERROR(J59/J$18,"nm")</f>
        <v>4.0037894310456956E-2</v>
      </c>
      <c r="K61" s="46">
        <f t="shared" si="77"/>
        <v>3.5316006650041545E-2</v>
      </c>
      <c r="L61" s="46">
        <f t="shared" si="77"/>
        <v>3.2814698772742408E-2</v>
      </c>
      <c r="M61" s="46">
        <f t="shared" si="77"/>
        <v>2.9612703098358013E-2</v>
      </c>
      <c r="N61" s="46">
        <f t="shared" si="77"/>
        <v>2.6805582109840843E-2</v>
      </c>
    </row>
    <row r="62" spans="1:14" ht="15" thickBot="1" x14ac:dyDescent="0.35">
      <c r="A62" s="9" t="s">
        <v>132</v>
      </c>
      <c r="B62" s="7">
        <v>87</v>
      </c>
      <c r="C62" s="7">
        <v>85</v>
      </c>
      <c r="D62" s="7">
        <v>106</v>
      </c>
      <c r="E62" s="7">
        <v>116</v>
      </c>
      <c r="F62" s="7">
        <v>111</v>
      </c>
      <c r="G62" s="7">
        <v>132</v>
      </c>
      <c r="H62" s="7">
        <v>136</v>
      </c>
      <c r="I62" s="7">
        <v>134</v>
      </c>
      <c r="J62" s="61">
        <f>1.069*I62</f>
        <v>143.24599999999998</v>
      </c>
      <c r="K62" s="61">
        <f t="shared" ref="K62:N62" si="78">1.069*J62</f>
        <v>153.12997399999998</v>
      </c>
      <c r="L62" s="61">
        <f t="shared" si="78"/>
        <v>163.69594220599996</v>
      </c>
      <c r="M62" s="61">
        <f t="shared" si="78"/>
        <v>174.99096221821395</v>
      </c>
      <c r="N62" s="61">
        <f t="shared" si="78"/>
        <v>187.0653386112707</v>
      </c>
    </row>
    <row r="63" spans="1:14" ht="15" thickTop="1" x14ac:dyDescent="0.3">
      <c r="A63" s="45" t="s">
        <v>129</v>
      </c>
      <c r="B63" s="46" t="str">
        <f t="shared" ref="B63:H63" si="79">+IFERROR(B62/A62-1,"nm")</f>
        <v>nm</v>
      </c>
      <c r="C63" s="46">
        <f t="shared" si="79"/>
        <v>-2.2988505747126409E-2</v>
      </c>
      <c r="D63" s="46">
        <f t="shared" si="79"/>
        <v>0.24705882352941178</v>
      </c>
      <c r="E63" s="46">
        <f t="shared" si="79"/>
        <v>9.4339622641509413E-2</v>
      </c>
      <c r="F63" s="46">
        <f t="shared" si="79"/>
        <v>-4.31034482758621E-2</v>
      </c>
      <c r="G63" s="46">
        <f t="shared" si="79"/>
        <v>0.18918918918918926</v>
      </c>
      <c r="H63" s="46">
        <f t="shared" si="79"/>
        <v>3.0303030303030276E-2</v>
      </c>
      <c r="I63" s="46">
        <f>+IFERROR(I62/H62-1,"nm")</f>
        <v>-1.4705882352941124E-2</v>
      </c>
      <c r="J63" s="46">
        <f t="shared" ref="J63:N63" si="80">+IFERROR(J62/I62-1,"nm")</f>
        <v>6.899999999999995E-2</v>
      </c>
      <c r="K63" s="46">
        <f t="shared" si="80"/>
        <v>6.899999999999995E-2</v>
      </c>
      <c r="L63" s="46">
        <f t="shared" si="80"/>
        <v>6.899999999999995E-2</v>
      </c>
      <c r="M63" s="46">
        <f t="shared" si="80"/>
        <v>6.899999999999995E-2</v>
      </c>
      <c r="N63" s="46">
        <f t="shared" si="80"/>
        <v>6.899999999999995E-2</v>
      </c>
    </row>
    <row r="64" spans="1:14" x14ac:dyDescent="0.3">
      <c r="A64" s="45" t="s">
        <v>133</v>
      </c>
      <c r="B64" s="46">
        <f t="shared" ref="B64:H64" si="81">+IFERROR(B62/B$18,"nm")</f>
        <v>6.3318777292576418E-3</v>
      </c>
      <c r="C64" s="46">
        <f t="shared" si="81"/>
        <v>5.7572473584394475E-3</v>
      </c>
      <c r="D64" s="46">
        <f t="shared" si="81"/>
        <v>6.9663512092534175E-3</v>
      </c>
      <c r="E64" s="46">
        <f t="shared" si="81"/>
        <v>7.808818579602827E-3</v>
      </c>
      <c r="F64" s="46">
        <f t="shared" si="81"/>
        <v>6.9802540560935733E-3</v>
      </c>
      <c r="G64" s="46">
        <f t="shared" si="81"/>
        <v>9.1135045567522777E-3</v>
      </c>
      <c r="H64" s="46">
        <f t="shared" si="81"/>
        <v>7.9166424122475119E-3</v>
      </c>
      <c r="I64" s="46">
        <f>+IFERROR(I62/I$18,"nm")</f>
        <v>7.3012586498120199E-3</v>
      </c>
      <c r="J64" s="46">
        <f>+IFERROR(J62/J$18,"nm")</f>
        <v>7.2857945824624671E-3</v>
      </c>
      <c r="K64" s="46">
        <f t="shared" ref="K64:N64" si="82">+IFERROR(K62/K$18,"nm")</f>
        <v>7.2698120048956026E-3</v>
      </c>
      <c r="L64" s="46">
        <f t="shared" si="82"/>
        <v>7.2533155892342532E-3</v>
      </c>
      <c r="M64" s="46">
        <f t="shared" si="82"/>
        <v>7.2363101171798458E-3</v>
      </c>
      <c r="N64" s="46">
        <f t="shared" si="82"/>
        <v>7.2188004762781107E-3</v>
      </c>
    </row>
    <row r="65" spans="1:14" ht="15" thickBot="1" x14ac:dyDescent="0.35">
      <c r="A65" s="9" t="s">
        <v>134</v>
      </c>
      <c r="B65" s="7">
        <v>1524</v>
      </c>
      <c r="C65" s="7">
        <v>1723</v>
      </c>
      <c r="D65" s="7">
        <v>1507</v>
      </c>
      <c r="E65" s="7">
        <v>1587</v>
      </c>
      <c r="F65" s="7">
        <v>1995</v>
      </c>
      <c r="G65" s="7">
        <v>1541</v>
      </c>
      <c r="H65" s="7">
        <f>+[1]Historicals!H171</f>
        <v>677</v>
      </c>
      <c r="I65" s="7">
        <f>+[1]Historicals!I171</f>
        <v>699</v>
      </c>
      <c r="J65" s="61">
        <f>0.938*I65</f>
        <v>655.66199999999992</v>
      </c>
      <c r="K65" s="61">
        <f t="shared" ref="K65:N65" si="83">0.938*J65</f>
        <v>615.01095599999985</v>
      </c>
      <c r="L65" s="61">
        <f t="shared" si="83"/>
        <v>576.88027672799979</v>
      </c>
      <c r="M65" s="61">
        <f t="shared" si="83"/>
        <v>541.11369957086379</v>
      </c>
      <c r="N65" s="61">
        <f t="shared" si="83"/>
        <v>507.5646501974702</v>
      </c>
    </row>
    <row r="66" spans="1:14" ht="15" thickTop="1" x14ac:dyDescent="0.3">
      <c r="A66" s="45" t="s">
        <v>129</v>
      </c>
      <c r="B66" s="46" t="str">
        <f t="shared" ref="B66:H66" si="84">+IFERROR(B65/A65-1,"nm")</f>
        <v>nm</v>
      </c>
      <c r="C66" s="46">
        <f t="shared" si="84"/>
        <v>0.13057742782152237</v>
      </c>
      <c r="D66" s="46">
        <f t="shared" si="84"/>
        <v>-0.12536273940800924</v>
      </c>
      <c r="E66" s="46">
        <f t="shared" si="84"/>
        <v>5.3085600530855981E-2</v>
      </c>
      <c r="F66" s="46">
        <f t="shared" si="84"/>
        <v>0.25708884688090738</v>
      </c>
      <c r="G66" s="46">
        <f t="shared" si="84"/>
        <v>-0.22756892230576442</v>
      </c>
      <c r="H66" s="46">
        <f t="shared" si="84"/>
        <v>-0.56067488643737828</v>
      </c>
      <c r="I66" s="46">
        <f>+IFERROR(I65/H65-1,"nm")</f>
        <v>3.2496307237813937E-2</v>
      </c>
      <c r="J66" s="46">
        <f>+IFERROR(J65/I65-1,"nm")</f>
        <v>-6.2000000000000166E-2</v>
      </c>
      <c r="K66" s="46">
        <f t="shared" ref="K66:N66" si="85">+IFERROR(K65/J65-1,"nm")</f>
        <v>-6.2000000000000166E-2</v>
      </c>
      <c r="L66" s="46">
        <f t="shared" si="85"/>
        <v>-6.2000000000000166E-2</v>
      </c>
      <c r="M66" s="46">
        <f t="shared" si="85"/>
        <v>-6.2000000000000055E-2</v>
      </c>
      <c r="N66" s="46">
        <f t="shared" si="85"/>
        <v>-6.2000000000000055E-2</v>
      </c>
    </row>
    <row r="67" spans="1:14" x14ac:dyDescent="0.3">
      <c r="A67" s="45" t="s">
        <v>131</v>
      </c>
      <c r="B67" s="46">
        <f t="shared" ref="B67:H67" si="86">+IFERROR(B65/B$18,"nm")</f>
        <v>0.11091703056768559</v>
      </c>
      <c r="C67" s="46">
        <f t="shared" si="86"/>
        <v>0.1167027905716608</v>
      </c>
      <c r="D67" s="46">
        <f t="shared" si="86"/>
        <v>9.9040483701366977E-2</v>
      </c>
      <c r="E67" s="46">
        <f t="shared" si="86"/>
        <v>0.10683271625715247</v>
      </c>
      <c r="F67" s="46">
        <f t="shared" si="86"/>
        <v>0.12545591749465476</v>
      </c>
      <c r="G67" s="46">
        <f t="shared" si="86"/>
        <v>0.1063932615299641</v>
      </c>
      <c r="H67" s="46">
        <f t="shared" si="86"/>
        <v>3.9408580243320335E-2</v>
      </c>
      <c r="I67" s="46">
        <f>+IFERROR(I65/I$18,"nm")</f>
        <v>3.8086416389691062E-2</v>
      </c>
      <c r="J67" s="46">
        <f t="shared" ref="J67:N67" si="87">+IFERROR(J65/J$18,"nm")</f>
        <v>3.3348356306818386E-2</v>
      </c>
      <c r="K67" s="46">
        <f t="shared" si="87"/>
        <v>2.919751054794224E-2</v>
      </c>
      <c r="L67" s="46">
        <f t="shared" si="87"/>
        <v>2.5561383183508157E-2</v>
      </c>
      <c r="M67" s="46">
        <f t="shared" si="87"/>
        <v>2.2376392981178172E-2</v>
      </c>
      <c r="N67" s="46">
        <f t="shared" si="87"/>
        <v>1.9586781633562731E-2</v>
      </c>
    </row>
    <row r="68" spans="1:14" ht="15" thickBot="1" x14ac:dyDescent="0.35">
      <c r="A68" s="9" t="s">
        <v>135</v>
      </c>
      <c r="B68" s="7">
        <v>236</v>
      </c>
      <c r="C68" s="7">
        <v>232</v>
      </c>
      <c r="D68" s="7">
        <v>173</v>
      </c>
      <c r="E68" s="7">
        <v>240</v>
      </c>
      <c r="F68" s="7">
        <v>233</v>
      </c>
      <c r="G68" s="7">
        <v>139</v>
      </c>
      <c r="H68" s="7">
        <v>153</v>
      </c>
      <c r="I68" s="7">
        <v>197</v>
      </c>
      <c r="J68" s="61">
        <f>I68*1.01</f>
        <v>198.97</v>
      </c>
      <c r="K68" s="61">
        <f t="shared" ref="K68:N68" si="88">J68*1.01</f>
        <v>200.9597</v>
      </c>
      <c r="L68" s="61">
        <f t="shared" si="88"/>
        <v>202.96929700000001</v>
      </c>
      <c r="M68" s="61">
        <f t="shared" si="88"/>
        <v>204.99898997000003</v>
      </c>
      <c r="N68" s="61">
        <f t="shared" si="88"/>
        <v>207.04897986970002</v>
      </c>
    </row>
    <row r="69" spans="1:14" ht="15" thickTop="1" x14ac:dyDescent="0.3">
      <c r="A69" s="45" t="s">
        <v>129</v>
      </c>
      <c r="B69" s="46" t="str">
        <f t="shared" ref="B69:H69" si="89">+IFERROR(B68/A68-1,"nm")</f>
        <v>nm</v>
      </c>
      <c r="C69" s="46">
        <f t="shared" si="89"/>
        <v>-1.6949152542372836E-2</v>
      </c>
      <c r="D69" s="46">
        <f t="shared" si="89"/>
        <v>-0.25431034482758619</v>
      </c>
      <c r="E69" s="46">
        <f t="shared" si="89"/>
        <v>0.38728323699421963</v>
      </c>
      <c r="F69" s="46">
        <f t="shared" si="89"/>
        <v>-2.9166666666666674E-2</v>
      </c>
      <c r="G69" s="46">
        <f t="shared" si="89"/>
        <v>-0.40343347639484983</v>
      </c>
      <c r="H69" s="46">
        <f t="shared" si="89"/>
        <v>0.10071942446043169</v>
      </c>
      <c r="I69" s="46">
        <f>+IFERROR(I68/H68-1,"nm")</f>
        <v>0.28758169934640532</v>
      </c>
      <c r="J69" s="46">
        <f t="shared" ref="J69:N69" si="90">+IFERROR(J68/I68-1,"nm")</f>
        <v>1.0000000000000009E-2</v>
      </c>
      <c r="K69" s="46">
        <f t="shared" si="90"/>
        <v>1.0000000000000009E-2</v>
      </c>
      <c r="L69" s="46">
        <f t="shared" si="90"/>
        <v>1.0000000000000009E-2</v>
      </c>
      <c r="M69" s="46">
        <f t="shared" si="90"/>
        <v>1.0000000000000009E-2</v>
      </c>
      <c r="N69" s="46">
        <f t="shared" si="90"/>
        <v>1.0000000000000009E-2</v>
      </c>
    </row>
    <row r="70" spans="1:14" x14ac:dyDescent="0.3">
      <c r="A70" s="45" t="s">
        <v>133</v>
      </c>
      <c r="B70" s="46">
        <f t="shared" ref="B70:H70" si="91">+IFERROR(B68/B$18,"nm")</f>
        <v>1.717612809315866E-2</v>
      </c>
      <c r="C70" s="46">
        <f t="shared" si="91"/>
        <v>1.5713898672446491E-2</v>
      </c>
      <c r="D70" s="46">
        <f t="shared" si="91"/>
        <v>1.1369610935856993E-2</v>
      </c>
      <c r="E70" s="46">
        <f t="shared" si="91"/>
        <v>1.6156176371592057E-2</v>
      </c>
      <c r="F70" s="46">
        <f t="shared" si="91"/>
        <v>1.4652245000628852E-2</v>
      </c>
      <c r="G70" s="46">
        <f t="shared" si="91"/>
        <v>9.5967964650648992E-3</v>
      </c>
      <c r="H70" s="46">
        <f t="shared" si="91"/>
        <v>8.9062227137784496E-3</v>
      </c>
      <c r="I70" s="62">
        <f>+IFERROR(I68/I$18,"nm")</f>
        <v>1.0733939955320656E-2</v>
      </c>
      <c r="J70" s="62">
        <f t="shared" ref="J70:N70" si="92">+IFERROR(J68/J$18,"nm")</f>
        <v>1.0120035100963079E-2</v>
      </c>
      <c r="K70" s="62">
        <f t="shared" si="92"/>
        <v>9.5405177797536819E-3</v>
      </c>
      <c r="L70" s="62">
        <f t="shared" si="92"/>
        <v>8.9935055580874172E-3</v>
      </c>
      <c r="M70" s="62">
        <f t="shared" si="92"/>
        <v>8.4772164592232715E-3</v>
      </c>
      <c r="N70" s="62">
        <f t="shared" si="92"/>
        <v>7.9899637505920877E-3</v>
      </c>
    </row>
    <row r="71" spans="1:14" x14ac:dyDescent="0.3">
      <c r="A71" s="63" t="s">
        <v>102</v>
      </c>
    </row>
    <row r="72" spans="1:14" ht="15" thickBot="1" x14ac:dyDescent="0.35">
      <c r="A72" s="9" t="s">
        <v>136</v>
      </c>
      <c r="B72" s="7">
        <v>3067</v>
      </c>
      <c r="C72" s="7">
        <v>3785</v>
      </c>
      <c r="D72" s="7">
        <v>4237</v>
      </c>
      <c r="E72" s="7">
        <v>5134</v>
      </c>
      <c r="F72" s="7">
        <v>6208</v>
      </c>
      <c r="G72" s="7">
        <v>6679</v>
      </c>
      <c r="H72" s="7">
        <v>8290</v>
      </c>
      <c r="I72" s="7">
        <v>7547</v>
      </c>
      <c r="J72" s="64">
        <f>I72*1.143</f>
        <v>8626.2209999999995</v>
      </c>
      <c r="K72" s="64">
        <f t="shared" ref="K72:N72" si="93">J72*1.143</f>
        <v>9859.770602999999</v>
      </c>
      <c r="L72" s="64">
        <f t="shared" si="93"/>
        <v>11269.717799229</v>
      </c>
      <c r="M72" s="64">
        <f t="shared" si="93"/>
        <v>12881.287444518746</v>
      </c>
      <c r="N72" s="64">
        <f t="shared" si="93"/>
        <v>14723.311549084927</v>
      </c>
    </row>
    <row r="73" spans="1:14" ht="15" thickTop="1" x14ac:dyDescent="0.3">
      <c r="A73" s="43" t="s">
        <v>129</v>
      </c>
      <c r="B73" s="46" t="str">
        <f t="shared" ref="B73:H73" si="94">+IFERROR(B72/A72-1,"nm")</f>
        <v>nm</v>
      </c>
      <c r="C73" s="46">
        <f t="shared" si="94"/>
        <v>0.23410498858819695</v>
      </c>
      <c r="D73" s="46">
        <f t="shared" si="94"/>
        <v>0.11941875825627468</v>
      </c>
      <c r="E73" s="46">
        <f t="shared" si="94"/>
        <v>0.21170639603493036</v>
      </c>
      <c r="F73" s="46">
        <f t="shared" si="94"/>
        <v>0.20919361121932223</v>
      </c>
      <c r="G73" s="46">
        <f t="shared" si="94"/>
        <v>7.5869845360824639E-2</v>
      </c>
      <c r="H73" s="46">
        <f t="shared" si="94"/>
        <v>0.24120377301991325</v>
      </c>
      <c r="I73" s="46">
        <f>+IFERROR(I72/H72-1,"nm")</f>
        <v>-8.9626055488540413E-2</v>
      </c>
    </row>
    <row r="74" spans="1:14" ht="15" thickBot="1" x14ac:dyDescent="0.35">
      <c r="A74" s="44" t="s">
        <v>113</v>
      </c>
      <c r="B74" s="7"/>
      <c r="C74" s="7"/>
      <c r="D74" s="7"/>
      <c r="E74" s="7"/>
      <c r="F74" s="1">
        <v>4262</v>
      </c>
      <c r="G74" s="1">
        <v>4635</v>
      </c>
      <c r="H74" s="65">
        <v>5748</v>
      </c>
      <c r="I74" s="65">
        <v>5416</v>
      </c>
      <c r="J74" s="66">
        <f>I74*1.09</f>
        <v>5903.4400000000005</v>
      </c>
      <c r="K74" s="66">
        <f t="shared" ref="K74:N74" si="95">J74*1.09</f>
        <v>6434.749600000001</v>
      </c>
      <c r="L74" s="66">
        <f t="shared" si="95"/>
        <v>7013.8770640000021</v>
      </c>
      <c r="M74" s="66">
        <f t="shared" si="95"/>
        <v>7645.1259997600027</v>
      </c>
      <c r="N74" s="66">
        <f t="shared" si="95"/>
        <v>8333.1873397384043</v>
      </c>
    </row>
    <row r="75" spans="1:14" ht="15" thickTop="1" x14ac:dyDescent="0.3">
      <c r="A75" s="43" t="s">
        <v>129</v>
      </c>
      <c r="B75" s="46" t="str">
        <f t="shared" ref="B75:H75" si="96">+IFERROR(B74/A74-1,"nm")</f>
        <v>nm</v>
      </c>
      <c r="C75" s="46" t="str">
        <f t="shared" si="96"/>
        <v>nm</v>
      </c>
      <c r="D75" s="46" t="str">
        <f t="shared" si="96"/>
        <v>nm</v>
      </c>
      <c r="E75" s="46" t="str">
        <f t="shared" si="96"/>
        <v>nm</v>
      </c>
      <c r="F75" s="46" t="str">
        <f t="shared" si="96"/>
        <v>nm</v>
      </c>
      <c r="G75" s="46">
        <f t="shared" si="96"/>
        <v>8.7517597372125833E-2</v>
      </c>
      <c r="H75" s="46">
        <f t="shared" si="96"/>
        <v>0.24012944983818763</v>
      </c>
      <c r="I75" s="46">
        <f>+IFERROR(I74/H74-1,"nm")</f>
        <v>-5.7759220598469052E-2</v>
      </c>
    </row>
    <row r="76" spans="1:14" x14ac:dyDescent="0.3">
      <c r="A76" s="43" t="s">
        <v>137</v>
      </c>
      <c r="B76" s="46">
        <f>+[1]Historicals!B244</f>
        <v>0</v>
      </c>
      <c r="C76" s="46">
        <f>+[1]Historicals!C244</f>
        <v>0</v>
      </c>
      <c r="D76" s="46">
        <f>+[1]Historicals!D244</f>
        <v>0</v>
      </c>
      <c r="E76" s="46">
        <f>+[1]Historicals!E244</f>
        <v>0</v>
      </c>
      <c r="F76" s="46">
        <f>+[1]Historicals!F244</f>
        <v>0</v>
      </c>
      <c r="G76" s="46">
        <f>+[1]Historicals!G244</f>
        <v>0</v>
      </c>
      <c r="H76" s="46">
        <f>+[1]Historicals!H244</f>
        <v>0</v>
      </c>
      <c r="I76" s="46">
        <f>+[1]Historicals!I244</f>
        <v>0</v>
      </c>
    </row>
    <row r="77" spans="1:14" x14ac:dyDescent="0.3">
      <c r="A77" s="43" t="s">
        <v>138</v>
      </c>
      <c r="B77" s="46" t="str">
        <f t="shared" ref="B77:G77" si="97">+IFERROR(B75-B76,"nm")</f>
        <v>nm</v>
      </c>
      <c r="C77" s="46" t="str">
        <f t="shared" si="97"/>
        <v>nm</v>
      </c>
      <c r="D77" s="46" t="str">
        <f t="shared" si="97"/>
        <v>nm</v>
      </c>
      <c r="E77" s="46" t="str">
        <f t="shared" si="97"/>
        <v>nm</v>
      </c>
      <c r="F77" s="46" t="str">
        <f t="shared" si="97"/>
        <v>nm</v>
      </c>
      <c r="G77" s="46">
        <f t="shared" si="97"/>
        <v>8.7517597372125833E-2</v>
      </c>
      <c r="H77" s="46">
        <f>+IFERROR(H75-H76,"nm")</f>
        <v>0.24012944983818763</v>
      </c>
      <c r="I77" s="46">
        <f>+IFERROR(I75-I76,"nm")</f>
        <v>-5.7759220598469052E-2</v>
      </c>
    </row>
    <row r="78" spans="1:14" ht="15" thickBot="1" x14ac:dyDescent="0.35">
      <c r="A78" s="44" t="s">
        <v>114</v>
      </c>
      <c r="B78" s="7"/>
      <c r="C78" s="7"/>
      <c r="D78" s="7"/>
      <c r="E78" s="7"/>
      <c r="F78" s="1">
        <v>1808</v>
      </c>
      <c r="G78" s="1">
        <v>1896</v>
      </c>
      <c r="H78" s="65">
        <v>2347</v>
      </c>
      <c r="I78" s="65">
        <v>1938</v>
      </c>
      <c r="J78" s="66">
        <f>I78*1.037</f>
        <v>2009.7059999999999</v>
      </c>
      <c r="K78" s="66">
        <f t="shared" ref="K78:N78" si="98">J78*1.037</f>
        <v>2084.0651219999995</v>
      </c>
      <c r="L78" s="66">
        <f t="shared" si="98"/>
        <v>2161.1755315139994</v>
      </c>
      <c r="M78" s="66">
        <f t="shared" si="98"/>
        <v>2241.139026180017</v>
      </c>
      <c r="N78" s="66">
        <f t="shared" si="98"/>
        <v>2324.0611701486773</v>
      </c>
    </row>
    <row r="79" spans="1:14" ht="15" thickTop="1" x14ac:dyDescent="0.3">
      <c r="A79" s="43" t="s">
        <v>129</v>
      </c>
      <c r="B79" s="46" t="str">
        <f t="shared" ref="B79:H79" si="99">+IFERROR(B78/A78-1,"nm")</f>
        <v>nm</v>
      </c>
      <c r="C79" s="46" t="str">
        <f t="shared" si="99"/>
        <v>nm</v>
      </c>
      <c r="D79" s="46" t="str">
        <f t="shared" si="99"/>
        <v>nm</v>
      </c>
      <c r="E79" s="46" t="str">
        <f t="shared" si="99"/>
        <v>nm</v>
      </c>
      <c r="F79" s="46" t="str">
        <f t="shared" si="99"/>
        <v>nm</v>
      </c>
      <c r="G79" s="46">
        <f t="shared" si="99"/>
        <v>4.8672566371681381E-2</v>
      </c>
      <c r="H79" s="46">
        <f t="shared" si="99"/>
        <v>0.2378691983122363</v>
      </c>
      <c r="I79" s="46">
        <f>+IFERROR(I78/H78-1,"nm")</f>
        <v>-0.17426501917341286</v>
      </c>
    </row>
    <row r="80" spans="1:14" x14ac:dyDescent="0.3">
      <c r="A80" s="43" t="s">
        <v>137</v>
      </c>
      <c r="B80" s="46">
        <f>+[1]Historicals!B248</f>
        <v>0</v>
      </c>
      <c r="C80" s="46">
        <f>+[1]Historicals!C248</f>
        <v>0</v>
      </c>
      <c r="D80" s="46">
        <f>+[1]Historicals!D248</f>
        <v>0</v>
      </c>
      <c r="E80" s="46">
        <f>+[1]Historicals!E248</f>
        <v>0</v>
      </c>
      <c r="F80" s="46">
        <f>+[1]Historicals!F248</f>
        <v>0</v>
      </c>
      <c r="G80" s="46">
        <f>+[1]Historicals!G248</f>
        <v>0</v>
      </c>
      <c r="H80" s="46">
        <f>+[1]Historicals!H248</f>
        <v>0</v>
      </c>
      <c r="I80" s="46">
        <f>+[1]Historicals!I248</f>
        <v>0</v>
      </c>
    </row>
    <row r="81" spans="1:14" x14ac:dyDescent="0.3">
      <c r="A81" s="43" t="s">
        <v>138</v>
      </c>
      <c r="B81" s="46" t="str">
        <f t="shared" ref="B81:H81" si="100">+IFERROR(B79-B80,"nm")</f>
        <v>nm</v>
      </c>
      <c r="C81" s="46" t="str">
        <f t="shared" si="100"/>
        <v>nm</v>
      </c>
      <c r="D81" s="46" t="str">
        <f t="shared" si="100"/>
        <v>nm</v>
      </c>
      <c r="E81" s="46" t="str">
        <f t="shared" si="100"/>
        <v>nm</v>
      </c>
      <c r="F81" s="46" t="str">
        <f t="shared" si="100"/>
        <v>nm</v>
      </c>
      <c r="G81" s="46">
        <f t="shared" si="100"/>
        <v>4.8672566371681381E-2</v>
      </c>
      <c r="H81" s="46">
        <f t="shared" si="100"/>
        <v>0.2378691983122363</v>
      </c>
      <c r="I81" s="46">
        <f>+IFERROR(I79-I80,"nm")</f>
        <v>-0.17426501917341286</v>
      </c>
    </row>
    <row r="82" spans="1:14" ht="15" thickBot="1" x14ac:dyDescent="0.35">
      <c r="A82" s="44" t="s">
        <v>115</v>
      </c>
      <c r="B82" s="7"/>
      <c r="C82" s="7"/>
      <c r="D82" s="7"/>
      <c r="E82" s="7"/>
      <c r="F82" s="1">
        <v>138</v>
      </c>
      <c r="G82" s="1">
        <v>148</v>
      </c>
      <c r="H82" s="1">
        <v>195</v>
      </c>
      <c r="I82" s="1">
        <v>193</v>
      </c>
      <c r="J82" s="66">
        <f>I82*1.127</f>
        <v>217.511</v>
      </c>
      <c r="K82" s="66">
        <f t="shared" ref="K82:N82" si="101">J82*1.127</f>
        <v>245.134897</v>
      </c>
      <c r="L82" s="66">
        <f t="shared" si="101"/>
        <v>276.26702891899998</v>
      </c>
      <c r="M82" s="66">
        <f t="shared" si="101"/>
        <v>311.35294159171298</v>
      </c>
      <c r="N82" s="66">
        <f t="shared" si="101"/>
        <v>350.89476517386055</v>
      </c>
    </row>
    <row r="83" spans="1:14" ht="15" thickTop="1" x14ac:dyDescent="0.3">
      <c r="A83" s="43" t="s">
        <v>129</v>
      </c>
      <c r="B83" s="46" t="str">
        <f t="shared" ref="B83:H83" si="102">+IFERROR(B82/A82-1,"nm")</f>
        <v>nm</v>
      </c>
      <c r="C83" s="46" t="str">
        <f t="shared" si="102"/>
        <v>nm</v>
      </c>
      <c r="D83" s="46" t="str">
        <f t="shared" si="102"/>
        <v>nm</v>
      </c>
      <c r="E83" s="46" t="str">
        <f t="shared" si="102"/>
        <v>nm</v>
      </c>
      <c r="F83" s="46" t="str">
        <f t="shared" si="102"/>
        <v>nm</v>
      </c>
      <c r="G83" s="46">
        <f t="shared" si="102"/>
        <v>7.2463768115942129E-2</v>
      </c>
      <c r="H83" s="46">
        <f t="shared" si="102"/>
        <v>0.31756756756756754</v>
      </c>
      <c r="I83" s="46">
        <f>+IFERROR(I82/H82-1,"nm")</f>
        <v>-1.025641025641022E-2</v>
      </c>
    </row>
    <row r="84" spans="1:14" x14ac:dyDescent="0.3">
      <c r="A84" s="43" t="s">
        <v>137</v>
      </c>
      <c r="B84" s="46">
        <f>+[1]Historicals!B246</f>
        <v>0</v>
      </c>
      <c r="C84" s="46">
        <f>+[1]Historicals!C246</f>
        <v>0</v>
      </c>
      <c r="D84" s="46">
        <f>+[1]Historicals!D246</f>
        <v>0</v>
      </c>
      <c r="E84" s="46">
        <f>+[1]Historicals!E246</f>
        <v>0</v>
      </c>
      <c r="F84" s="46">
        <f>+[1]Historicals!F246</f>
        <v>0</v>
      </c>
      <c r="G84" s="46">
        <f>+[1]Historicals!G246</f>
        <v>0</v>
      </c>
      <c r="H84" s="46">
        <f>+[1]Historicals!H246</f>
        <v>0</v>
      </c>
      <c r="I84" s="46">
        <f>+[1]Historicals!I246</f>
        <v>0</v>
      </c>
    </row>
    <row r="85" spans="1:14" x14ac:dyDescent="0.3">
      <c r="A85" s="43" t="s">
        <v>138</v>
      </c>
      <c r="B85" s="46" t="str">
        <f t="shared" ref="B85:H85" si="103">+IFERROR(B83-B84,"nm")</f>
        <v>nm</v>
      </c>
      <c r="C85" s="46" t="str">
        <f t="shared" si="103"/>
        <v>nm</v>
      </c>
      <c r="D85" s="46" t="str">
        <f t="shared" si="103"/>
        <v>nm</v>
      </c>
      <c r="E85" s="46" t="str">
        <f t="shared" si="103"/>
        <v>nm</v>
      </c>
      <c r="F85" s="46" t="str">
        <f t="shared" si="103"/>
        <v>nm</v>
      </c>
      <c r="G85" s="46">
        <f t="shared" si="103"/>
        <v>7.2463768115942129E-2</v>
      </c>
      <c r="H85" s="46">
        <f t="shared" si="103"/>
        <v>0.31756756756756754</v>
      </c>
      <c r="I85" s="46">
        <f>+IFERROR(I83-I84,"nm")</f>
        <v>-1.025641025641022E-2</v>
      </c>
    </row>
    <row r="86" spans="1:14" ht="15" thickBot="1" x14ac:dyDescent="0.35">
      <c r="A86" s="9" t="s">
        <v>130</v>
      </c>
      <c r="B86" s="56">
        <f>B92+B89</f>
        <v>1039</v>
      </c>
      <c r="C86" s="56">
        <f t="shared" ref="C86:I86" si="104">C92+C89</f>
        <v>1420</v>
      </c>
      <c r="D86" s="56">
        <f t="shared" si="104"/>
        <v>1561</v>
      </c>
      <c r="E86" s="56">
        <f t="shared" si="104"/>
        <v>1863</v>
      </c>
      <c r="F86" s="56">
        <f t="shared" si="104"/>
        <v>2426</v>
      </c>
      <c r="G86" s="56">
        <f t="shared" si="104"/>
        <v>2534</v>
      </c>
      <c r="H86" s="56">
        <f t="shared" si="104"/>
        <v>3289</v>
      </c>
      <c r="I86" s="56">
        <f t="shared" si="104"/>
        <v>2406</v>
      </c>
      <c r="J86" s="64">
        <f>J92+J89</f>
        <v>2767.3530000000001</v>
      </c>
      <c r="K86" s="64">
        <f t="shared" ref="K86:N86" si="105">K92+K89</f>
        <v>3184.0741890000004</v>
      </c>
      <c r="L86" s="64">
        <f t="shared" si="105"/>
        <v>3664.6339257570003</v>
      </c>
      <c r="M86" s="64">
        <f t="shared" si="105"/>
        <v>4218.7985456077413</v>
      </c>
      <c r="N86" s="64">
        <f t="shared" si="105"/>
        <v>4857.8286447451273</v>
      </c>
    </row>
    <row r="87" spans="1:14" ht="15" thickTop="1" x14ac:dyDescent="0.3">
      <c r="A87" s="45" t="s">
        <v>129</v>
      </c>
      <c r="B87" s="46" t="str">
        <f t="shared" ref="B87:H87" si="106">+IFERROR(B86/A86-1,"nm")</f>
        <v>nm</v>
      </c>
      <c r="C87" s="46">
        <f t="shared" si="106"/>
        <v>0.36669874879692022</v>
      </c>
      <c r="D87" s="46">
        <f t="shared" si="106"/>
        <v>9.9295774647887303E-2</v>
      </c>
      <c r="E87" s="46">
        <f t="shared" si="106"/>
        <v>0.19346572709801402</v>
      </c>
      <c r="F87" s="46">
        <f t="shared" si="106"/>
        <v>0.3022007514761138</v>
      </c>
      <c r="G87" s="46">
        <f t="shared" si="106"/>
        <v>4.4517724649629109E-2</v>
      </c>
      <c r="H87" s="46">
        <f t="shared" si="106"/>
        <v>0.29794790844514596</v>
      </c>
      <c r="I87" s="46">
        <f>+IFERROR(I86/H86-1,"nm")</f>
        <v>-0.26847065977500761</v>
      </c>
    </row>
    <row r="88" spans="1:14" x14ac:dyDescent="0.3">
      <c r="A88" s="45" t="s">
        <v>131</v>
      </c>
      <c r="B88" s="46">
        <f t="shared" ref="B88:H88" si="107">+IFERROR(B86/B$18,"nm")</f>
        <v>7.5618631732168845E-2</v>
      </c>
      <c r="C88" s="46">
        <f t="shared" si="107"/>
        <v>9.6179897046870771E-2</v>
      </c>
      <c r="D88" s="46">
        <f t="shared" si="107"/>
        <v>0.10258937960042061</v>
      </c>
      <c r="E88" s="46">
        <f t="shared" si="107"/>
        <v>0.12541231908448333</v>
      </c>
      <c r="F88" s="46">
        <f t="shared" si="107"/>
        <v>0.15255942648723431</v>
      </c>
      <c r="G88" s="46">
        <f t="shared" si="107"/>
        <v>0.17495167080916874</v>
      </c>
      <c r="H88" s="46">
        <f t="shared" si="107"/>
        <v>0.19145468304325047</v>
      </c>
      <c r="I88" s="46">
        <f>+IFERROR(I86/I$18,"nm")</f>
        <v>0.13109573366752031</v>
      </c>
    </row>
    <row r="89" spans="1:14" x14ac:dyDescent="0.3">
      <c r="A89" s="9" t="s">
        <v>132</v>
      </c>
      <c r="B89" s="9">
        <v>46</v>
      </c>
      <c r="C89" s="9">
        <v>48</v>
      </c>
      <c r="D89" s="9">
        <v>54</v>
      </c>
      <c r="E89" s="9">
        <v>56</v>
      </c>
      <c r="F89" s="9">
        <v>50</v>
      </c>
      <c r="G89" s="9">
        <v>44</v>
      </c>
      <c r="H89" s="9">
        <v>46</v>
      </c>
      <c r="I89" s="9">
        <v>41</v>
      </c>
      <c r="J89" s="67">
        <f>I89*0.988</f>
        <v>40.508000000000003</v>
      </c>
      <c r="K89" s="67">
        <f t="shared" ref="K89:N89" si="108">J89*0.988</f>
        <v>40.021903999999999</v>
      </c>
      <c r="L89" s="67">
        <f t="shared" si="108"/>
        <v>39.541641151999997</v>
      </c>
      <c r="M89" s="67">
        <f t="shared" si="108"/>
        <v>39.067141458175996</v>
      </c>
      <c r="N89" s="67">
        <f t="shared" si="108"/>
        <v>38.598335760677884</v>
      </c>
    </row>
    <row r="90" spans="1:14" x14ac:dyDescent="0.3">
      <c r="A90" s="45" t="s">
        <v>129</v>
      </c>
      <c r="B90" s="46" t="str">
        <f t="shared" ref="B90:H90" si="109">+IFERROR(B89/A89-1,"nm")</f>
        <v>nm</v>
      </c>
      <c r="C90" s="46">
        <f t="shared" si="109"/>
        <v>4.3478260869565188E-2</v>
      </c>
      <c r="D90" s="46">
        <f t="shared" si="109"/>
        <v>0.125</v>
      </c>
      <c r="E90" s="46">
        <f t="shared" si="109"/>
        <v>3.7037037037036979E-2</v>
      </c>
      <c r="F90" s="46">
        <f t="shared" si="109"/>
        <v>-0.1071428571428571</v>
      </c>
      <c r="G90" s="46">
        <f t="shared" si="109"/>
        <v>-0.12</v>
      </c>
      <c r="H90" s="46">
        <f t="shared" si="109"/>
        <v>4.5454545454545414E-2</v>
      </c>
      <c r="I90" s="46">
        <f>+IFERROR(I89/H89-1,"nm")</f>
        <v>-0.10869565217391308</v>
      </c>
    </row>
    <row r="91" spans="1:14" x14ac:dyDescent="0.3">
      <c r="A91" s="45" t="s">
        <v>133</v>
      </c>
      <c r="B91" s="46">
        <f t="shared" ref="B91:H91" si="110">+IFERROR(B89/B$18,"nm")</f>
        <v>3.3478893740902477E-3</v>
      </c>
      <c r="C91" s="46">
        <f t="shared" si="110"/>
        <v>3.251151449471688E-3</v>
      </c>
      <c r="D91" s="46">
        <f t="shared" si="110"/>
        <v>3.5488958990536278E-3</v>
      </c>
      <c r="E91" s="46">
        <f t="shared" si="110"/>
        <v>3.7697744867048132E-3</v>
      </c>
      <c r="F91" s="46">
        <f t="shared" si="110"/>
        <v>3.1442585838259338E-3</v>
      </c>
      <c r="G91" s="46">
        <f t="shared" si="110"/>
        <v>3.0378348522507597E-3</v>
      </c>
      <c r="H91" s="46">
        <f t="shared" si="110"/>
        <v>2.6776878747307759E-3</v>
      </c>
      <c r="I91" s="46">
        <f>+IFERROR(I89/I$18,"nm")</f>
        <v>2.2339671988230807E-3</v>
      </c>
    </row>
    <row r="92" spans="1:14" x14ac:dyDescent="0.3">
      <c r="A92" s="9" t="s">
        <v>134</v>
      </c>
      <c r="B92" s="9">
        <v>993</v>
      </c>
      <c r="C92" s="9">
        <v>1372</v>
      </c>
      <c r="D92" s="9">
        <v>1507</v>
      </c>
      <c r="E92" s="9">
        <v>1807</v>
      </c>
      <c r="F92" s="9">
        <v>2376</v>
      </c>
      <c r="G92" s="9">
        <v>2490</v>
      </c>
      <c r="H92" s="9">
        <v>3243</v>
      </c>
      <c r="I92" s="9">
        <v>2365</v>
      </c>
      <c r="J92" s="64">
        <f>I92*1.153</f>
        <v>2726.8450000000003</v>
      </c>
      <c r="K92" s="64">
        <f t="shared" ref="K92:N92" si="111">J92*1.153</f>
        <v>3144.0522850000002</v>
      </c>
      <c r="L92" s="64">
        <f t="shared" si="111"/>
        <v>3625.0922846050003</v>
      </c>
      <c r="M92" s="64">
        <f t="shared" si="111"/>
        <v>4179.7314041495656</v>
      </c>
      <c r="N92" s="64">
        <f t="shared" si="111"/>
        <v>4819.230308984449</v>
      </c>
    </row>
    <row r="93" spans="1:14" x14ac:dyDescent="0.3">
      <c r="A93" s="45" t="s">
        <v>129</v>
      </c>
      <c r="B93" s="46" t="str">
        <f t="shared" ref="B93:H93" si="112">+IFERROR(B92/A92-1,"nm")</f>
        <v>nm</v>
      </c>
      <c r="C93" s="46">
        <f t="shared" si="112"/>
        <v>0.38167170191339372</v>
      </c>
      <c r="D93" s="46">
        <f t="shared" si="112"/>
        <v>9.8396501457725938E-2</v>
      </c>
      <c r="E93" s="46">
        <f t="shared" si="112"/>
        <v>0.19907100199071004</v>
      </c>
      <c r="F93" s="46">
        <f t="shared" si="112"/>
        <v>0.31488655229662421</v>
      </c>
      <c r="G93" s="46">
        <f t="shared" si="112"/>
        <v>4.7979797979798011E-2</v>
      </c>
      <c r="H93" s="46">
        <f t="shared" si="112"/>
        <v>0.30240963855421676</v>
      </c>
      <c r="I93" s="46">
        <f>+IFERROR(I92/H92-1,"nm")</f>
        <v>-0.27073697193956214</v>
      </c>
    </row>
    <row r="94" spans="1:14" x14ac:dyDescent="0.3">
      <c r="A94" s="45" t="s">
        <v>131</v>
      </c>
      <c r="B94" s="46">
        <f t="shared" ref="B94:H94" si="113">+IFERROR(B92/B$18,"nm")</f>
        <v>7.2270742358078607E-2</v>
      </c>
      <c r="C94" s="46">
        <f t="shared" si="113"/>
        <v>9.2928745597399082E-2</v>
      </c>
      <c r="D94" s="46">
        <f t="shared" si="113"/>
        <v>9.9040483701366977E-2</v>
      </c>
      <c r="E94" s="46">
        <f t="shared" si="113"/>
        <v>0.12164254459777853</v>
      </c>
      <c r="F94" s="46">
        <f t="shared" si="113"/>
        <v>0.14941516790340836</v>
      </c>
      <c r="G94" s="46">
        <f t="shared" si="113"/>
        <v>0.17191383595691798</v>
      </c>
      <c r="H94" s="46">
        <f t="shared" si="113"/>
        <v>0.1887769951685197</v>
      </c>
      <c r="I94" s="46">
        <f>+IFERROR(I92/I$18,"nm")</f>
        <v>0.12886176646869721</v>
      </c>
    </row>
    <row r="95" spans="1:14" x14ac:dyDescent="0.3">
      <c r="A95" s="9" t="s">
        <v>135</v>
      </c>
      <c r="B95" s="9">
        <v>69</v>
      </c>
      <c r="C95" s="9">
        <v>44</v>
      </c>
      <c r="D95" s="9">
        <v>51</v>
      </c>
      <c r="E95" s="9">
        <v>76</v>
      </c>
      <c r="F95" s="9">
        <v>49</v>
      </c>
      <c r="G95" s="9">
        <v>28</v>
      </c>
      <c r="H95" s="9">
        <v>94</v>
      </c>
      <c r="I95" s="9">
        <v>78</v>
      </c>
      <c r="J95" s="64">
        <f>I95*1.241</f>
        <v>96.798000000000002</v>
      </c>
      <c r="K95" s="64">
        <f t="shared" ref="K95:N95" si="114">J95*1.241</f>
        <v>120.12631800000001</v>
      </c>
      <c r="L95" s="64">
        <f t="shared" si="114"/>
        <v>149.07676063800002</v>
      </c>
      <c r="M95" s="64">
        <f t="shared" si="114"/>
        <v>185.00425995175806</v>
      </c>
      <c r="N95" s="64">
        <f t="shared" si="114"/>
        <v>229.59028660013178</v>
      </c>
    </row>
    <row r="96" spans="1:14" x14ac:dyDescent="0.3">
      <c r="A96" s="45" t="s">
        <v>129</v>
      </c>
      <c r="B96" s="46" t="str">
        <f t="shared" ref="B96:H96" si="115">+IFERROR(B95/A95-1,"nm")</f>
        <v>nm</v>
      </c>
      <c r="C96" s="46">
        <f t="shared" si="115"/>
        <v>-0.3623188405797102</v>
      </c>
      <c r="D96" s="46">
        <f t="shared" si="115"/>
        <v>0.15909090909090917</v>
      </c>
      <c r="E96" s="46">
        <f t="shared" si="115"/>
        <v>0.49019607843137258</v>
      </c>
      <c r="F96" s="46">
        <f t="shared" si="115"/>
        <v>-0.35526315789473684</v>
      </c>
      <c r="G96" s="46">
        <f t="shared" si="115"/>
        <v>-0.4285714285714286</v>
      </c>
      <c r="H96" s="46">
        <f t="shared" si="115"/>
        <v>2.3571428571428572</v>
      </c>
      <c r="I96" s="46">
        <f>+IFERROR(I95/H95-1,"nm")</f>
        <v>-0.17021276595744683</v>
      </c>
    </row>
    <row r="97" spans="1:14" x14ac:dyDescent="0.3">
      <c r="A97" s="45" t="s">
        <v>133</v>
      </c>
      <c r="B97" s="46">
        <f t="shared" ref="B97:H97" si="116">+IFERROR(B95/B$18,"nm")</f>
        <v>5.0218340611353713E-3</v>
      </c>
      <c r="C97" s="46">
        <f t="shared" si="116"/>
        <v>2.980222162015714E-3</v>
      </c>
      <c r="D97" s="46">
        <f t="shared" si="116"/>
        <v>3.3517350157728706E-3</v>
      </c>
      <c r="E97" s="46">
        <f t="shared" si="116"/>
        <v>5.1161225176708175E-3</v>
      </c>
      <c r="F97" s="46">
        <f t="shared" si="116"/>
        <v>3.081373412149415E-3</v>
      </c>
      <c r="G97" s="46">
        <f>+IFERROR(G95/G$18,"nm")</f>
        <v>1.9331676332504833E-3</v>
      </c>
      <c r="H97" s="46">
        <f t="shared" si="116"/>
        <v>5.4717969614063678E-3</v>
      </c>
      <c r="I97" s="62">
        <f>+IFERROR(I95/I$18,"nm")</f>
        <v>4.2499863782487881E-3</v>
      </c>
    </row>
    <row r="98" spans="1:14" x14ac:dyDescent="0.3">
      <c r="A98" s="68" t="s">
        <v>155</v>
      </c>
    </row>
    <row r="99" spans="1:14" x14ac:dyDescent="0.3">
      <c r="A99" s="9" t="s">
        <v>136</v>
      </c>
      <c r="B99" s="9">
        <v>4653</v>
      </c>
      <c r="C99" s="9">
        <v>4570</v>
      </c>
      <c r="D99" s="9">
        <v>5009</v>
      </c>
      <c r="E99" s="9">
        <v>5166</v>
      </c>
      <c r="F99" s="9">
        <v>5254</v>
      </c>
      <c r="G99" s="9">
        <v>5028</v>
      </c>
      <c r="H99" s="9">
        <v>5343</v>
      </c>
      <c r="I99" s="9">
        <v>5955</v>
      </c>
      <c r="J99" s="64">
        <f>I99*1.037</f>
        <v>6175.3349999999991</v>
      </c>
      <c r="K99" s="64">
        <f t="shared" ref="K99:N99" si="117">J99*1.037</f>
        <v>6403.8223949999983</v>
      </c>
      <c r="L99" s="64">
        <f t="shared" si="117"/>
        <v>6640.7638236149978</v>
      </c>
      <c r="M99" s="64">
        <f t="shared" si="117"/>
        <v>6886.4720850887525</v>
      </c>
      <c r="N99" s="64">
        <f t="shared" si="117"/>
        <v>7141.2715522370354</v>
      </c>
    </row>
    <row r="100" spans="1:14" x14ac:dyDescent="0.3">
      <c r="A100" s="43" t="s">
        <v>129</v>
      </c>
      <c r="B100" s="46" t="str">
        <f t="shared" ref="B100:H100" si="118">+IFERROR(B99/A99-1,"nm")</f>
        <v>nm</v>
      </c>
      <c r="C100" s="46">
        <f t="shared" si="118"/>
        <v>-1.783795400816679E-2</v>
      </c>
      <c r="D100" s="46">
        <f t="shared" si="118"/>
        <v>9.6061269146608286E-2</v>
      </c>
      <c r="E100" s="46">
        <f t="shared" si="118"/>
        <v>3.1343581553204158E-2</v>
      </c>
      <c r="F100" s="46">
        <f t="shared" si="118"/>
        <v>1.7034456058846237E-2</v>
      </c>
      <c r="G100" s="46">
        <f t="shared" si="118"/>
        <v>-4.3014845831747195E-2</v>
      </c>
      <c r="H100" s="46">
        <f t="shared" si="118"/>
        <v>6.2649164677804237E-2</v>
      </c>
      <c r="I100" s="46">
        <f>+IFERROR(I99/H99-1,"nm")</f>
        <v>0.11454239191465465</v>
      </c>
    </row>
    <row r="101" spans="1:14" x14ac:dyDescent="0.3">
      <c r="A101" s="44" t="s">
        <v>113</v>
      </c>
      <c r="B101" s="3">
        <f>+[1]Historicals!B197</f>
        <v>0.18</v>
      </c>
      <c r="C101" s="3">
        <f>+[1]Historicals!C197</f>
        <v>0.23410498858819695</v>
      </c>
      <c r="D101" s="3">
        <f>+[1]Historicals!D197</f>
        <v>0.11941875825627468</v>
      </c>
      <c r="E101" s="3">
        <f>+[1]Historicals!E197</f>
        <v>0.21170639603493036</v>
      </c>
      <c r="F101" s="1">
        <v>3622</v>
      </c>
      <c r="G101" s="1">
        <v>3449</v>
      </c>
      <c r="H101" s="65">
        <v>3659</v>
      </c>
      <c r="I101" s="65">
        <v>4111</v>
      </c>
      <c r="J101" s="66">
        <f>I101*1.046</f>
        <v>4300.1059999999998</v>
      </c>
      <c r="K101" s="66">
        <f t="shared" ref="K101:N101" si="119">J101*1.046</f>
        <v>4497.9108759999999</v>
      </c>
      <c r="L101" s="66">
        <f t="shared" si="119"/>
        <v>4704.8147762959998</v>
      </c>
      <c r="M101" s="66">
        <f t="shared" si="119"/>
        <v>4921.2362560056163</v>
      </c>
      <c r="N101" s="66">
        <f t="shared" si="119"/>
        <v>5147.6131237818745</v>
      </c>
    </row>
    <row r="102" spans="1:14" x14ac:dyDescent="0.3">
      <c r="A102" s="43" t="s">
        <v>129</v>
      </c>
      <c r="B102" s="46" t="str">
        <f t="shared" ref="B102:F102" si="120">+IFERROR(B101/A101-1,"nm")</f>
        <v>nm</v>
      </c>
      <c r="C102" s="46">
        <f t="shared" si="120"/>
        <v>0.30058326993442752</v>
      </c>
      <c r="D102" s="46">
        <f t="shared" si="120"/>
        <v>-0.48989229586073202</v>
      </c>
      <c r="E102" s="46">
        <f t="shared" si="120"/>
        <v>0.77280687830135397</v>
      </c>
      <c r="F102" s="46">
        <f t="shared" si="120"/>
        <v>17107.59977703456</v>
      </c>
      <c r="G102" s="46">
        <f>+IFERROR(G101/F101-1,"nm")</f>
        <v>-4.7763666482606326E-2</v>
      </c>
      <c r="H102" s="46">
        <f t="shared" ref="H102" si="121">+IFERROR(H101/G101-1,"nm")</f>
        <v>6.0887213685126174E-2</v>
      </c>
      <c r="I102" s="46">
        <f>+IFERROR(I101/H101-1,"nm")</f>
        <v>0.12353101940420874</v>
      </c>
    </row>
    <row r="103" spans="1:14" x14ac:dyDescent="0.3">
      <c r="A103" s="43" t="s">
        <v>137</v>
      </c>
      <c r="B103" s="46">
        <f>+[1]Historicals!B271</f>
        <v>0</v>
      </c>
      <c r="C103" s="46">
        <f>+[1]Historicals!C271</f>
        <v>0</v>
      </c>
      <c r="D103" s="46">
        <f>+[1]Historicals!D271</f>
        <v>0</v>
      </c>
      <c r="E103" s="46">
        <f>+[1]Historicals!E271</f>
        <v>0</v>
      </c>
      <c r="F103" s="46">
        <f>+[1]Historicals!F271</f>
        <v>0</v>
      </c>
      <c r="G103" s="46">
        <f>+[1]Historicals!G271</f>
        <v>0</v>
      </c>
      <c r="H103" s="46">
        <f>+[1]Historicals!H271</f>
        <v>0</v>
      </c>
      <c r="I103" s="46">
        <f>+[1]Historicals!I271</f>
        <v>0</v>
      </c>
    </row>
    <row r="104" spans="1:14" x14ac:dyDescent="0.3">
      <c r="A104" s="43" t="s">
        <v>138</v>
      </c>
      <c r="B104" s="46" t="str">
        <f t="shared" ref="B104:H104" si="122">+IFERROR(B102-B103,"nm")</f>
        <v>nm</v>
      </c>
      <c r="C104" s="46">
        <f t="shared" si="122"/>
        <v>0.30058326993442752</v>
      </c>
      <c r="D104" s="46">
        <f t="shared" si="122"/>
        <v>-0.48989229586073202</v>
      </c>
      <c r="E104" s="46">
        <f t="shared" si="122"/>
        <v>0.77280687830135397</v>
      </c>
      <c r="F104" s="46">
        <f t="shared" si="122"/>
        <v>17107.59977703456</v>
      </c>
      <c r="G104" s="46">
        <f t="shared" si="122"/>
        <v>-4.7763666482606326E-2</v>
      </c>
      <c r="H104" s="46">
        <f t="shared" si="122"/>
        <v>6.0887213685126174E-2</v>
      </c>
      <c r="I104" s="46">
        <f>+IFERROR(I102-I103,"nm")</f>
        <v>0.12353101940420874</v>
      </c>
    </row>
    <row r="105" spans="1:14" x14ac:dyDescent="0.3">
      <c r="A105" s="44" t="s">
        <v>114</v>
      </c>
      <c r="B105" s="3">
        <f>+[1]Historicals!B198</f>
        <v>0</v>
      </c>
      <c r="C105" s="3">
        <f>+[1]Historicals!C198</f>
        <v>0</v>
      </c>
      <c r="D105" s="3">
        <f>+[1]Historicals!D198</f>
        <v>0</v>
      </c>
      <c r="E105" s="3">
        <f>+[1]Historicals!E198</f>
        <v>0</v>
      </c>
      <c r="F105" s="1">
        <v>1395</v>
      </c>
      <c r="G105" s="1">
        <v>1365</v>
      </c>
      <c r="H105" s="65">
        <v>1494</v>
      </c>
      <c r="I105" s="65">
        <v>1610</v>
      </c>
      <c r="J105" s="66">
        <f>I105*1.05</f>
        <v>1690.5</v>
      </c>
      <c r="K105" s="66">
        <f t="shared" ref="K105:N105" si="123">J105*1.05</f>
        <v>1775.0250000000001</v>
      </c>
      <c r="L105" s="66">
        <f t="shared" si="123"/>
        <v>1863.7762500000001</v>
      </c>
      <c r="M105" s="66">
        <f t="shared" si="123"/>
        <v>1956.9650625000002</v>
      </c>
      <c r="N105" s="66">
        <f t="shared" si="123"/>
        <v>2054.8133156250001</v>
      </c>
    </row>
    <row r="106" spans="1:14" x14ac:dyDescent="0.3">
      <c r="A106" s="43" t="s">
        <v>129</v>
      </c>
      <c r="B106" s="46" t="str">
        <f t="shared" ref="B106:H106" si="124">+IFERROR(B105/A105-1,"nm")</f>
        <v>nm</v>
      </c>
      <c r="C106" s="46" t="str">
        <f t="shared" si="124"/>
        <v>nm</v>
      </c>
      <c r="D106" s="46" t="str">
        <f t="shared" si="124"/>
        <v>nm</v>
      </c>
      <c r="E106" s="46" t="str">
        <f t="shared" si="124"/>
        <v>nm</v>
      </c>
      <c r="F106" s="46" t="str">
        <f t="shared" si="124"/>
        <v>nm</v>
      </c>
      <c r="G106" s="46">
        <f t="shared" si="124"/>
        <v>-2.1505376344086002E-2</v>
      </c>
      <c r="H106" s="46">
        <f t="shared" si="124"/>
        <v>9.4505494505494614E-2</v>
      </c>
      <c r="I106" s="46">
        <f>+IFERROR(I105/H105-1,"nm")</f>
        <v>7.7643908969210251E-2</v>
      </c>
    </row>
    <row r="107" spans="1:14" x14ac:dyDescent="0.3">
      <c r="A107" s="43" t="s">
        <v>137</v>
      </c>
      <c r="B107" s="46">
        <f>+[1]Historicals!B275</f>
        <v>0</v>
      </c>
      <c r="C107" s="46">
        <f>+[1]Historicals!C275</f>
        <v>0</v>
      </c>
      <c r="D107" s="46">
        <f>+[1]Historicals!D275</f>
        <v>0</v>
      </c>
      <c r="E107" s="46">
        <f>+[1]Historicals!E275</f>
        <v>0</v>
      </c>
      <c r="F107" s="46">
        <f>+[1]Historicals!F275</f>
        <v>0</v>
      </c>
      <c r="G107" s="46">
        <f>+[1]Historicals!G275</f>
        <v>0</v>
      </c>
      <c r="H107" s="46">
        <f>+[1]Historicals!H275</f>
        <v>0</v>
      </c>
      <c r="I107" s="46">
        <f>+[1]Historicals!I275</f>
        <v>0</v>
      </c>
    </row>
    <row r="108" spans="1:14" x14ac:dyDescent="0.3">
      <c r="A108" s="43" t="s">
        <v>138</v>
      </c>
      <c r="B108" s="46" t="str">
        <f>+IFERROR(B106-B107,"nm")</f>
        <v>nm</v>
      </c>
      <c r="C108" s="46" t="str">
        <f t="shared" ref="C108:F108" si="125">+IFERROR(C106-C107,"nm")</f>
        <v>nm</v>
      </c>
      <c r="D108" s="46" t="str">
        <f t="shared" si="125"/>
        <v>nm</v>
      </c>
      <c r="E108" s="46" t="str">
        <f t="shared" si="125"/>
        <v>nm</v>
      </c>
      <c r="F108" s="46" t="str">
        <f t="shared" si="125"/>
        <v>nm</v>
      </c>
      <c r="G108" s="46">
        <f>+IFERROR(G106-G107,"nm")</f>
        <v>-2.1505376344086002E-2</v>
      </c>
      <c r="H108" s="46">
        <f t="shared" ref="H108" si="126">+IFERROR(H106-H107,"nm")</f>
        <v>9.4505494505494614E-2</v>
      </c>
      <c r="I108" s="46">
        <f>+IFERROR(I106-I107,"nm")</f>
        <v>7.7643908969210251E-2</v>
      </c>
    </row>
    <row r="109" spans="1:14" x14ac:dyDescent="0.3">
      <c r="A109" s="44" t="s">
        <v>115</v>
      </c>
      <c r="B109" s="3">
        <f>+[1]Historicals!B199</f>
        <v>0</v>
      </c>
      <c r="C109" s="3">
        <f>+[1]Historicals!C199</f>
        <v>0</v>
      </c>
      <c r="D109" s="3">
        <f>+[1]Historicals!D199</f>
        <v>0</v>
      </c>
      <c r="E109" s="3">
        <f>+[1]Historicals!E199</f>
        <v>0</v>
      </c>
      <c r="F109" s="1">
        <v>237</v>
      </c>
      <c r="G109" s="1">
        <v>214</v>
      </c>
      <c r="H109" s="1">
        <v>190</v>
      </c>
      <c r="I109" s="1">
        <v>234</v>
      </c>
      <c r="J109" s="69">
        <f>I109*1.007</f>
        <v>235.63799999999998</v>
      </c>
      <c r="K109" s="69">
        <f t="shared" ref="K109:N109" si="127">J109*1.007</f>
        <v>237.28746599999994</v>
      </c>
      <c r="L109" s="69">
        <f t="shared" si="127"/>
        <v>238.94847826199992</v>
      </c>
      <c r="M109" s="69">
        <f t="shared" si="127"/>
        <v>240.6211176098339</v>
      </c>
      <c r="N109" s="69">
        <f t="shared" si="127"/>
        <v>242.30546543310271</v>
      </c>
    </row>
    <row r="110" spans="1:14" x14ac:dyDescent="0.3">
      <c r="A110" s="43" t="s">
        <v>129</v>
      </c>
      <c r="B110" s="46" t="str">
        <f t="shared" ref="B110:H110" si="128">+IFERROR(B109/A109-1,"nm")</f>
        <v>nm</v>
      </c>
      <c r="C110" s="46" t="str">
        <f t="shared" si="128"/>
        <v>nm</v>
      </c>
      <c r="D110" s="46" t="str">
        <f t="shared" si="128"/>
        <v>nm</v>
      </c>
      <c r="E110" s="46" t="str">
        <f t="shared" si="128"/>
        <v>nm</v>
      </c>
      <c r="F110" s="46" t="str">
        <f t="shared" si="128"/>
        <v>nm</v>
      </c>
      <c r="G110" s="46">
        <f t="shared" si="128"/>
        <v>-9.7046413502109741E-2</v>
      </c>
      <c r="H110" s="46">
        <f t="shared" si="128"/>
        <v>-0.11214953271028039</v>
      </c>
      <c r="I110" s="46">
        <f>+IFERROR(I109/H109-1,"nm")</f>
        <v>0.23157894736842111</v>
      </c>
    </row>
    <row r="111" spans="1:14" x14ac:dyDescent="0.3">
      <c r="A111" s="43" t="s">
        <v>137</v>
      </c>
      <c r="B111" s="46">
        <f>+[1]Historicals!B273</f>
        <v>0</v>
      </c>
      <c r="C111" s="46">
        <f>+[1]Historicals!C273</f>
        <v>0</v>
      </c>
      <c r="D111" s="46">
        <f>+[1]Historicals!D273</f>
        <v>0</v>
      </c>
      <c r="E111" s="46">
        <f>+[1]Historicals!E273</f>
        <v>0</v>
      </c>
      <c r="F111" s="46">
        <f>+[1]Historicals!F273</f>
        <v>0</v>
      </c>
      <c r="G111" s="46">
        <f>+[1]Historicals!G273</f>
        <v>0</v>
      </c>
      <c r="H111" s="46">
        <f>+[1]Historicals!H273</f>
        <v>0</v>
      </c>
      <c r="I111" s="46">
        <f>+[1]Historicals!I273</f>
        <v>0</v>
      </c>
    </row>
    <row r="112" spans="1:14" x14ac:dyDescent="0.3">
      <c r="A112" s="43" t="s">
        <v>138</v>
      </c>
      <c r="B112" s="46" t="str">
        <f t="shared" ref="B112:F112" si="129">+IFERROR(B110-B111,"nm")</f>
        <v>nm</v>
      </c>
      <c r="C112" s="46" t="str">
        <f t="shared" si="129"/>
        <v>nm</v>
      </c>
      <c r="D112" s="46" t="str">
        <f t="shared" si="129"/>
        <v>nm</v>
      </c>
      <c r="E112" s="46" t="str">
        <f t="shared" si="129"/>
        <v>nm</v>
      </c>
      <c r="F112" s="46" t="str">
        <f t="shared" si="129"/>
        <v>nm</v>
      </c>
      <c r="G112" s="46">
        <f>+IFERROR(G110-G111,"nm")</f>
        <v>-9.7046413502109741E-2</v>
      </c>
      <c r="H112" s="46">
        <f>+IFERROR(H110-H111,"nm")</f>
        <v>-0.11214953271028039</v>
      </c>
      <c r="I112" s="46">
        <f>+IFERROR(I110-I111,"nm")</f>
        <v>0.23157894736842111</v>
      </c>
    </row>
    <row r="113" spans="1:14" ht="15" thickBot="1" x14ac:dyDescent="0.35">
      <c r="A113" s="9" t="s">
        <v>130</v>
      </c>
      <c r="B113" s="56">
        <f>B119+B116</f>
        <v>967</v>
      </c>
      <c r="C113" s="56">
        <f t="shared" ref="C113:G113" si="130">C119+C116</f>
        <v>1108</v>
      </c>
      <c r="D113" s="56">
        <f t="shared" si="130"/>
        <v>1034</v>
      </c>
      <c r="E113" s="56">
        <f t="shared" si="130"/>
        <v>1244</v>
      </c>
      <c r="F113" s="56">
        <f t="shared" si="130"/>
        <v>1376</v>
      </c>
      <c r="G113" s="56">
        <f t="shared" si="130"/>
        <v>1230</v>
      </c>
      <c r="H113" s="56">
        <f>H119+H116</f>
        <v>1573</v>
      </c>
      <c r="I113" s="56">
        <f>I119+I116</f>
        <v>1938</v>
      </c>
      <c r="J113" s="64">
        <f>J119+J116</f>
        <v>2163.0359999999996</v>
      </c>
      <c r="K113" s="64">
        <f t="shared" ref="K113:N113" si="131">K119+K116</f>
        <v>2414.9294879999998</v>
      </c>
      <c r="L113" s="64">
        <f t="shared" si="131"/>
        <v>2696.8754102159992</v>
      </c>
      <c r="M113" s="64">
        <f t="shared" si="131"/>
        <v>3012.4489267916874</v>
      </c>
      <c r="N113" s="64">
        <f t="shared" si="131"/>
        <v>3365.6506570412425</v>
      </c>
    </row>
    <row r="114" spans="1:14" ht="15" thickTop="1" x14ac:dyDescent="0.3">
      <c r="A114" s="45" t="s">
        <v>129</v>
      </c>
      <c r="B114" s="46" t="str">
        <f t="shared" ref="B114:H114" si="132">+IFERROR(B113/A113-1,"nm")</f>
        <v>nm</v>
      </c>
      <c r="C114" s="46">
        <f t="shared" si="132"/>
        <v>0.14581178903826264</v>
      </c>
      <c r="D114" s="46">
        <f t="shared" si="132"/>
        <v>-6.6787003610108253E-2</v>
      </c>
      <c r="E114" s="46">
        <f t="shared" si="132"/>
        <v>0.20309477756286265</v>
      </c>
      <c r="F114" s="46">
        <f t="shared" si="132"/>
        <v>0.10610932475884249</v>
      </c>
      <c r="G114" s="46">
        <f t="shared" si="132"/>
        <v>-0.10610465116279066</v>
      </c>
      <c r="H114" s="46">
        <f t="shared" si="132"/>
        <v>0.27886178861788613</v>
      </c>
      <c r="I114" s="46">
        <f>+IFERROR(I113/H113-1,"nm")</f>
        <v>0.23204068658614108</v>
      </c>
    </row>
    <row r="115" spans="1:14" x14ac:dyDescent="0.3">
      <c r="A115" s="45" t="s">
        <v>131</v>
      </c>
      <c r="B115" s="46">
        <f t="shared" ref="B115:G115" si="133">+IFERROR(B113/B$18,"nm")</f>
        <v>7.0378457059679767E-2</v>
      </c>
      <c r="C115" s="46">
        <f t="shared" si="133"/>
        <v>7.5047412625304802E-2</v>
      </c>
      <c r="D115" s="46">
        <f t="shared" si="133"/>
        <v>6.7954784437434274E-2</v>
      </c>
      <c r="E115" s="46">
        <f t="shared" si="133"/>
        <v>8.374284752608549E-2</v>
      </c>
      <c r="F115" s="46">
        <f t="shared" si="133"/>
        <v>8.6529996226889699E-2</v>
      </c>
      <c r="G115" s="46">
        <f t="shared" si="133"/>
        <v>8.4921292460646225E-2</v>
      </c>
      <c r="H115" s="46">
        <f>+IFERROR(H113/H$18,"nm")</f>
        <v>9.1565283194598057E-2</v>
      </c>
      <c r="I115" s="46">
        <f>+IFERROR(I113/I$18,"nm")</f>
        <v>0.10559581539802756</v>
      </c>
    </row>
    <row r="116" spans="1:14" x14ac:dyDescent="0.3">
      <c r="A116" s="9" t="s">
        <v>132</v>
      </c>
      <c r="B116" s="9">
        <v>49</v>
      </c>
      <c r="C116" s="9">
        <v>42</v>
      </c>
      <c r="D116" s="9">
        <v>54</v>
      </c>
      <c r="E116" s="9">
        <v>55</v>
      </c>
      <c r="F116" s="9">
        <v>53</v>
      </c>
      <c r="G116" s="9">
        <v>46</v>
      </c>
      <c r="H116" s="9">
        <v>43</v>
      </c>
      <c r="I116" s="9">
        <v>42</v>
      </c>
      <c r="J116" s="67">
        <f>I116*0.986</f>
        <v>41.411999999999999</v>
      </c>
      <c r="K116" s="67">
        <f t="shared" ref="K116:N116" si="134">J116*0.986</f>
        <v>40.832231999999998</v>
      </c>
      <c r="L116" s="67">
        <f t="shared" si="134"/>
        <v>40.260580751999996</v>
      </c>
      <c r="M116" s="67">
        <f t="shared" si="134"/>
        <v>39.696932621471994</v>
      </c>
      <c r="N116" s="67">
        <f t="shared" si="134"/>
        <v>39.141175564771387</v>
      </c>
    </row>
    <row r="117" spans="1:14" x14ac:dyDescent="0.3">
      <c r="A117" s="45" t="s">
        <v>129</v>
      </c>
      <c r="B117" s="46" t="str">
        <f t="shared" ref="B117:H117" si="135">+IFERROR(B116/A116-1,"nm")</f>
        <v>nm</v>
      </c>
      <c r="C117" s="46">
        <f t="shared" si="135"/>
        <v>-0.1428571428571429</v>
      </c>
      <c r="D117" s="46">
        <f t="shared" si="135"/>
        <v>0.28571428571428581</v>
      </c>
      <c r="E117" s="46">
        <f t="shared" si="135"/>
        <v>1.8518518518518601E-2</v>
      </c>
      <c r="F117" s="46">
        <f t="shared" si="135"/>
        <v>-3.6363636363636376E-2</v>
      </c>
      <c r="G117" s="46">
        <f t="shared" si="135"/>
        <v>-0.13207547169811318</v>
      </c>
      <c r="H117" s="46">
        <f t="shared" si="135"/>
        <v>-6.5217391304347783E-2</v>
      </c>
      <c r="I117" s="46">
        <f>+IFERROR(I116/H116-1,"nm")</f>
        <v>-2.3255813953488413E-2</v>
      </c>
    </row>
    <row r="118" spans="1:14" x14ac:dyDescent="0.3">
      <c r="A118" s="45" t="s">
        <v>133</v>
      </c>
      <c r="B118" s="46">
        <f t="shared" ref="B118:H118" si="136">+IFERROR(B116/B$18,"nm")</f>
        <v>3.5662299854439593E-3</v>
      </c>
      <c r="C118" s="46">
        <f t="shared" si="136"/>
        <v>2.8447575182877268E-3</v>
      </c>
      <c r="D118" s="46">
        <f t="shared" si="136"/>
        <v>3.5488958990536278E-3</v>
      </c>
      <c r="E118" s="46">
        <f t="shared" si="136"/>
        <v>3.7024570851565131E-3</v>
      </c>
      <c r="F118" s="46">
        <f t="shared" si="136"/>
        <v>3.33291409885549E-3</v>
      </c>
      <c r="G118" s="46">
        <f t="shared" si="136"/>
        <v>3.1759182546257938E-3</v>
      </c>
      <c r="H118" s="46">
        <f t="shared" si="136"/>
        <v>2.5030560568135513E-3</v>
      </c>
      <c r="I118" s="46">
        <f>+IFERROR(I116/I$18,"nm")</f>
        <v>2.2884542036724241E-3</v>
      </c>
    </row>
    <row r="119" spans="1:14" x14ac:dyDescent="0.3">
      <c r="A119" s="9" t="s">
        <v>134</v>
      </c>
      <c r="B119" s="9">
        <v>918</v>
      </c>
      <c r="C119" s="9">
        <v>1066</v>
      </c>
      <c r="D119" s="9">
        <v>980</v>
      </c>
      <c r="E119" s="9">
        <v>1189</v>
      </c>
      <c r="F119" s="9">
        <v>1323</v>
      </c>
      <c r="G119" s="9">
        <v>1184</v>
      </c>
      <c r="H119" s="9">
        <v>1530</v>
      </c>
      <c r="I119" s="9">
        <v>1896</v>
      </c>
      <c r="J119" s="64">
        <f>I119*1.119</f>
        <v>2121.6239999999998</v>
      </c>
      <c r="K119" s="64">
        <f t="shared" ref="K119:N119" si="137">J119*1.119</f>
        <v>2374.0972559999996</v>
      </c>
      <c r="L119" s="64">
        <f t="shared" si="137"/>
        <v>2656.6148294639993</v>
      </c>
      <c r="M119" s="64">
        <f t="shared" si="137"/>
        <v>2972.7519941702153</v>
      </c>
      <c r="N119" s="64">
        <f t="shared" si="137"/>
        <v>3326.5094814764711</v>
      </c>
    </row>
    <row r="120" spans="1:14" x14ac:dyDescent="0.3">
      <c r="A120" s="45" t="s">
        <v>129</v>
      </c>
      <c r="B120" s="46" t="str">
        <f t="shared" ref="B120:H120" si="138">+IFERROR(B119/A119-1,"nm")</f>
        <v>nm</v>
      </c>
      <c r="C120" s="46">
        <f t="shared" si="138"/>
        <v>0.16122004357298469</v>
      </c>
      <c r="D120" s="46">
        <f t="shared" si="138"/>
        <v>-8.0675422138836828E-2</v>
      </c>
      <c r="E120" s="46">
        <f t="shared" si="138"/>
        <v>0.21326530612244898</v>
      </c>
      <c r="F120" s="46">
        <f t="shared" si="138"/>
        <v>0.11269974768713209</v>
      </c>
      <c r="G120" s="46">
        <f t="shared" si="138"/>
        <v>-0.1050642479213908</v>
      </c>
      <c r="H120" s="46">
        <f t="shared" si="138"/>
        <v>0.29222972972972983</v>
      </c>
      <c r="I120" s="46">
        <f>+IFERROR(I119/H119-1,"nm")</f>
        <v>0.23921568627450984</v>
      </c>
    </row>
    <row r="121" spans="1:14" x14ac:dyDescent="0.3">
      <c r="A121" s="45" t="s">
        <v>131</v>
      </c>
      <c r="B121" s="46">
        <f t="shared" ref="B121" si="139">+IFERROR(B119/B$18,"nm")</f>
        <v>6.6812227074235814E-2</v>
      </c>
      <c r="C121" s="46">
        <f>+IFERROR(C119/C$18,"nm")</f>
        <v>7.2202655107017066E-2</v>
      </c>
      <c r="D121" s="46">
        <f t="shared" ref="D121:H121" si="140">+IFERROR(D119/D$18,"nm")</f>
        <v>6.4405888538380654E-2</v>
      </c>
      <c r="E121" s="46">
        <f t="shared" si="140"/>
        <v>8.0040390440928977E-2</v>
      </c>
      <c r="F121" s="46">
        <f t="shared" si="140"/>
        <v>8.3197082128034214E-2</v>
      </c>
      <c r="G121" s="46">
        <f t="shared" si="140"/>
        <v>8.1745374206020432E-2</v>
      </c>
      <c r="H121" s="46">
        <f t="shared" si="140"/>
        <v>8.90622271377845E-2</v>
      </c>
      <c r="I121" s="46">
        <f>+IFERROR(I119/I$18,"nm")</f>
        <v>0.10330736119435514</v>
      </c>
    </row>
    <row r="122" spans="1:14" x14ac:dyDescent="0.3">
      <c r="A122" s="9" t="s">
        <v>135</v>
      </c>
      <c r="B122" s="9">
        <v>52</v>
      </c>
      <c r="C122" s="9">
        <v>64</v>
      </c>
      <c r="D122" s="9">
        <v>59</v>
      </c>
      <c r="E122" s="9">
        <v>49</v>
      </c>
      <c r="F122" s="9">
        <v>47</v>
      </c>
      <c r="G122" s="9">
        <v>41</v>
      </c>
      <c r="H122" s="9">
        <v>54</v>
      </c>
      <c r="I122" s="9">
        <v>56</v>
      </c>
      <c r="J122" s="67">
        <f>I122*1.024</f>
        <v>57.344000000000001</v>
      </c>
      <c r="K122" s="67">
        <f t="shared" ref="K122:N122" si="141">J122*1.024</f>
        <v>58.720255999999999</v>
      </c>
      <c r="L122" s="67">
        <f t="shared" si="141"/>
        <v>60.129542143999998</v>
      </c>
      <c r="M122" s="67">
        <f t="shared" si="141"/>
        <v>61.572651155456001</v>
      </c>
      <c r="N122" s="67">
        <f t="shared" si="141"/>
        <v>63.050394783186945</v>
      </c>
    </row>
    <row r="123" spans="1:14" x14ac:dyDescent="0.3">
      <c r="A123" s="45" t="s">
        <v>129</v>
      </c>
      <c r="B123" s="46" t="str">
        <f t="shared" ref="B123:G123" si="142">+IFERROR(B122/A122-1,"nm")</f>
        <v>nm</v>
      </c>
      <c r="C123" s="46">
        <f t="shared" si="142"/>
        <v>0.23076923076923084</v>
      </c>
      <c r="D123" s="46">
        <f t="shared" si="142"/>
        <v>-7.8125E-2</v>
      </c>
      <c r="E123" s="46">
        <f t="shared" si="142"/>
        <v>-0.16949152542372881</v>
      </c>
      <c r="F123" s="46">
        <f t="shared" si="142"/>
        <v>-4.081632653061229E-2</v>
      </c>
      <c r="G123" s="46">
        <f t="shared" si="142"/>
        <v>-0.12765957446808507</v>
      </c>
      <c r="H123" s="46">
        <f>+IFERROR(H122/G122-1,"nm")</f>
        <v>0.31707317073170738</v>
      </c>
      <c r="I123" s="46">
        <f>+IFERROR(I122/H122-1,"nm")</f>
        <v>3.7037037037036979E-2</v>
      </c>
    </row>
    <row r="124" spans="1:14" x14ac:dyDescent="0.3">
      <c r="A124" s="45" t="s">
        <v>133</v>
      </c>
      <c r="B124" s="46">
        <f t="shared" ref="B124:H124" si="143">+IFERROR(B122/B$18,"nm")</f>
        <v>3.7845705967976709E-3</v>
      </c>
      <c r="C124" s="46">
        <f t="shared" si="143"/>
        <v>4.334868599295584E-3</v>
      </c>
      <c r="D124" s="46">
        <f t="shared" si="143"/>
        <v>3.8774973711882231E-3</v>
      </c>
      <c r="E124" s="46">
        <f t="shared" si="143"/>
        <v>3.2985526758667117E-3</v>
      </c>
      <c r="F124" s="46">
        <f t="shared" si="143"/>
        <v>2.9556030687963777E-3</v>
      </c>
      <c r="G124" s="46">
        <f t="shared" si="143"/>
        <v>2.8307097486882076E-3</v>
      </c>
      <c r="H124" s="46">
        <f t="shared" si="143"/>
        <v>3.1433727225100411E-3</v>
      </c>
      <c r="I124" s="46">
        <f>+IFERROR(I122/I$18,"nm")</f>
        <v>3.0512722715632322E-3</v>
      </c>
    </row>
    <row r="125" spans="1:14" x14ac:dyDescent="0.3">
      <c r="A125" s="68" t="s">
        <v>107</v>
      </c>
    </row>
    <row r="126" spans="1:14" x14ac:dyDescent="0.3">
      <c r="A126" s="9" t="s">
        <v>136</v>
      </c>
      <c r="B126" s="9">
        <v>115</v>
      </c>
      <c r="C126" s="9">
        <v>73</v>
      </c>
      <c r="D126" s="9">
        <v>73</v>
      </c>
      <c r="E126" s="9">
        <v>88</v>
      </c>
      <c r="F126" s="9">
        <v>42</v>
      </c>
      <c r="G126" s="9">
        <v>30</v>
      </c>
      <c r="H126" s="9">
        <v>25</v>
      </c>
      <c r="I126" s="9">
        <v>102</v>
      </c>
      <c r="J126" s="67">
        <f>I126*1.0278</f>
        <v>104.8356</v>
      </c>
      <c r="K126" s="67">
        <f t="shared" ref="K126:N126" si="144">J126*1.0278</f>
        <v>107.75002968</v>
      </c>
      <c r="L126" s="67">
        <f t="shared" si="144"/>
        <v>110.745480505104</v>
      </c>
      <c r="M126" s="67">
        <f t="shared" si="144"/>
        <v>113.82420486314589</v>
      </c>
      <c r="N126" s="67">
        <f t="shared" si="144"/>
        <v>116.98851775834136</v>
      </c>
    </row>
    <row r="127" spans="1:14" x14ac:dyDescent="0.3">
      <c r="A127" s="43" t="s">
        <v>129</v>
      </c>
      <c r="B127" s="46" t="str">
        <f t="shared" ref="B127:H127" si="145">+IFERROR(B126/A126-1,"nm")</f>
        <v>nm</v>
      </c>
      <c r="C127" s="46">
        <f t="shared" si="145"/>
        <v>-0.36521739130434783</v>
      </c>
      <c r="D127" s="46">
        <f t="shared" si="145"/>
        <v>0</v>
      </c>
      <c r="E127" s="46">
        <f t="shared" si="145"/>
        <v>0.20547945205479445</v>
      </c>
      <c r="F127" s="46">
        <f t="shared" si="145"/>
        <v>-0.52272727272727271</v>
      </c>
      <c r="G127" s="46">
        <f t="shared" si="145"/>
        <v>-0.2857142857142857</v>
      </c>
      <c r="H127" s="46">
        <f t="shared" si="145"/>
        <v>-0.16666666666666663</v>
      </c>
      <c r="I127" s="46">
        <f>+IFERROR(I126/H126-1,"nm")</f>
        <v>3.08</v>
      </c>
    </row>
    <row r="128" spans="1:14" x14ac:dyDescent="0.3">
      <c r="A128" s="1" t="s">
        <v>130</v>
      </c>
    </row>
    <row r="129" spans="1:14" x14ac:dyDescent="0.3">
      <c r="B129" s="9">
        <f>B134+B138</f>
        <v>-2057</v>
      </c>
      <c r="C129" s="9">
        <f t="shared" ref="C129:I129" si="146">C134+C138</f>
        <v>-2366</v>
      </c>
      <c r="D129" s="9">
        <f t="shared" si="146"/>
        <v>-2444</v>
      </c>
      <c r="E129" s="9">
        <f t="shared" si="146"/>
        <v>-2441</v>
      </c>
      <c r="F129" s="9">
        <f t="shared" si="146"/>
        <v>-3067</v>
      </c>
      <c r="G129" s="9">
        <f t="shared" si="146"/>
        <v>-3254</v>
      </c>
      <c r="H129" s="9">
        <f t="shared" si="146"/>
        <v>-3434</v>
      </c>
      <c r="I129" s="9">
        <f t="shared" si="146"/>
        <v>-4042</v>
      </c>
      <c r="J129" s="67">
        <f>J134+J138</f>
        <v>-4453.4340000000002</v>
      </c>
      <c r="K129" s="67">
        <f t="shared" ref="K129:N129" si="147">K134+K138</f>
        <v>-4904.9513379999999</v>
      </c>
      <c r="L129" s="67">
        <f t="shared" si="147"/>
        <v>-5400.4416659460003</v>
      </c>
      <c r="M129" s="67">
        <f t="shared" si="147"/>
        <v>-5944.1719461362018</v>
      </c>
      <c r="N129" s="67">
        <f t="shared" si="147"/>
        <v>-6540.8230504521944</v>
      </c>
    </row>
    <row r="130" spans="1:14" x14ac:dyDescent="0.3">
      <c r="A130" t="s">
        <v>129</v>
      </c>
      <c r="B130" s="46" t="str">
        <f t="shared" ref="B130:H130" si="148">+IFERROR(B129/A129-1,"nm")</f>
        <v>nm</v>
      </c>
      <c r="C130" s="46">
        <f t="shared" si="148"/>
        <v>0.15021876519202726</v>
      </c>
      <c r="D130" s="46">
        <f t="shared" si="148"/>
        <v>3.2967032967033072E-2</v>
      </c>
      <c r="E130" s="46">
        <f t="shared" si="148"/>
        <v>-1.2274959083469206E-3</v>
      </c>
      <c r="F130" s="46">
        <f t="shared" si="148"/>
        <v>0.25645227365833678</v>
      </c>
      <c r="G130" s="46">
        <f t="shared" si="148"/>
        <v>6.0971633518095869E-2</v>
      </c>
      <c r="H130" s="46">
        <f t="shared" si="148"/>
        <v>5.5316533497234088E-2</v>
      </c>
      <c r="I130" s="46">
        <f>+IFERROR(I129/H129-1,"nm")</f>
        <v>0.1770529994175889</v>
      </c>
    </row>
    <row r="131" spans="1:14" x14ac:dyDescent="0.3">
      <c r="A131" t="s">
        <v>131</v>
      </c>
      <c r="B131" s="46">
        <f t="shared" ref="B131" si="149">+IFERROR(B129/B$18,"nm")</f>
        <v>-0.14970887918486173</v>
      </c>
      <c r="C131" s="46">
        <f>+IFERROR(C129/C$18,"nm")</f>
        <v>-0.16025467353020861</v>
      </c>
      <c r="D131" s="46">
        <f t="shared" ref="D131:H131" si="150">+IFERROR(D129/D$18,"nm")</f>
        <v>-0.16062039957939012</v>
      </c>
      <c r="E131" s="46">
        <f t="shared" si="150"/>
        <v>-0.16432177717940089</v>
      </c>
      <c r="F131" s="46">
        <f t="shared" si="150"/>
        <v>-0.19286882153188278</v>
      </c>
      <c r="G131" s="46">
        <f t="shared" si="150"/>
        <v>-0.22466169566418118</v>
      </c>
      <c r="H131" s="46">
        <f t="shared" si="150"/>
        <v>-0.19989522090924966</v>
      </c>
      <c r="I131" s="46">
        <f>+IFERROR(I129/I$18,"nm")</f>
        <v>-0.22023647360104615</v>
      </c>
    </row>
    <row r="132" spans="1:14" x14ac:dyDescent="0.3">
      <c r="B132" s="46"/>
      <c r="C132" s="46"/>
      <c r="D132" s="46"/>
      <c r="E132" s="46"/>
      <c r="F132" s="46"/>
      <c r="G132" s="46"/>
      <c r="H132" s="46"/>
      <c r="I132" s="46"/>
    </row>
    <row r="133" spans="1:14" x14ac:dyDescent="0.3">
      <c r="A133" s="1" t="s">
        <v>132</v>
      </c>
    </row>
    <row r="134" spans="1:14" x14ac:dyDescent="0.3">
      <c r="A134" s="1"/>
      <c r="B134" s="9">
        <v>210</v>
      </c>
      <c r="C134" s="9">
        <v>230</v>
      </c>
      <c r="D134" s="9">
        <v>233</v>
      </c>
      <c r="E134" s="9">
        <v>217</v>
      </c>
      <c r="F134" s="9">
        <v>195</v>
      </c>
      <c r="G134" s="9">
        <v>214</v>
      </c>
      <c r="H134" s="9">
        <v>222</v>
      </c>
      <c r="I134" s="9">
        <v>220</v>
      </c>
      <c r="J134" s="67">
        <f>I134*1.009</f>
        <v>221.98</v>
      </c>
      <c r="K134" s="67">
        <f t="shared" ref="K134:N134" si="151">J134*1.009</f>
        <v>223.97781999999998</v>
      </c>
      <c r="L134" s="67">
        <f t="shared" si="151"/>
        <v>225.99362037999995</v>
      </c>
      <c r="M134" s="67">
        <f t="shared" si="151"/>
        <v>228.02756296341994</v>
      </c>
      <c r="N134" s="67">
        <f t="shared" si="151"/>
        <v>230.0798110300907</v>
      </c>
    </row>
    <row r="135" spans="1:14" x14ac:dyDescent="0.3">
      <c r="A135" s="1"/>
      <c r="B135" s="46" t="str">
        <f t="shared" ref="B135:H135" si="152">+IFERROR(B134/A134-1,"nm")</f>
        <v>nm</v>
      </c>
      <c r="C135" s="46">
        <f t="shared" si="152"/>
        <v>9.5238095238095344E-2</v>
      </c>
      <c r="D135" s="46">
        <f t="shared" si="152"/>
        <v>1.304347826086949E-2</v>
      </c>
      <c r="E135" s="46">
        <f t="shared" si="152"/>
        <v>-6.8669527896995763E-2</v>
      </c>
      <c r="F135" s="46">
        <f t="shared" si="152"/>
        <v>-0.10138248847926268</v>
      </c>
      <c r="G135" s="46">
        <f t="shared" si="152"/>
        <v>9.7435897435897534E-2</v>
      </c>
      <c r="H135" s="46">
        <f t="shared" si="152"/>
        <v>3.7383177570093462E-2</v>
      </c>
      <c r="I135" s="46">
        <f>+IFERROR(I134/H134-1,"nm")</f>
        <v>-9.009009009009028E-3</v>
      </c>
    </row>
    <row r="136" spans="1:14" x14ac:dyDescent="0.3">
      <c r="A136" s="1"/>
      <c r="B136" s="46">
        <f t="shared" ref="B136:H136" si="153">+IFERROR(B134/B$18,"nm")</f>
        <v>1.5283842794759825E-2</v>
      </c>
      <c r="C136" s="46">
        <f t="shared" si="153"/>
        <v>1.5578434028718504E-2</v>
      </c>
      <c r="D136" s="46">
        <f t="shared" si="153"/>
        <v>1.5312828601472135E-2</v>
      </c>
      <c r="E136" s="46">
        <f t="shared" si="153"/>
        <v>1.460787613598115E-2</v>
      </c>
      <c r="F136" s="46">
        <f t="shared" si="153"/>
        <v>1.2262608476921143E-2</v>
      </c>
      <c r="G136" s="46">
        <f t="shared" si="153"/>
        <v>1.4774924054128693E-2</v>
      </c>
      <c r="H136" s="46">
        <f t="shared" si="153"/>
        <v>1.2922754525874615E-2</v>
      </c>
      <c r="I136" s="46">
        <f>+IFERROR(I134/I$18,"nm")</f>
        <v>1.1987141066855556E-2</v>
      </c>
    </row>
    <row r="137" spans="1:14" x14ac:dyDescent="0.3">
      <c r="A137" s="1" t="s">
        <v>134</v>
      </c>
    </row>
    <row r="138" spans="1:14" x14ac:dyDescent="0.3">
      <c r="A138" s="1"/>
      <c r="B138" s="9">
        <v>-2267</v>
      </c>
      <c r="C138" s="9">
        <v>-2596</v>
      </c>
      <c r="D138" s="9">
        <v>-2677</v>
      </c>
      <c r="E138" s="9">
        <v>-2658</v>
      </c>
      <c r="F138" s="9">
        <v>-3262</v>
      </c>
      <c r="G138" s="9">
        <v>-3468</v>
      </c>
      <c r="H138" s="9">
        <v>-3656</v>
      </c>
      <c r="I138" s="9">
        <v>-4262</v>
      </c>
      <c r="J138" s="67">
        <f>I138*1.097</f>
        <v>-4675.4139999999998</v>
      </c>
      <c r="K138" s="67">
        <f t="shared" ref="K138:N138" si="154">J138*1.097</f>
        <v>-5128.9291579999999</v>
      </c>
      <c r="L138" s="67">
        <f t="shared" si="154"/>
        <v>-5626.4352863260001</v>
      </c>
      <c r="M138" s="67">
        <f t="shared" si="154"/>
        <v>-6172.1995090996215</v>
      </c>
      <c r="N138" s="67">
        <f t="shared" si="154"/>
        <v>-6770.9028614822846</v>
      </c>
    </row>
    <row r="139" spans="1:14" x14ac:dyDescent="0.3">
      <c r="A139" s="1"/>
      <c r="B139" s="46" t="str">
        <f t="shared" ref="B139:H139" si="155">+IFERROR(B138/A138-1,"nm")</f>
        <v>nm</v>
      </c>
      <c r="C139" s="46">
        <f t="shared" si="155"/>
        <v>0.145125716806352</v>
      </c>
      <c r="D139" s="46">
        <f t="shared" si="155"/>
        <v>3.1201848998459125E-2</v>
      </c>
      <c r="E139" s="46">
        <f t="shared" si="155"/>
        <v>-7.097497198356395E-3</v>
      </c>
      <c r="F139" s="46">
        <f t="shared" si="155"/>
        <v>0.22723852520692245</v>
      </c>
      <c r="G139" s="46">
        <f t="shared" si="155"/>
        <v>6.3151440833844275E-2</v>
      </c>
      <c r="H139" s="46">
        <f t="shared" si="155"/>
        <v>5.4209919261822392E-2</v>
      </c>
      <c r="I139" s="46">
        <f>+IFERROR(I138/H138-1,"nm")</f>
        <v>0.16575492341356668</v>
      </c>
    </row>
    <row r="140" spans="1:14" x14ac:dyDescent="0.3">
      <c r="A140" s="1"/>
      <c r="B140" s="46">
        <f t="shared" ref="B140" si="156">+IFERROR(B138/B$18,"nm")</f>
        <v>-0.16499272197962153</v>
      </c>
      <c r="C140" s="46">
        <f>+IFERROR(C138/C$18,"nm")</f>
        <v>-0.17583310755892712</v>
      </c>
      <c r="D140" s="46">
        <f t="shared" ref="D140:H140" si="157">+IFERROR(D138/D$18,"nm")</f>
        <v>-0.17593322818086224</v>
      </c>
      <c r="E140" s="46">
        <f t="shared" si="157"/>
        <v>-0.17892965331538202</v>
      </c>
      <c r="F140" s="46">
        <f t="shared" si="157"/>
        <v>-0.20513143000880393</v>
      </c>
      <c r="G140" s="46">
        <f t="shared" si="157"/>
        <v>-0.23943661971830985</v>
      </c>
      <c r="H140" s="46">
        <f t="shared" si="157"/>
        <v>-0.21281797543512429</v>
      </c>
      <c r="I140" s="46">
        <f>+IFERROR(I138/I$18,"nm")</f>
        <v>-0.2322236146679017</v>
      </c>
    </row>
    <row r="141" spans="1:14" x14ac:dyDescent="0.3">
      <c r="A141" s="1" t="s">
        <v>135</v>
      </c>
    </row>
    <row r="142" spans="1:14" x14ac:dyDescent="0.3">
      <c r="B142" s="9">
        <v>225</v>
      </c>
      <c r="C142" s="9">
        <v>258</v>
      </c>
      <c r="D142" s="9">
        <v>278</v>
      </c>
      <c r="E142" s="9">
        <v>286</v>
      </c>
      <c r="F142" s="9">
        <v>278</v>
      </c>
      <c r="G142" s="9">
        <v>438</v>
      </c>
      <c r="H142" s="9">
        <v>278</v>
      </c>
      <c r="I142" s="9">
        <v>222</v>
      </c>
      <c r="J142" s="67">
        <f>I142*1.033</f>
        <v>229.32599999999999</v>
      </c>
      <c r="K142" s="67">
        <f t="shared" ref="K142:N142" si="158">J142*1.033</f>
        <v>236.89375799999996</v>
      </c>
      <c r="L142" s="67">
        <f t="shared" si="158"/>
        <v>244.71125201399994</v>
      </c>
      <c r="M142" s="67">
        <f t="shared" si="158"/>
        <v>252.78672333046191</v>
      </c>
      <c r="N142" s="67">
        <f t="shared" si="158"/>
        <v>261.12868520036716</v>
      </c>
    </row>
    <row r="143" spans="1:14" x14ac:dyDescent="0.3">
      <c r="B143" s="46" t="str">
        <f t="shared" ref="B143:I143" si="159">+IFERROR(B142/A142-1,"nm")</f>
        <v>nm</v>
      </c>
      <c r="C143" s="46">
        <f t="shared" si="159"/>
        <v>0.14666666666666672</v>
      </c>
      <c r="D143" s="46">
        <f t="shared" si="159"/>
        <v>7.7519379844961156E-2</v>
      </c>
      <c r="E143" s="46">
        <f t="shared" si="159"/>
        <v>2.877697841726623E-2</v>
      </c>
      <c r="F143" s="46">
        <f t="shared" si="159"/>
        <v>-2.7972027972028024E-2</v>
      </c>
      <c r="G143" s="46">
        <f t="shared" si="159"/>
        <v>0.57553956834532372</v>
      </c>
      <c r="H143" s="46">
        <f t="shared" si="159"/>
        <v>-0.36529680365296802</v>
      </c>
      <c r="I143" s="46">
        <f t="shared" si="159"/>
        <v>-0.20143884892086328</v>
      </c>
    </row>
    <row r="144" spans="1:14" x14ac:dyDescent="0.3">
      <c r="B144" s="46">
        <f t="shared" ref="B144:I144" si="160">+IFERROR(B142/B$18,"nm")</f>
        <v>1.6375545851528384E-2</v>
      </c>
      <c r="C144" s="46">
        <f t="shared" si="160"/>
        <v>1.7474939040910322E-2</v>
      </c>
      <c r="D144" s="46">
        <f t="shared" si="160"/>
        <v>1.8270241850683492E-2</v>
      </c>
      <c r="E144" s="46">
        <f t="shared" si="160"/>
        <v>1.9252776842813867E-2</v>
      </c>
      <c r="F144" s="46">
        <f t="shared" si="160"/>
        <v>1.7482077726072191E-2</v>
      </c>
      <c r="G144" s="46">
        <f t="shared" si="160"/>
        <v>3.0240265120132559E-2</v>
      </c>
      <c r="H144" s="46">
        <f t="shared" si="160"/>
        <v>1.618254846032947E-2</v>
      </c>
      <c r="I144" s="46">
        <f t="shared" si="160"/>
        <v>1.2096115076554241E-2</v>
      </c>
    </row>
    <row r="146" spans="1:14" x14ac:dyDescent="0.3">
      <c r="A146" s="68" t="s">
        <v>156</v>
      </c>
    </row>
    <row r="147" spans="1:14" x14ac:dyDescent="0.3">
      <c r="A147" s="9" t="s">
        <v>136</v>
      </c>
      <c r="B147" s="9">
        <v>1982</v>
      </c>
      <c r="C147" s="9">
        <v>1955</v>
      </c>
      <c r="D147" s="9">
        <v>2042</v>
      </c>
      <c r="E147" s="9">
        <v>1912</v>
      </c>
      <c r="F147" s="9">
        <v>1906</v>
      </c>
      <c r="G147" s="9">
        <v>1846</v>
      </c>
      <c r="H147" s="9">
        <v>2205</v>
      </c>
      <c r="I147" s="9">
        <v>2346</v>
      </c>
      <c r="J147" s="64">
        <f>I147*1.027</f>
        <v>2409.3419999999996</v>
      </c>
      <c r="K147" s="64">
        <f t="shared" ref="K147:N147" si="161">J147*1.027</f>
        <v>2474.3942339999994</v>
      </c>
      <c r="L147" s="64">
        <f t="shared" si="161"/>
        <v>2541.202878317999</v>
      </c>
      <c r="M147" s="64">
        <f t="shared" si="161"/>
        <v>2609.8153560325845</v>
      </c>
      <c r="N147" s="64">
        <f t="shared" si="161"/>
        <v>2680.2803706454642</v>
      </c>
    </row>
    <row r="148" spans="1:14" x14ac:dyDescent="0.3">
      <c r="A148" s="43" t="s">
        <v>129</v>
      </c>
      <c r="B148" s="46" t="str">
        <f t="shared" ref="B148:H148" si="162">+IFERROR(B147/A147-1,"nm")</f>
        <v>nm</v>
      </c>
      <c r="C148" s="46">
        <f t="shared" si="162"/>
        <v>-1.3622603430877955E-2</v>
      </c>
      <c r="D148" s="46">
        <f t="shared" si="162"/>
        <v>4.4501278772378416E-2</v>
      </c>
      <c r="E148" s="46">
        <f t="shared" si="162"/>
        <v>-6.3663075416258597E-2</v>
      </c>
      <c r="F148" s="46">
        <f t="shared" si="162"/>
        <v>-3.1380753138074979E-3</v>
      </c>
      <c r="G148" s="46">
        <f t="shared" si="162"/>
        <v>-3.147953830010497E-2</v>
      </c>
      <c r="H148" s="46">
        <f t="shared" si="162"/>
        <v>0.19447453954496208</v>
      </c>
      <c r="I148" s="46">
        <f>+IFERROR(I147/H147-1,"nm")</f>
        <v>6.3945578231292544E-2</v>
      </c>
    </row>
    <row r="149" spans="1:14" x14ac:dyDescent="0.3">
      <c r="A149" s="44" t="s">
        <v>113</v>
      </c>
      <c r="B149" s="3">
        <f>+[1]Historicals!B244</f>
        <v>0</v>
      </c>
      <c r="C149" s="3">
        <f>+[1]Historicals!C244</f>
        <v>0</v>
      </c>
      <c r="D149" s="3">
        <f>+[1]Historicals!D244</f>
        <v>0</v>
      </c>
      <c r="E149" s="3">
        <f>+[1]Historicals!E244</f>
        <v>0</v>
      </c>
      <c r="F149" s="9">
        <v>1658</v>
      </c>
      <c r="G149" s="9">
        <v>-11</v>
      </c>
      <c r="H149" s="9">
        <v>1986</v>
      </c>
      <c r="I149" s="9">
        <v>2094</v>
      </c>
      <c r="J149" s="64">
        <f>J147*0.8</f>
        <v>1927.4735999999998</v>
      </c>
      <c r="K149" s="64">
        <f t="shared" ref="K149:N149" si="163">K147*0.8</f>
        <v>1979.5153871999996</v>
      </c>
      <c r="L149" s="64">
        <f t="shared" si="163"/>
        <v>2032.9623026543993</v>
      </c>
      <c r="M149" s="64">
        <f t="shared" si="163"/>
        <v>2087.8522848260677</v>
      </c>
      <c r="N149" s="64">
        <f t="shared" si="163"/>
        <v>2144.2242965163714</v>
      </c>
    </row>
    <row r="150" spans="1:14" x14ac:dyDescent="0.3">
      <c r="A150" s="43" t="s">
        <v>129</v>
      </c>
      <c r="B150" s="46" t="str">
        <f t="shared" ref="B150:E150" si="164">+IFERROR(B149/A149-1,"nm")</f>
        <v>nm</v>
      </c>
      <c r="C150" s="46" t="str">
        <f t="shared" si="164"/>
        <v>nm</v>
      </c>
      <c r="D150" s="46" t="str">
        <f t="shared" si="164"/>
        <v>nm</v>
      </c>
      <c r="E150" s="46" t="str">
        <f t="shared" si="164"/>
        <v>nm</v>
      </c>
      <c r="F150" s="70"/>
      <c r="G150" s="70">
        <f t="shared" ref="G150:H150" si="165">G149/F149</f>
        <v>-6.6344993968636915E-3</v>
      </c>
      <c r="H150" s="70">
        <f t="shared" si="165"/>
        <v>-180.54545454545453</v>
      </c>
      <c r="I150" s="70">
        <f>I149/H149</f>
        <v>1.054380664652568</v>
      </c>
    </row>
    <row r="151" spans="1:14" x14ac:dyDescent="0.3">
      <c r="A151" s="43" t="s">
        <v>137</v>
      </c>
      <c r="B151" s="46">
        <f>+[1]Historicals!B318</f>
        <v>0</v>
      </c>
      <c r="C151" s="46">
        <f>+[1]Historicals!C318</f>
        <v>0</v>
      </c>
      <c r="D151" s="46">
        <f>+[1]Historicals!D318</f>
        <v>0</v>
      </c>
      <c r="E151" s="46">
        <f>+[1]Historicals!E318</f>
        <v>0</v>
      </c>
      <c r="F151" s="46">
        <f>+[1]Historicals!F318</f>
        <v>0</v>
      </c>
      <c r="G151" s="46">
        <f>+[1]Historicals!G318</f>
        <v>0</v>
      </c>
      <c r="H151" s="46">
        <f>+[1]Historicals!H318</f>
        <v>0</v>
      </c>
    </row>
    <row r="152" spans="1:14" x14ac:dyDescent="0.3">
      <c r="A152" s="43" t="s">
        <v>138</v>
      </c>
      <c r="B152" s="46" t="str">
        <f t="shared" ref="B152:E152" si="166">+IFERROR(B150-B151,"nm")</f>
        <v>nm</v>
      </c>
      <c r="C152" s="46" t="str">
        <f t="shared" si="166"/>
        <v>nm</v>
      </c>
      <c r="D152" s="46" t="str">
        <f t="shared" si="166"/>
        <v>nm</v>
      </c>
      <c r="E152" s="46" t="str">
        <f t="shared" si="166"/>
        <v>nm</v>
      </c>
      <c r="F152" s="46">
        <f>+IFERROR(F149-F151,"nm")</f>
        <v>1658</v>
      </c>
      <c r="G152" s="46">
        <f>+IFERROR(G149-G151,"nm")</f>
        <v>-11</v>
      </c>
      <c r="H152" s="46">
        <f>+IFERROR(H149-H151,"nm")</f>
        <v>1986</v>
      </c>
      <c r="I152" s="46">
        <f>+IFERROR(I149-I150,"nm")</f>
        <v>2092.9456193353476</v>
      </c>
    </row>
    <row r="153" spans="1:14" x14ac:dyDescent="0.3">
      <c r="B153" s="3"/>
      <c r="C153" s="3"/>
      <c r="D153" s="3"/>
      <c r="E153" s="3"/>
      <c r="F153" s="1"/>
      <c r="G153" s="1"/>
      <c r="H153" s="65"/>
      <c r="I153" s="65"/>
    </row>
    <row r="154" spans="1:14" x14ac:dyDescent="0.3">
      <c r="A154" s="44" t="s">
        <v>114</v>
      </c>
      <c r="B154" s="3"/>
      <c r="C154" s="3"/>
      <c r="D154" s="3"/>
      <c r="E154" s="3"/>
      <c r="F154" s="9">
        <v>118</v>
      </c>
      <c r="G154" s="9"/>
      <c r="H154" s="9">
        <v>104</v>
      </c>
      <c r="I154" s="9">
        <v>103</v>
      </c>
      <c r="J154" s="64">
        <f>I154*0.99</f>
        <v>101.97</v>
      </c>
      <c r="K154" s="64">
        <f t="shared" ref="K154:N154" si="167">J154*0.99</f>
        <v>100.9503</v>
      </c>
      <c r="L154" s="64">
        <f t="shared" si="167"/>
        <v>99.940797000000003</v>
      </c>
      <c r="M154" s="64">
        <f t="shared" si="167"/>
        <v>98.941389029999996</v>
      </c>
      <c r="N154" s="64">
        <f t="shared" si="167"/>
        <v>97.951975139699996</v>
      </c>
    </row>
    <row r="155" spans="1:14" x14ac:dyDescent="0.3">
      <c r="A155" s="43" t="s">
        <v>129</v>
      </c>
      <c r="B155" s="46"/>
      <c r="C155" s="46"/>
      <c r="D155" s="46"/>
      <c r="E155" s="46"/>
      <c r="H155" t="e">
        <f>H154/G155</f>
        <v>#DIV/0!</v>
      </c>
      <c r="I155" s="71">
        <v>-0.01</v>
      </c>
    </row>
    <row r="156" spans="1:14" x14ac:dyDescent="0.3">
      <c r="A156" s="43" t="s">
        <v>137</v>
      </c>
      <c r="B156" s="46">
        <f>+[1]Historicals!B322</f>
        <v>0</v>
      </c>
      <c r="C156" s="46">
        <f>+[1]Historicals!C322</f>
        <v>0</v>
      </c>
      <c r="D156" s="46">
        <f>+[1]Historicals!D322</f>
        <v>0</v>
      </c>
      <c r="E156" s="46">
        <f>+[1]Historicals!E322</f>
        <v>0</v>
      </c>
      <c r="F156" s="46">
        <f>+[1]Historicals!F322</f>
        <v>0</v>
      </c>
      <c r="G156" s="46">
        <f>+[1]Historicals!G322</f>
        <v>0</v>
      </c>
      <c r="H156" s="46">
        <f>+[1]Historicals!H322</f>
        <v>0</v>
      </c>
      <c r="I156" s="46">
        <f>+[1]Historicals!I322</f>
        <v>0</v>
      </c>
    </row>
    <row r="157" spans="1:14" x14ac:dyDescent="0.3">
      <c r="A157" s="43" t="s">
        <v>138</v>
      </c>
      <c r="B157" s="46">
        <f>+IFERROR(B155-B156,"nm")</f>
        <v>0</v>
      </c>
      <c r="C157" s="46">
        <f t="shared" ref="C157:E157" si="168">+IFERROR(C155-C156,"nm")</f>
        <v>0</v>
      </c>
      <c r="D157" s="46">
        <f t="shared" si="168"/>
        <v>0</v>
      </c>
      <c r="E157" s="46">
        <f t="shared" si="168"/>
        <v>0</v>
      </c>
      <c r="F157" s="46">
        <f>+IFERROR(F154-F156,"nm")</f>
        <v>118</v>
      </c>
      <c r="G157" s="46">
        <f>+IFERROR(G154-G156,"nm")</f>
        <v>0</v>
      </c>
      <c r="H157" s="46">
        <f>+IFERROR(H154-H156,"nm")</f>
        <v>104</v>
      </c>
      <c r="I157" s="46">
        <f>+IFERROR(I154-I156,"nm")</f>
        <v>103</v>
      </c>
    </row>
    <row r="158" spans="1:14" x14ac:dyDescent="0.3">
      <c r="A158" s="44" t="s">
        <v>115</v>
      </c>
      <c r="B158" s="3">
        <f>+[1]Historicals!B246</f>
        <v>0</v>
      </c>
      <c r="C158" s="3">
        <f>+[1]Historicals!C246</f>
        <v>0</v>
      </c>
      <c r="D158" s="3">
        <f>+[1]Historicals!D246</f>
        <v>0</v>
      </c>
      <c r="E158" s="3">
        <f>+[1]Historicals!E246</f>
        <v>0</v>
      </c>
      <c r="F158" s="1"/>
      <c r="G158" s="1"/>
      <c r="H158" s="1"/>
      <c r="I158" s="1"/>
    </row>
    <row r="159" spans="1:14" x14ac:dyDescent="0.3">
      <c r="A159" s="43" t="s">
        <v>129</v>
      </c>
      <c r="B159" s="46" t="str">
        <f t="shared" ref="B159:E159" si="169">+IFERROR(B158/A158-1,"nm")</f>
        <v>nm</v>
      </c>
      <c r="C159" s="46" t="str">
        <f t="shared" si="169"/>
        <v>nm</v>
      </c>
      <c r="D159" s="46" t="str">
        <f t="shared" si="169"/>
        <v>nm</v>
      </c>
      <c r="E159" s="46" t="str">
        <f t="shared" si="169"/>
        <v>nm</v>
      </c>
      <c r="F159" s="9">
        <v>24</v>
      </c>
      <c r="G159" s="9"/>
      <c r="H159" s="9">
        <v>29</v>
      </c>
      <c r="I159" s="9">
        <v>26</v>
      </c>
      <c r="J159" s="64">
        <f>I159*0.89</f>
        <v>23.14</v>
      </c>
      <c r="K159" s="64">
        <f t="shared" ref="K159:N159" si="170">J159*0.89</f>
        <v>20.5946</v>
      </c>
      <c r="L159" s="64">
        <f t="shared" si="170"/>
        <v>18.329194000000001</v>
      </c>
      <c r="M159" s="64">
        <f t="shared" si="170"/>
        <v>16.312982660000003</v>
      </c>
      <c r="N159" s="64">
        <f t="shared" si="170"/>
        <v>14.518554567400002</v>
      </c>
    </row>
    <row r="160" spans="1:14" x14ac:dyDescent="0.3">
      <c r="A160" s="43" t="s">
        <v>137</v>
      </c>
      <c r="B160" s="46">
        <f>+[1]Historicals!B320</f>
        <v>0</v>
      </c>
      <c r="C160" s="46">
        <f>+[1]Historicals!C320</f>
        <v>0</v>
      </c>
      <c r="D160" s="46">
        <f>+[1]Historicals!D320</f>
        <v>0</v>
      </c>
      <c r="E160" s="46">
        <f>+[1]Historicals!E320</f>
        <v>0</v>
      </c>
      <c r="F160" s="46">
        <f>+[1]Historicals!F320</f>
        <v>0</v>
      </c>
      <c r="G160" s="46">
        <f>+[1]Historicals!G320</f>
        <v>0</v>
      </c>
      <c r="H160" s="46">
        <f>+[1]Historicals!H320</f>
        <v>0</v>
      </c>
      <c r="I160" s="46">
        <f>+[1]Historicals!I320</f>
        <v>0</v>
      </c>
    </row>
    <row r="161" spans="1:14" x14ac:dyDescent="0.3">
      <c r="A161" s="43" t="s">
        <v>138</v>
      </c>
      <c r="B161" s="46" t="str">
        <f t="shared" ref="B161:F161" si="171">+IFERROR(B159-B160,"nm")</f>
        <v>nm</v>
      </c>
      <c r="C161" s="46" t="str">
        <f t="shared" si="171"/>
        <v>nm</v>
      </c>
      <c r="D161" s="46" t="str">
        <f t="shared" si="171"/>
        <v>nm</v>
      </c>
      <c r="E161" s="46" t="str">
        <f t="shared" si="171"/>
        <v>nm</v>
      </c>
      <c r="F161" s="46">
        <f t="shared" si="171"/>
        <v>24</v>
      </c>
      <c r="G161" s="46">
        <f>+IFERROR(G159-G160,"nm")</f>
        <v>0</v>
      </c>
      <c r="H161" s="46">
        <f>+IFERROR(H159-H160,"nm")</f>
        <v>29</v>
      </c>
      <c r="I161" s="46">
        <f>+IFERROR(I159-I160,"nm")</f>
        <v>26</v>
      </c>
    </row>
    <row r="162" spans="1:14" x14ac:dyDescent="0.3">
      <c r="A162" s="43"/>
      <c r="B162" s="46"/>
      <c r="C162" s="46"/>
      <c r="D162" s="46"/>
      <c r="E162" s="46"/>
      <c r="F162" s="46"/>
      <c r="G162" s="46"/>
      <c r="H162" s="46"/>
      <c r="I162" s="46"/>
    </row>
    <row r="163" spans="1:14" x14ac:dyDescent="0.3">
      <c r="A163" s="43" t="s">
        <v>108</v>
      </c>
      <c r="B163" s="9">
        <v>-82</v>
      </c>
      <c r="C163" s="9">
        <v>-86</v>
      </c>
      <c r="D163" s="9">
        <v>75</v>
      </c>
      <c r="E163" s="9"/>
      <c r="F163" s="9">
        <v>-7</v>
      </c>
      <c r="G163" s="9"/>
      <c r="H163" s="9">
        <v>40</v>
      </c>
      <c r="I163" s="9">
        <v>-72</v>
      </c>
      <c r="J163" s="72">
        <f>I163/1.11</f>
        <v>-64.864864864864856</v>
      </c>
      <c r="K163" s="72">
        <f t="shared" ref="K163:N163" si="172">J163/1.11</f>
        <v>-58.436815193571938</v>
      </c>
      <c r="L163" s="72">
        <f t="shared" si="172"/>
        <v>-52.64577945366841</v>
      </c>
      <c r="M163" s="72">
        <f t="shared" si="172"/>
        <v>-47.428630138440006</v>
      </c>
      <c r="N163" s="72">
        <f t="shared" si="172"/>
        <v>-42.728495620216215</v>
      </c>
    </row>
    <row r="164" spans="1:14" x14ac:dyDescent="0.3">
      <c r="A164" s="43"/>
      <c r="B164" s="46"/>
      <c r="C164" s="73">
        <f>C163/B163</f>
        <v>1.0487804878048781</v>
      </c>
      <c r="D164" s="73">
        <f t="shared" ref="D164:I164" si="173">D163/C163</f>
        <v>-0.87209302325581395</v>
      </c>
      <c r="E164" s="73">
        <f t="shared" si="173"/>
        <v>0</v>
      </c>
      <c r="F164" s="73" t="e">
        <f t="shared" si="173"/>
        <v>#DIV/0!</v>
      </c>
      <c r="G164" s="73">
        <f t="shared" si="173"/>
        <v>0</v>
      </c>
      <c r="H164" s="73" t="e">
        <f t="shared" si="173"/>
        <v>#DIV/0!</v>
      </c>
      <c r="I164" s="73">
        <f t="shared" si="173"/>
        <v>-1.8</v>
      </c>
    </row>
    <row r="165" spans="1:14" x14ac:dyDescent="0.3">
      <c r="A165" s="43"/>
      <c r="B165" s="46">
        <f>+[1]Historicals!B324</f>
        <v>0</v>
      </c>
      <c r="C165" s="46">
        <f>+[1]Historicals!C324</f>
        <v>0</v>
      </c>
      <c r="D165" s="46">
        <f>+[1]Historicals!D324</f>
        <v>0</v>
      </c>
      <c r="E165" s="46">
        <f>+[1]Historicals!E324</f>
        <v>0</v>
      </c>
      <c r="F165" s="46">
        <f>+[1]Historicals!F324</f>
        <v>0</v>
      </c>
      <c r="G165" s="46">
        <f>+[1]Historicals!G324</f>
        <v>0</v>
      </c>
      <c r="H165" s="46">
        <f>+[1]Historicals!H324</f>
        <v>0</v>
      </c>
      <c r="I165" s="46">
        <f>+[1]Historicals!I324</f>
        <v>0</v>
      </c>
    </row>
    <row r="166" spans="1:14" x14ac:dyDescent="0.3">
      <c r="A166" s="43"/>
      <c r="B166" s="46">
        <f t="shared" ref="B166:F166" si="174">+IFERROR(B164-B165,"nm")</f>
        <v>0</v>
      </c>
      <c r="C166" s="46">
        <f t="shared" si="174"/>
        <v>1.0487804878048781</v>
      </c>
      <c r="D166" s="46">
        <f t="shared" si="174"/>
        <v>-0.87209302325581395</v>
      </c>
      <c r="E166" s="46">
        <f t="shared" si="174"/>
        <v>0</v>
      </c>
      <c r="F166" s="46" t="str">
        <f t="shared" si="174"/>
        <v>nm</v>
      </c>
      <c r="G166" s="46">
        <f>+IFERROR(G164-G165,"nm")</f>
        <v>0</v>
      </c>
      <c r="H166" s="46" t="str">
        <f>+IFERROR(H164-H165,"nm")</f>
        <v>nm</v>
      </c>
      <c r="I166" s="46">
        <f>+IFERROR(I164-I165,"nm")</f>
        <v>-1.8</v>
      </c>
    </row>
    <row r="167" spans="1:14" x14ac:dyDescent="0.3">
      <c r="A167" s="43"/>
      <c r="B167" s="46"/>
      <c r="C167" s="46"/>
      <c r="D167" s="46"/>
      <c r="E167" s="46"/>
      <c r="F167" s="46"/>
      <c r="G167" s="46"/>
      <c r="H167" s="46"/>
      <c r="I167" s="46"/>
    </row>
    <row r="168" spans="1:14" x14ac:dyDescent="0.3">
      <c r="A168" s="43" t="s">
        <v>104</v>
      </c>
      <c r="B168" s="46" t="str">
        <f t="shared" ref="B168:E168" si="175">+IFERROR(B167/A167-1,"nm")</f>
        <v>nm</v>
      </c>
      <c r="C168" s="46" t="str">
        <f t="shared" si="175"/>
        <v>nm</v>
      </c>
      <c r="D168" s="46" t="str">
        <f t="shared" si="175"/>
        <v>nm</v>
      </c>
      <c r="E168" s="46" t="str">
        <f t="shared" si="175"/>
        <v>nm</v>
      </c>
      <c r="F168" s="9">
        <v>-7</v>
      </c>
      <c r="G168" s="9"/>
      <c r="H168" s="9">
        <v>40</v>
      </c>
      <c r="I168" s="9">
        <v>-72</v>
      </c>
      <c r="J168" s="67">
        <f>I168*-1.7</f>
        <v>122.39999999999999</v>
      </c>
      <c r="K168" s="67">
        <f>J168*1.7</f>
        <v>208.07999999999998</v>
      </c>
      <c r="L168" s="67">
        <f t="shared" ref="L168:N168" si="176">K168*1.7</f>
        <v>353.73599999999999</v>
      </c>
      <c r="M168" s="67">
        <f t="shared" si="176"/>
        <v>601.35119999999995</v>
      </c>
      <c r="N168" s="67">
        <f t="shared" si="176"/>
        <v>1022.2970399999999</v>
      </c>
    </row>
    <row r="169" spans="1:14" x14ac:dyDescent="0.3">
      <c r="A169" s="43"/>
      <c r="B169" s="46">
        <f>+[1]Historicals!B328</f>
        <v>0</v>
      </c>
      <c r="C169" s="46">
        <f>+[1]Historicals!C328</f>
        <v>0</v>
      </c>
      <c r="D169" s="46">
        <f>+[1]Historicals!D328</f>
        <v>0</v>
      </c>
      <c r="E169" s="46">
        <f>+[1]Historicals!E328</f>
        <v>0</v>
      </c>
      <c r="F169" s="46">
        <f>+[1]Historicals!F328</f>
        <v>0</v>
      </c>
      <c r="G169" s="46"/>
      <c r="H169" s="74">
        <v>671</v>
      </c>
      <c r="I169" s="74">
        <v>-175</v>
      </c>
    </row>
    <row r="170" spans="1:14" x14ac:dyDescent="0.3">
      <c r="A170" s="43"/>
      <c r="B170" s="46" t="str">
        <f t="shared" ref="B170:F170" si="177">+IFERROR(B168-B169,"nm")</f>
        <v>nm</v>
      </c>
      <c r="C170" s="46" t="str">
        <f t="shared" si="177"/>
        <v>nm</v>
      </c>
      <c r="D170" s="46" t="str">
        <f t="shared" si="177"/>
        <v>nm</v>
      </c>
      <c r="E170" s="46" t="str">
        <f t="shared" si="177"/>
        <v>nm</v>
      </c>
      <c r="F170" s="46">
        <f t="shared" si="177"/>
        <v>-7</v>
      </c>
      <c r="G170" s="46">
        <f>+IFERROR(G168-G169,"nm")</f>
        <v>0</v>
      </c>
      <c r="H170" s="46">
        <f>+IFERROR(H168-H169,"nm")</f>
        <v>-631</v>
      </c>
      <c r="I170" s="46">
        <f>+IFERROR(I168-I169,"nm")</f>
        <v>103</v>
      </c>
    </row>
    <row r="171" spans="1:14" x14ac:dyDescent="0.3">
      <c r="A171" s="43"/>
      <c r="B171" s="46"/>
      <c r="C171" s="46"/>
      <c r="D171" s="46"/>
      <c r="E171" s="46"/>
      <c r="F171" s="46"/>
      <c r="G171" s="46"/>
      <c r="H171" s="46"/>
      <c r="I171" s="46"/>
    </row>
    <row r="172" spans="1:14" x14ac:dyDescent="0.3">
      <c r="A172" s="43" t="s">
        <v>121</v>
      </c>
      <c r="B172" s="46" t="str">
        <f t="shared" ref="B172:E172" si="178">+IFERROR(B171/A171-1,"nm")</f>
        <v>nm</v>
      </c>
      <c r="C172" s="46" t="str">
        <f t="shared" si="178"/>
        <v>nm</v>
      </c>
      <c r="D172" s="46" t="str">
        <f t="shared" si="178"/>
        <v>nm</v>
      </c>
      <c r="E172" s="46" t="str">
        <f t="shared" si="178"/>
        <v>nm</v>
      </c>
      <c r="F172" s="9">
        <v>106</v>
      </c>
      <c r="G172" s="9"/>
      <c r="H172" s="9">
        <v>86</v>
      </c>
      <c r="I172" s="9">
        <v>123</v>
      </c>
      <c r="J172" s="64">
        <f>I172*1.4</f>
        <v>172.2</v>
      </c>
      <c r="K172" s="64">
        <f t="shared" ref="K172:N172" si="179">J172*1.4</f>
        <v>241.07999999999996</v>
      </c>
      <c r="L172" s="64">
        <f t="shared" si="179"/>
        <v>337.51199999999994</v>
      </c>
      <c r="M172" s="64">
        <f t="shared" si="179"/>
        <v>472.51679999999988</v>
      </c>
      <c r="N172" s="64">
        <f t="shared" si="179"/>
        <v>661.52351999999973</v>
      </c>
    </row>
    <row r="173" spans="1:14" x14ac:dyDescent="0.3">
      <c r="A173" s="43"/>
      <c r="B173" s="73"/>
      <c r="C173" s="73"/>
      <c r="D173" s="73"/>
      <c r="E173" s="73"/>
      <c r="F173" s="73"/>
      <c r="G173" s="73"/>
      <c r="H173" s="73"/>
      <c r="I173" s="73"/>
    </row>
    <row r="174" spans="1:14" x14ac:dyDescent="0.3">
      <c r="A174" s="43"/>
      <c r="B174" s="46" t="str">
        <f t="shared" ref="B174:F174" si="180">+IFERROR(B172-B173,"nm")</f>
        <v>nm</v>
      </c>
      <c r="C174" s="46" t="str">
        <f t="shared" si="180"/>
        <v>nm</v>
      </c>
      <c r="D174" s="46" t="str">
        <f t="shared" si="180"/>
        <v>nm</v>
      </c>
      <c r="E174" s="46" t="str">
        <f t="shared" si="180"/>
        <v>nm</v>
      </c>
      <c r="F174" s="46">
        <f t="shared" si="180"/>
        <v>106</v>
      </c>
      <c r="G174" s="46">
        <f>+IFERROR(G172-G173,"nm")</f>
        <v>0</v>
      </c>
      <c r="H174" s="46">
        <f>+IFERROR(H172-H173,"nm")</f>
        <v>86</v>
      </c>
      <c r="I174" s="46">
        <f>+IFERROR(I172-I173,"nm")</f>
        <v>123</v>
      </c>
    </row>
    <row r="175" spans="1:14" x14ac:dyDescent="0.3">
      <c r="A175" s="43"/>
      <c r="B175" s="46"/>
      <c r="C175" s="46"/>
      <c r="D175" s="46"/>
      <c r="E175" s="46"/>
      <c r="F175" s="46"/>
      <c r="G175" s="46"/>
      <c r="H175" s="46"/>
      <c r="I175" s="46"/>
    </row>
    <row r="176" spans="1:14" ht="15" thickBot="1" x14ac:dyDescent="0.35">
      <c r="A176" s="9" t="s">
        <v>130</v>
      </c>
      <c r="B176" s="56">
        <f>B180+B184</f>
        <v>-487</v>
      </c>
      <c r="C176" s="56">
        <f t="shared" ref="C176:I176" si="181">C180+C184</f>
        <v>-575</v>
      </c>
      <c r="D176" s="56">
        <f t="shared" si="181"/>
        <v>-128</v>
      </c>
      <c r="E176" s="56">
        <f t="shared" si="181"/>
        <v>-1003</v>
      </c>
      <c r="F176" s="56">
        <f t="shared" si="181"/>
        <v>-1360</v>
      </c>
      <c r="G176" s="56">
        <f t="shared" si="181"/>
        <v>-1533</v>
      </c>
      <c r="H176" s="56">
        <f t="shared" si="181"/>
        <v>-1551</v>
      </c>
      <c r="I176" s="56">
        <f t="shared" si="181"/>
        <v>-1394</v>
      </c>
      <c r="J176" s="47">
        <f>J180+J184</f>
        <v>39.313333333333361</v>
      </c>
      <c r="K176" s="47">
        <f t="shared" ref="K176:N176" si="182">K180+K184</f>
        <v>-11.79159999999996</v>
      </c>
      <c r="L176" s="47">
        <f t="shared" si="182"/>
        <v>-94.10992799999994</v>
      </c>
      <c r="M176" s="47">
        <f t="shared" si="182"/>
        <v>-223.70122223999991</v>
      </c>
      <c r="N176" s="47">
        <f t="shared" si="182"/>
        <v>-424.69107001919986</v>
      </c>
    </row>
    <row r="177" spans="1:14" ht="15" thickTop="1" x14ac:dyDescent="0.3">
      <c r="A177" s="45" t="s">
        <v>129</v>
      </c>
      <c r="B177" s="46"/>
      <c r="C177" s="73">
        <f>98/B176</f>
        <v>-0.20123203285420946</v>
      </c>
      <c r="D177" s="73">
        <v>1.28</v>
      </c>
      <c r="E177" s="74">
        <v>-683</v>
      </c>
      <c r="F177" s="74">
        <v>-30</v>
      </c>
      <c r="G177" s="74">
        <v>-12</v>
      </c>
      <c r="H177" s="74">
        <v>-1</v>
      </c>
      <c r="I177" s="74">
        <v>11</v>
      </c>
    </row>
    <row r="178" spans="1:14" x14ac:dyDescent="0.3">
      <c r="A178" s="45" t="s">
        <v>131</v>
      </c>
      <c r="B178" s="46">
        <f>+IFERROR(B176/B$18,"nm")</f>
        <v>-3.5443959243085882E-2</v>
      </c>
      <c r="C178" s="46">
        <f t="shared" ref="C178:G178" si="183">+IFERROR(C176/C$18,"nm")</f>
        <v>-3.8946085071796262E-2</v>
      </c>
      <c r="D178" s="46">
        <f t="shared" si="183"/>
        <v>-8.4121976866456359E-3</v>
      </c>
      <c r="E178" s="46">
        <f t="shared" si="183"/>
        <v>-6.7519353752945141E-2</v>
      </c>
      <c r="F178" s="46">
        <f t="shared" si="183"/>
        <v>-8.5523833480065398E-2</v>
      </c>
      <c r="G178" s="46">
        <f t="shared" si="183"/>
        <v>-0.10584092792046396</v>
      </c>
      <c r="H178" s="46">
        <f>+IFERROR(H176/H$18,"nm")</f>
        <v>-9.0284649863205071E-2</v>
      </c>
      <c r="I178" s="46">
        <f>+IFERROR(I176/I$18,"nm")</f>
        <v>-7.5954884759984742E-2</v>
      </c>
    </row>
    <row r="179" spans="1:14" x14ac:dyDescent="0.3">
      <c r="A179" s="9"/>
      <c r="B179" s="9"/>
      <c r="C179" s="9"/>
      <c r="D179" s="9"/>
      <c r="E179" s="9"/>
      <c r="F179" s="9"/>
      <c r="G179" s="9"/>
      <c r="H179" s="9"/>
      <c r="I179" s="9"/>
    </row>
    <row r="180" spans="1:14" x14ac:dyDescent="0.3">
      <c r="A180" s="9" t="s">
        <v>132</v>
      </c>
      <c r="B180" s="75">
        <v>93</v>
      </c>
      <c r="C180" s="75">
        <v>111</v>
      </c>
      <c r="D180" s="75">
        <v>119</v>
      </c>
      <c r="E180" s="75">
        <v>143</v>
      </c>
      <c r="F180" s="75">
        <v>147</v>
      </c>
      <c r="G180" s="75">
        <v>137</v>
      </c>
      <c r="H180" s="75">
        <v>167</v>
      </c>
      <c r="I180" s="75">
        <v>156</v>
      </c>
      <c r="J180" s="66">
        <f>I180*1.08</f>
        <v>168.48000000000002</v>
      </c>
      <c r="K180" s="66">
        <f t="shared" ref="K180:N180" si="184">J180*1.08</f>
        <v>181.95840000000004</v>
      </c>
      <c r="L180" s="66">
        <f t="shared" si="184"/>
        <v>196.51507200000006</v>
      </c>
      <c r="M180" s="66">
        <f t="shared" si="184"/>
        <v>212.23627776000009</v>
      </c>
      <c r="N180" s="66">
        <f t="shared" si="184"/>
        <v>229.21517998080012</v>
      </c>
    </row>
    <row r="181" spans="1:14" x14ac:dyDescent="0.3">
      <c r="A181" s="45" t="s">
        <v>129</v>
      </c>
      <c r="C181">
        <f>C180/B180</f>
        <v>1.1935483870967742</v>
      </c>
      <c r="D181">
        <f t="shared" ref="D181:I181" si="185">D180/C180</f>
        <v>1.072072072072072</v>
      </c>
      <c r="E181">
        <f t="shared" si="185"/>
        <v>1.2016806722689075</v>
      </c>
      <c r="F181">
        <f t="shared" si="185"/>
        <v>1.0279720279720279</v>
      </c>
      <c r="G181">
        <f t="shared" si="185"/>
        <v>0.93197278911564629</v>
      </c>
      <c r="H181">
        <f t="shared" si="185"/>
        <v>1.218978102189781</v>
      </c>
      <c r="I181">
        <f t="shared" si="185"/>
        <v>0.93413173652694614</v>
      </c>
    </row>
    <row r="182" spans="1:14" x14ac:dyDescent="0.3">
      <c r="A182" s="45" t="s">
        <v>133</v>
      </c>
      <c r="B182" s="46">
        <f>B180/B147</f>
        <v>4.6922300706357216E-2</v>
      </c>
      <c r="C182" s="46">
        <f t="shared" ref="C182:I182" si="186">C180/C147</f>
        <v>5.677749360613811E-2</v>
      </c>
      <c r="D182" s="46">
        <f t="shared" si="186"/>
        <v>5.8276199804113617E-2</v>
      </c>
      <c r="E182" s="46">
        <f t="shared" si="186"/>
        <v>7.4790794979079492E-2</v>
      </c>
      <c r="F182" s="46">
        <f t="shared" si="186"/>
        <v>7.7124868835257085E-2</v>
      </c>
      <c r="G182" s="46">
        <f t="shared" si="186"/>
        <v>7.4214517876489708E-2</v>
      </c>
      <c r="H182" s="46">
        <f t="shared" si="186"/>
        <v>7.573696145124717E-2</v>
      </c>
      <c r="I182" s="46">
        <f t="shared" si="186"/>
        <v>6.6496163682864456E-2</v>
      </c>
    </row>
    <row r="183" spans="1:14" x14ac:dyDescent="0.3">
      <c r="A183" s="45"/>
      <c r="B183" s="46"/>
      <c r="C183" s="46"/>
      <c r="D183" s="46"/>
      <c r="E183" s="46"/>
      <c r="F183" s="46"/>
      <c r="G183" s="46"/>
      <c r="H183" s="46"/>
      <c r="I183" s="46"/>
    </row>
    <row r="184" spans="1:14" x14ac:dyDescent="0.3">
      <c r="A184" s="9" t="s">
        <v>134</v>
      </c>
      <c r="B184" s="9">
        <v>-580</v>
      </c>
      <c r="C184" s="9">
        <v>-686</v>
      </c>
      <c r="D184" s="9">
        <v>-247</v>
      </c>
      <c r="E184" s="9">
        <v>-1146</v>
      </c>
      <c r="F184" s="9">
        <v>-1507</v>
      </c>
      <c r="G184" s="9">
        <v>-1670</v>
      </c>
      <c r="H184" s="9">
        <v>-1718</v>
      </c>
      <c r="I184" s="9">
        <v>-1550</v>
      </c>
      <c r="J184" s="76">
        <f>I184/12</f>
        <v>-129.16666666666666</v>
      </c>
      <c r="K184" s="67">
        <f>J184*1.5</f>
        <v>-193.75</v>
      </c>
      <c r="L184" s="67">
        <f t="shared" ref="L184:N184" si="187">K184*1.5</f>
        <v>-290.625</v>
      </c>
      <c r="M184" s="67">
        <f t="shared" si="187"/>
        <v>-435.9375</v>
      </c>
      <c r="N184" s="67">
        <f t="shared" si="187"/>
        <v>-653.90625</v>
      </c>
    </row>
    <row r="185" spans="1:14" x14ac:dyDescent="0.3">
      <c r="A185" s="45" t="s">
        <v>129</v>
      </c>
      <c r="B185" s="46"/>
      <c r="C185" s="46">
        <v>-2.77</v>
      </c>
      <c r="D185" s="46">
        <f t="shared" ref="D185" si="188">+IFERROR(D184/C184-1,"nm")</f>
        <v>-0.63994169096209919</v>
      </c>
      <c r="E185" s="46">
        <v>-4.63</v>
      </c>
      <c r="F185" s="46">
        <v>0.24</v>
      </c>
      <c r="G185" s="46">
        <v>0.02</v>
      </c>
      <c r="H185" s="46">
        <f t="shared" ref="H185" si="189">+IFERROR(H184/G184-1,"nm")</f>
        <v>2.8742514970059974E-2</v>
      </c>
      <c r="I185" s="46">
        <f>+IFERROR(I184/H184-1,"nm")</f>
        <v>-9.7788125727590214E-2</v>
      </c>
    </row>
    <row r="186" spans="1:14" x14ac:dyDescent="0.3">
      <c r="A186" s="45" t="s">
        <v>131</v>
      </c>
      <c r="B186" s="46">
        <f t="shared" ref="B186" si="190">+IFERROR(B184/B$18,"nm")</f>
        <v>-4.2212518195050945E-2</v>
      </c>
      <c r="C186" s="46">
        <f>+IFERROR(C184/C$18,"nm")</f>
        <v>-4.6464372798699541E-2</v>
      </c>
      <c r="D186" s="46">
        <f t="shared" ref="D186:H186" si="191">+IFERROR(D184/D$18,"nm")</f>
        <v>-1.6232912723449001E-2</v>
      </c>
      <c r="E186" s="46">
        <f t="shared" si="191"/>
        <v>-7.7145742174352064E-2</v>
      </c>
      <c r="F186" s="46">
        <f t="shared" si="191"/>
        <v>-9.4767953716513642E-2</v>
      </c>
      <c r="G186" s="46">
        <f t="shared" si="191"/>
        <v>-0.11529964098315383</v>
      </c>
      <c r="H186" s="46">
        <f t="shared" si="191"/>
        <v>-0.10000582106059724</v>
      </c>
      <c r="I186" s="46">
        <f>+IFERROR(I184/I$18,"nm")</f>
        <v>-8.4454857516482323E-2</v>
      </c>
    </row>
    <row r="187" spans="1:14" x14ac:dyDescent="0.3">
      <c r="B187" s="9"/>
      <c r="C187" s="9"/>
      <c r="D187" s="9"/>
      <c r="E187" s="9"/>
      <c r="F187" s="9"/>
      <c r="G187" s="9"/>
      <c r="H187" s="9"/>
      <c r="I187" s="9"/>
    </row>
    <row r="188" spans="1:14" x14ac:dyDescent="0.3">
      <c r="A188" s="9" t="s">
        <v>135</v>
      </c>
      <c r="B188" s="9">
        <v>213</v>
      </c>
      <c r="C188" s="9">
        <v>351</v>
      </c>
      <c r="D188" s="9">
        <v>417</v>
      </c>
      <c r="E188" s="9">
        <v>347</v>
      </c>
      <c r="F188" s="9">
        <v>351</v>
      </c>
      <c r="G188" s="9">
        <v>368</v>
      </c>
      <c r="H188" s="9">
        <v>18</v>
      </c>
      <c r="I188" s="9">
        <v>59</v>
      </c>
      <c r="J188" s="67">
        <f>I188*2.14</f>
        <v>126.26</v>
      </c>
      <c r="K188" s="67">
        <f t="shared" ref="K188:N188" si="192">J188*2.14</f>
        <v>270.19640000000004</v>
      </c>
      <c r="L188" s="67">
        <f t="shared" si="192"/>
        <v>578.22029600000008</v>
      </c>
      <c r="M188" s="67">
        <f t="shared" si="192"/>
        <v>1237.3914334400001</v>
      </c>
      <c r="N188" s="67">
        <f t="shared" si="192"/>
        <v>2648.0176675616003</v>
      </c>
    </row>
    <row r="189" spans="1:14" x14ac:dyDescent="0.3">
      <c r="A189" s="45" t="s">
        <v>129</v>
      </c>
      <c r="B189" s="46"/>
      <c r="C189" s="77">
        <f>C188/B188</f>
        <v>1.647887323943662</v>
      </c>
      <c r="D189" s="77">
        <f>D188/C188</f>
        <v>1.188034188034188</v>
      </c>
      <c r="E189" s="77">
        <v>-17</v>
      </c>
      <c r="F189" s="74">
        <f>F188/E188</f>
        <v>1.0115273775216138</v>
      </c>
      <c r="G189" s="74">
        <v>4</v>
      </c>
      <c r="H189" s="77">
        <v>-96</v>
      </c>
      <c r="I189" s="46">
        <f>I188/H188</f>
        <v>3.2777777777777777</v>
      </c>
    </row>
    <row r="190" spans="1:14" x14ac:dyDescent="0.3">
      <c r="A190" s="45" t="s">
        <v>133</v>
      </c>
      <c r="B190" s="46">
        <f t="shared" ref="B190:H190" si="193">+IFERROR(B187/B$18,"nm")</f>
        <v>0</v>
      </c>
      <c r="C190" s="46">
        <f t="shared" si="193"/>
        <v>0</v>
      </c>
      <c r="D190" s="46">
        <f t="shared" si="193"/>
        <v>0</v>
      </c>
      <c r="E190" s="46">
        <f t="shared" si="193"/>
        <v>0</v>
      </c>
      <c r="F190" s="46">
        <f t="shared" si="193"/>
        <v>0</v>
      </c>
      <c r="G190" s="46">
        <f t="shared" si="193"/>
        <v>0</v>
      </c>
      <c r="H190" s="46">
        <f t="shared" si="193"/>
        <v>0</v>
      </c>
      <c r="I190" s="46">
        <f>+IFERROR(I187/I$18,"nm")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BENJAMIN BAZINI</cp:lastModifiedBy>
  <dcterms:created xsi:type="dcterms:W3CDTF">2020-05-20T17:26:08Z</dcterms:created>
  <dcterms:modified xsi:type="dcterms:W3CDTF">2024-12-04T16:05:09Z</dcterms:modified>
</cp:coreProperties>
</file>