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Ben\Downloads\"/>
    </mc:Choice>
  </mc:AlternateContent>
  <xr:revisionPtr revIDLastSave="0" documentId="13_ncr:1_{FC77139F-DB93-4AA4-B81C-3F931F3FC3D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heet1" sheetId="2" r:id="rId1"/>
    <sheet name="Historicals" sheetId="7" r:id="rId2"/>
    <sheet name="Segmental forecast" sheetId="6" r:id="rId3"/>
    <sheet name="Three Statements" sheetId="5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7" l="1"/>
  <c r="I20" i="7"/>
  <c r="H20" i="7"/>
  <c r="B183" i="7"/>
  <c r="B184" i="7" s="1"/>
  <c r="I180" i="7"/>
  <c r="I183" i="7" s="1"/>
  <c r="I184" i="7" s="1"/>
  <c r="H180" i="7"/>
  <c r="H183" i="7" s="1"/>
  <c r="H184" i="7" s="1"/>
  <c r="G180" i="7"/>
  <c r="G183" i="7" s="1"/>
  <c r="G184" i="7" s="1"/>
  <c r="F180" i="7"/>
  <c r="F183" i="7" s="1"/>
  <c r="F184" i="7" s="1"/>
  <c r="E180" i="7"/>
  <c r="E183" i="7" s="1"/>
  <c r="E184" i="7" s="1"/>
  <c r="D180" i="7"/>
  <c r="D183" i="7" s="1"/>
  <c r="D184" i="7" s="1"/>
  <c r="C180" i="7"/>
  <c r="C183" i="7" s="1"/>
  <c r="C184" i="7" s="1"/>
  <c r="B180" i="7"/>
  <c r="I169" i="7"/>
  <c r="I172" i="7" s="1"/>
  <c r="I173" i="7" s="1"/>
  <c r="H169" i="7"/>
  <c r="H172" i="7" s="1"/>
  <c r="H173" i="7" s="1"/>
  <c r="G169" i="7"/>
  <c r="G172" i="7" s="1"/>
  <c r="G173" i="7" s="1"/>
  <c r="F169" i="7"/>
  <c r="F172" i="7" s="1"/>
  <c r="F173" i="7" s="1"/>
  <c r="E169" i="7"/>
  <c r="E172" i="7" s="1"/>
  <c r="E173" i="7" s="1"/>
  <c r="D169" i="7"/>
  <c r="D172" i="7" s="1"/>
  <c r="D173" i="7" s="1"/>
  <c r="C169" i="7"/>
  <c r="C172" i="7" s="1"/>
  <c r="C173" i="7" s="1"/>
  <c r="B169" i="7"/>
  <c r="B172" i="7" s="1"/>
  <c r="B173" i="7" s="1"/>
  <c r="I158" i="7"/>
  <c r="I161" i="7" s="1"/>
  <c r="I162" i="7" s="1"/>
  <c r="H158" i="7"/>
  <c r="H161" i="7" s="1"/>
  <c r="H162" i="7" s="1"/>
  <c r="G158" i="7"/>
  <c r="G161" i="7" s="1"/>
  <c r="G162" i="7" s="1"/>
  <c r="F158" i="7"/>
  <c r="F161" i="7" s="1"/>
  <c r="F162" i="7" s="1"/>
  <c r="E158" i="7"/>
  <c r="E161" i="7" s="1"/>
  <c r="E162" i="7" s="1"/>
  <c r="D158" i="7"/>
  <c r="D161" i="7" s="1"/>
  <c r="D162" i="7" s="1"/>
  <c r="C158" i="7"/>
  <c r="C161" i="7" s="1"/>
  <c r="C162" i="7" s="1"/>
  <c r="B158" i="7"/>
  <c r="B161" i="7" s="1"/>
  <c r="B162" i="7" s="1"/>
  <c r="I147" i="7"/>
  <c r="I150" i="7" s="1"/>
  <c r="I151" i="7" s="1"/>
  <c r="H147" i="7"/>
  <c r="H150" i="7" s="1"/>
  <c r="G147" i="7"/>
  <c r="G150" i="7" s="1"/>
  <c r="F147" i="7"/>
  <c r="F150" i="7" s="1"/>
  <c r="E147" i="7"/>
  <c r="E150" i="7" s="1"/>
  <c r="D147" i="7"/>
  <c r="D150" i="7" s="1"/>
  <c r="C147" i="7"/>
  <c r="C150" i="7" s="1"/>
  <c r="C151" i="7" s="1"/>
  <c r="B147" i="7"/>
  <c r="B150" i="7" s="1"/>
  <c r="I133" i="7"/>
  <c r="H133" i="7"/>
  <c r="G132" i="7"/>
  <c r="G139" i="7" s="1"/>
  <c r="G140" i="7" s="1"/>
  <c r="F132" i="7"/>
  <c r="F139" i="7" s="1"/>
  <c r="F140" i="7" s="1"/>
  <c r="E132" i="7"/>
  <c r="E139" i="7" s="1"/>
  <c r="E140" i="7" s="1"/>
  <c r="D132" i="7"/>
  <c r="D139" i="7" s="1"/>
  <c r="D140" i="7" s="1"/>
  <c r="C132" i="7"/>
  <c r="C139" i="7" s="1"/>
  <c r="C140" i="7" s="1"/>
  <c r="B132" i="7"/>
  <c r="B139" i="7" s="1"/>
  <c r="I127" i="7"/>
  <c r="H127" i="7"/>
  <c r="I123" i="7"/>
  <c r="H123" i="7"/>
  <c r="I119" i="7"/>
  <c r="H119" i="7"/>
  <c r="I115" i="7"/>
  <c r="I132" i="7" s="1"/>
  <c r="I139" i="7" s="1"/>
  <c r="B140" i="7" s="1"/>
  <c r="H115" i="7"/>
  <c r="H132" i="7" s="1"/>
  <c r="H139" i="7" s="1"/>
  <c r="H140" i="7" s="1"/>
  <c r="G105" i="7"/>
  <c r="F105" i="7"/>
  <c r="E105" i="7"/>
  <c r="D105" i="7"/>
  <c r="C105" i="7"/>
  <c r="B105" i="7"/>
  <c r="I100" i="7"/>
  <c r="H100" i="7"/>
  <c r="G100" i="7"/>
  <c r="F100" i="7"/>
  <c r="E100" i="7"/>
  <c r="D100" i="7"/>
  <c r="C100" i="7"/>
  <c r="B100" i="7"/>
  <c r="I86" i="7"/>
  <c r="H86" i="7"/>
  <c r="G86" i="7"/>
  <c r="F86" i="7"/>
  <c r="E86" i="7"/>
  <c r="D86" i="7"/>
  <c r="C86" i="7"/>
  <c r="B86" i="7"/>
  <c r="G77" i="7"/>
  <c r="G102" i="7" s="1"/>
  <c r="F77" i="7"/>
  <c r="F102" i="7" s="1"/>
  <c r="E77" i="7"/>
  <c r="E102" i="7" s="1"/>
  <c r="D77" i="7"/>
  <c r="D102" i="7" s="1"/>
  <c r="C77" i="7"/>
  <c r="C102" i="7" s="1"/>
  <c r="B77" i="7"/>
  <c r="B102" i="7" s="1"/>
  <c r="I59" i="7"/>
  <c r="I60" i="7" s="1"/>
  <c r="H59" i="7"/>
  <c r="H60" i="7" s="1"/>
  <c r="G59" i="7"/>
  <c r="G60" i="7" s="1"/>
  <c r="F59" i="7"/>
  <c r="F60" i="7" s="1"/>
  <c r="E59" i="7"/>
  <c r="E60" i="7" s="1"/>
  <c r="E61" i="7" s="1"/>
  <c r="D59" i="7"/>
  <c r="D60" i="7" s="1"/>
  <c r="C59" i="7"/>
  <c r="C60" i="7" s="1"/>
  <c r="B59" i="7"/>
  <c r="B60" i="7" s="1"/>
  <c r="I46" i="7"/>
  <c r="H46" i="7"/>
  <c r="G46" i="7"/>
  <c r="F46" i="7"/>
  <c r="E46" i="7"/>
  <c r="D46" i="7"/>
  <c r="C46" i="7"/>
  <c r="B46" i="7"/>
  <c r="I31" i="7"/>
  <c r="I37" i="7" s="1"/>
  <c r="H31" i="7"/>
  <c r="H37" i="7" s="1"/>
  <c r="G31" i="7"/>
  <c r="G37" i="7" s="1"/>
  <c r="F31" i="7"/>
  <c r="F37" i="7" s="1"/>
  <c r="E31" i="7"/>
  <c r="E37" i="7" s="1"/>
  <c r="D31" i="7"/>
  <c r="D37" i="7" s="1"/>
  <c r="C31" i="7"/>
  <c r="C37" i="7" s="1"/>
  <c r="B31" i="7"/>
  <c r="B37" i="7" s="1"/>
  <c r="I7" i="7"/>
  <c r="H7" i="7"/>
  <c r="G7" i="7"/>
  <c r="F7" i="7"/>
  <c r="E7" i="7"/>
  <c r="D7" i="7"/>
  <c r="C7" i="7"/>
  <c r="B7" i="7"/>
  <c r="I4" i="7"/>
  <c r="I10" i="7" s="1"/>
  <c r="I12" i="7" s="1"/>
  <c r="I65" i="7" s="1"/>
  <c r="I77" i="7" s="1"/>
  <c r="I102" i="7" s="1"/>
  <c r="H4" i="7"/>
  <c r="H10" i="7" s="1"/>
  <c r="H12" i="7" s="1"/>
  <c r="H65" i="7" s="1"/>
  <c r="H77" i="7" s="1"/>
  <c r="H102" i="7" s="1"/>
  <c r="H104" i="7" s="1"/>
  <c r="G4" i="7"/>
  <c r="G10" i="7" s="1"/>
  <c r="G12" i="7" s="1"/>
  <c r="F4" i="7"/>
  <c r="F10" i="7" s="1"/>
  <c r="F12" i="7" s="1"/>
  <c r="E4" i="7"/>
  <c r="E10" i="7" s="1"/>
  <c r="E12" i="7" s="1"/>
  <c r="D4" i="7"/>
  <c r="D10" i="7" s="1"/>
  <c r="D12" i="7" s="1"/>
  <c r="C4" i="7"/>
  <c r="C10" i="7" s="1"/>
  <c r="C12" i="7" s="1"/>
  <c r="B4" i="7"/>
  <c r="B10" i="7" s="1"/>
  <c r="B12" i="7" s="1"/>
  <c r="H1" i="7"/>
  <c r="G1" i="7"/>
  <c r="F1" i="7" s="1"/>
  <c r="E1" i="7" s="1"/>
  <c r="D1" i="7" s="1"/>
  <c r="C1" i="7" s="1"/>
  <c r="B1" i="7" s="1"/>
  <c r="I213" i="6"/>
  <c r="H213" i="6"/>
  <c r="G213" i="6"/>
  <c r="F213" i="6"/>
  <c r="E213" i="6"/>
  <c r="D213" i="6"/>
  <c r="C213" i="6"/>
  <c r="B213" i="6"/>
  <c r="K212" i="6"/>
  <c r="L212" i="6" s="1"/>
  <c r="M212" i="6" s="1"/>
  <c r="N212" i="6" s="1"/>
  <c r="J212" i="6"/>
  <c r="I210" i="6"/>
  <c r="H210" i="6"/>
  <c r="G210" i="6"/>
  <c r="F210" i="6"/>
  <c r="E210" i="6"/>
  <c r="D210" i="6"/>
  <c r="C210" i="6"/>
  <c r="B210" i="6"/>
  <c r="I209" i="6"/>
  <c r="F209" i="6"/>
  <c r="D209" i="6"/>
  <c r="C209" i="6"/>
  <c r="J208" i="6"/>
  <c r="K208" i="6" s="1"/>
  <c r="L208" i="6" s="1"/>
  <c r="M208" i="6" s="1"/>
  <c r="N208" i="6" s="1"/>
  <c r="I206" i="6"/>
  <c r="H206" i="6"/>
  <c r="G206" i="6"/>
  <c r="F206" i="6"/>
  <c r="E206" i="6"/>
  <c r="D206" i="6"/>
  <c r="C206" i="6"/>
  <c r="B206" i="6"/>
  <c r="I205" i="6"/>
  <c r="H205" i="6"/>
  <c r="D205" i="6"/>
  <c r="J204" i="6"/>
  <c r="K204" i="6" s="1"/>
  <c r="L204" i="6" s="1"/>
  <c r="M204" i="6" s="1"/>
  <c r="N204" i="6" s="1"/>
  <c r="I202" i="6"/>
  <c r="H202" i="6"/>
  <c r="G202" i="6"/>
  <c r="F202" i="6"/>
  <c r="E202" i="6"/>
  <c r="D202" i="6"/>
  <c r="C202" i="6"/>
  <c r="B202" i="6"/>
  <c r="I201" i="6"/>
  <c r="H201" i="6"/>
  <c r="G201" i="6"/>
  <c r="F201" i="6"/>
  <c r="E201" i="6"/>
  <c r="D201" i="6"/>
  <c r="C201" i="6"/>
  <c r="J200" i="6"/>
  <c r="K200" i="6" s="1"/>
  <c r="K196" i="6" s="1"/>
  <c r="I198" i="6"/>
  <c r="H198" i="6"/>
  <c r="F198" i="6"/>
  <c r="E198" i="6"/>
  <c r="J196" i="6"/>
  <c r="I196" i="6"/>
  <c r="H196" i="6"/>
  <c r="G196" i="6"/>
  <c r="G198" i="6" s="1"/>
  <c r="F196" i="6"/>
  <c r="E196" i="6"/>
  <c r="D196" i="6"/>
  <c r="D198" i="6" s="1"/>
  <c r="C196" i="6"/>
  <c r="C198" i="6" s="1"/>
  <c r="B196" i="6"/>
  <c r="I194" i="6"/>
  <c r="H194" i="6"/>
  <c r="G194" i="6"/>
  <c r="F194" i="6"/>
  <c r="D194" i="6"/>
  <c r="B194" i="6"/>
  <c r="K192" i="6"/>
  <c r="L192" i="6" s="1"/>
  <c r="M192" i="6" s="1"/>
  <c r="N192" i="6" s="1"/>
  <c r="J192" i="6"/>
  <c r="E192" i="6"/>
  <c r="E194" i="6" s="1"/>
  <c r="D192" i="6"/>
  <c r="C192" i="6"/>
  <c r="C194" i="6" s="1"/>
  <c r="B192" i="6"/>
  <c r="I190" i="6"/>
  <c r="H190" i="6"/>
  <c r="G190" i="6"/>
  <c r="C190" i="6"/>
  <c r="F189" i="6"/>
  <c r="F190" i="6" s="1"/>
  <c r="E189" i="6"/>
  <c r="D189" i="6"/>
  <c r="D190" i="6" s="1"/>
  <c r="C189" i="6"/>
  <c r="B189" i="6"/>
  <c r="J188" i="6"/>
  <c r="K188" i="6" s="1"/>
  <c r="L188" i="6" s="1"/>
  <c r="M188" i="6" s="1"/>
  <c r="N188" i="6" s="1"/>
  <c r="E188" i="6"/>
  <c r="E190" i="6" s="1"/>
  <c r="D188" i="6"/>
  <c r="C188" i="6"/>
  <c r="B188" i="6"/>
  <c r="B190" i="6" s="1"/>
  <c r="C186" i="6"/>
  <c r="I185" i="6"/>
  <c r="H185" i="6"/>
  <c r="G185" i="6"/>
  <c r="F185" i="6"/>
  <c r="E185" i="6"/>
  <c r="D185" i="6"/>
  <c r="C185" i="6"/>
  <c r="B185" i="6"/>
  <c r="B186" i="6" s="1"/>
  <c r="I184" i="6"/>
  <c r="I186" i="6" s="1"/>
  <c r="H184" i="6"/>
  <c r="H186" i="6" s="1"/>
  <c r="G184" i="6"/>
  <c r="G186" i="6" s="1"/>
  <c r="F184" i="6"/>
  <c r="F186" i="6" s="1"/>
  <c r="E184" i="6"/>
  <c r="E186" i="6" s="1"/>
  <c r="D184" i="6"/>
  <c r="D186" i="6" s="1"/>
  <c r="C184" i="6"/>
  <c r="J183" i="6"/>
  <c r="K183" i="6" s="1"/>
  <c r="L183" i="6" s="1"/>
  <c r="M183" i="6" s="1"/>
  <c r="N183" i="6" s="1"/>
  <c r="I181" i="6"/>
  <c r="I180" i="6"/>
  <c r="H180" i="6"/>
  <c r="H181" i="6" s="1"/>
  <c r="G180" i="6"/>
  <c r="G181" i="6" s="1"/>
  <c r="F180" i="6"/>
  <c r="F181" i="6" s="1"/>
  <c r="E180" i="6"/>
  <c r="D180" i="6"/>
  <c r="C180" i="6"/>
  <c r="B180" i="6"/>
  <c r="J179" i="6"/>
  <c r="K179" i="6" s="1"/>
  <c r="L179" i="6" s="1"/>
  <c r="M179" i="6" s="1"/>
  <c r="N179" i="6" s="1"/>
  <c r="E178" i="6"/>
  <c r="D178" i="6"/>
  <c r="D179" i="6" s="1"/>
  <c r="D181" i="6" s="1"/>
  <c r="C178" i="6"/>
  <c r="B178" i="6"/>
  <c r="B179" i="6" s="1"/>
  <c r="B181" i="6" s="1"/>
  <c r="F177" i="6"/>
  <c r="I176" i="6"/>
  <c r="I177" i="6" s="1"/>
  <c r="H176" i="6"/>
  <c r="H177" i="6" s="1"/>
  <c r="G176" i="6"/>
  <c r="G177" i="6" s="1"/>
  <c r="F176" i="6"/>
  <c r="E176" i="6"/>
  <c r="E177" i="6" s="1"/>
  <c r="D176" i="6"/>
  <c r="D177" i="6" s="1"/>
  <c r="C176" i="6"/>
  <c r="C177" i="6" s="1"/>
  <c r="B176" i="6"/>
  <c r="B177" i="6" s="1"/>
  <c r="H175" i="6"/>
  <c r="J174" i="6"/>
  <c r="K174" i="6" s="1"/>
  <c r="L174" i="6" s="1"/>
  <c r="M174" i="6" s="1"/>
  <c r="N174" i="6" s="1"/>
  <c r="H172" i="6"/>
  <c r="F172" i="6"/>
  <c r="H171" i="6"/>
  <c r="G171" i="6"/>
  <c r="G172" i="6" s="1"/>
  <c r="F171" i="6"/>
  <c r="E171" i="6"/>
  <c r="D171" i="6"/>
  <c r="C171" i="6"/>
  <c r="B171" i="6"/>
  <c r="I170" i="6"/>
  <c r="I172" i="6" s="1"/>
  <c r="H170" i="6"/>
  <c r="G170" i="6"/>
  <c r="B170" i="6"/>
  <c r="B172" i="6" s="1"/>
  <c r="E169" i="6"/>
  <c r="E170" i="6" s="1"/>
  <c r="E172" i="6" s="1"/>
  <c r="D169" i="6"/>
  <c r="D170" i="6" s="1"/>
  <c r="D172" i="6" s="1"/>
  <c r="C169" i="6"/>
  <c r="C170" i="6" s="1"/>
  <c r="B169" i="6"/>
  <c r="I168" i="6"/>
  <c r="H168" i="6"/>
  <c r="G168" i="6"/>
  <c r="F168" i="6"/>
  <c r="E168" i="6"/>
  <c r="D168" i="6"/>
  <c r="C168" i="6"/>
  <c r="B168" i="6"/>
  <c r="J167" i="6"/>
  <c r="J169" i="6" s="1"/>
  <c r="I164" i="6"/>
  <c r="H164" i="6"/>
  <c r="G164" i="6"/>
  <c r="F164" i="6"/>
  <c r="E164" i="6"/>
  <c r="D164" i="6"/>
  <c r="C164" i="6"/>
  <c r="B164" i="6"/>
  <c r="M163" i="6"/>
  <c r="N163" i="6" s="1"/>
  <c r="K163" i="6"/>
  <c r="L163" i="6" s="1"/>
  <c r="J163" i="6"/>
  <c r="I161" i="6"/>
  <c r="H161" i="6"/>
  <c r="G161" i="6"/>
  <c r="F161" i="6"/>
  <c r="E161" i="6"/>
  <c r="D161" i="6"/>
  <c r="C161" i="6"/>
  <c r="B161" i="6"/>
  <c r="I160" i="6"/>
  <c r="H160" i="6"/>
  <c r="G160" i="6"/>
  <c r="F160" i="6"/>
  <c r="E160" i="6"/>
  <c r="D160" i="6"/>
  <c r="C160" i="6"/>
  <c r="B160" i="6"/>
  <c r="L159" i="6"/>
  <c r="M159" i="6" s="1"/>
  <c r="N159" i="6" s="1"/>
  <c r="J159" i="6"/>
  <c r="K159" i="6" s="1"/>
  <c r="I157" i="6"/>
  <c r="H157" i="6"/>
  <c r="G157" i="6"/>
  <c r="F157" i="6"/>
  <c r="E157" i="6"/>
  <c r="D157" i="6"/>
  <c r="C157" i="6"/>
  <c r="B157" i="6"/>
  <c r="I156" i="6"/>
  <c r="H156" i="6"/>
  <c r="G156" i="6"/>
  <c r="F156" i="6"/>
  <c r="E156" i="6"/>
  <c r="D156" i="6"/>
  <c r="C156" i="6"/>
  <c r="B156" i="6"/>
  <c r="J155" i="6"/>
  <c r="K155" i="6" s="1"/>
  <c r="L155" i="6" s="1"/>
  <c r="M155" i="6" s="1"/>
  <c r="N155" i="6" s="1"/>
  <c r="I153" i="6"/>
  <c r="H153" i="6"/>
  <c r="G153" i="6"/>
  <c r="F153" i="6"/>
  <c r="E153" i="6"/>
  <c r="D153" i="6"/>
  <c r="C153" i="6"/>
  <c r="B153" i="6"/>
  <c r="I152" i="6"/>
  <c r="H152" i="6"/>
  <c r="G152" i="6"/>
  <c r="F152" i="6"/>
  <c r="E152" i="6"/>
  <c r="D152" i="6"/>
  <c r="C152" i="6"/>
  <c r="B152" i="6"/>
  <c r="J151" i="6"/>
  <c r="F148" i="6"/>
  <c r="D148" i="6"/>
  <c r="B148" i="6"/>
  <c r="F147" i="6"/>
  <c r="B147" i="6"/>
  <c r="I146" i="6"/>
  <c r="H146" i="6"/>
  <c r="H148" i="6" s="1"/>
  <c r="G146" i="6"/>
  <c r="F146" i="6"/>
  <c r="E146" i="6"/>
  <c r="E148" i="6" s="1"/>
  <c r="D146" i="6"/>
  <c r="C146" i="6"/>
  <c r="B146" i="6"/>
  <c r="I144" i="6"/>
  <c r="H144" i="6"/>
  <c r="G144" i="6"/>
  <c r="F144" i="6"/>
  <c r="E144" i="6"/>
  <c r="D144" i="6"/>
  <c r="C144" i="6"/>
  <c r="B144" i="6"/>
  <c r="L143" i="6"/>
  <c r="M143" i="6" s="1"/>
  <c r="N143" i="6" s="1"/>
  <c r="J143" i="6"/>
  <c r="K143" i="6" s="1"/>
  <c r="E141" i="6"/>
  <c r="I140" i="6"/>
  <c r="H140" i="6"/>
  <c r="G140" i="6"/>
  <c r="F140" i="6"/>
  <c r="E140" i="6"/>
  <c r="D140" i="6"/>
  <c r="C140" i="6"/>
  <c r="B140" i="6"/>
  <c r="M139" i="6"/>
  <c r="N139" i="6" s="1"/>
  <c r="K139" i="6"/>
  <c r="L139" i="6" s="1"/>
  <c r="J139" i="6"/>
  <c r="I138" i="6"/>
  <c r="H138" i="6"/>
  <c r="G138" i="6"/>
  <c r="F138" i="6"/>
  <c r="E138" i="6"/>
  <c r="D138" i="6"/>
  <c r="C138" i="6"/>
  <c r="B138" i="6"/>
  <c r="I137" i="6"/>
  <c r="H137" i="6"/>
  <c r="G137" i="6"/>
  <c r="F137" i="6"/>
  <c r="E137" i="6"/>
  <c r="D137" i="6"/>
  <c r="C137" i="6"/>
  <c r="B137" i="6"/>
  <c r="J136" i="6"/>
  <c r="K136" i="6" s="1"/>
  <c r="L136" i="6" s="1"/>
  <c r="M136" i="6" s="1"/>
  <c r="N136" i="6" s="1"/>
  <c r="I135" i="6"/>
  <c r="H135" i="6"/>
  <c r="G135" i="6"/>
  <c r="F135" i="6"/>
  <c r="E135" i="6"/>
  <c r="D135" i="6"/>
  <c r="C135" i="6"/>
  <c r="B135" i="6"/>
  <c r="I134" i="6"/>
  <c r="H134" i="6"/>
  <c r="G134" i="6"/>
  <c r="F134" i="6"/>
  <c r="E134" i="6"/>
  <c r="D134" i="6"/>
  <c r="C134" i="6"/>
  <c r="B134" i="6"/>
  <c r="M133" i="6"/>
  <c r="J133" i="6"/>
  <c r="K133" i="6" s="1"/>
  <c r="L133" i="6" s="1"/>
  <c r="I132" i="6"/>
  <c r="H132" i="6"/>
  <c r="G132" i="6"/>
  <c r="F132" i="6"/>
  <c r="E132" i="6"/>
  <c r="D132" i="6"/>
  <c r="C132" i="6"/>
  <c r="B132" i="6"/>
  <c r="I131" i="6"/>
  <c r="H131" i="6"/>
  <c r="G131" i="6"/>
  <c r="F131" i="6"/>
  <c r="E131" i="6"/>
  <c r="D131" i="6"/>
  <c r="C131" i="6"/>
  <c r="B131" i="6"/>
  <c r="N130" i="6"/>
  <c r="L130" i="6"/>
  <c r="M130" i="6" s="1"/>
  <c r="J130" i="6"/>
  <c r="K130" i="6" s="1"/>
  <c r="F129" i="6"/>
  <c r="D129" i="6"/>
  <c r="C129" i="6"/>
  <c r="B129" i="6"/>
  <c r="G128" i="6"/>
  <c r="F128" i="6"/>
  <c r="B128" i="6"/>
  <c r="L127" i="6"/>
  <c r="K127" i="6"/>
  <c r="I127" i="6"/>
  <c r="H127" i="6"/>
  <c r="G127" i="6"/>
  <c r="G129" i="6" s="1"/>
  <c r="F127" i="6"/>
  <c r="E127" i="6"/>
  <c r="E129" i="6" s="1"/>
  <c r="D127" i="6"/>
  <c r="D128" i="6" s="1"/>
  <c r="C127" i="6"/>
  <c r="C128" i="6" s="1"/>
  <c r="B127" i="6"/>
  <c r="I125" i="6"/>
  <c r="H125" i="6"/>
  <c r="G125" i="6"/>
  <c r="F125" i="6"/>
  <c r="E125" i="6"/>
  <c r="D125" i="6"/>
  <c r="C125" i="6"/>
  <c r="B125" i="6"/>
  <c r="I124" i="6"/>
  <c r="I126" i="6" s="1"/>
  <c r="H124" i="6"/>
  <c r="H126" i="6" s="1"/>
  <c r="G124" i="6"/>
  <c r="G126" i="6" s="1"/>
  <c r="J123" i="6"/>
  <c r="K123" i="6" s="1"/>
  <c r="L123" i="6" s="1"/>
  <c r="M123" i="6" s="1"/>
  <c r="N123" i="6" s="1"/>
  <c r="E123" i="6"/>
  <c r="D123" i="6"/>
  <c r="D124" i="6" s="1"/>
  <c r="D126" i="6" s="1"/>
  <c r="C123" i="6"/>
  <c r="B123" i="6"/>
  <c r="B124" i="6" s="1"/>
  <c r="B126" i="6" s="1"/>
  <c r="H122" i="6"/>
  <c r="I121" i="6"/>
  <c r="H121" i="6"/>
  <c r="G121" i="6"/>
  <c r="F121" i="6"/>
  <c r="E121" i="6"/>
  <c r="D121" i="6"/>
  <c r="C121" i="6"/>
  <c r="B121" i="6"/>
  <c r="B122" i="6" s="1"/>
  <c r="I120" i="6"/>
  <c r="I122" i="6" s="1"/>
  <c r="H120" i="6"/>
  <c r="G120" i="6"/>
  <c r="G122" i="6" s="1"/>
  <c r="E120" i="6"/>
  <c r="E122" i="6" s="1"/>
  <c r="J119" i="6"/>
  <c r="K119" i="6" s="1"/>
  <c r="L119" i="6" s="1"/>
  <c r="M119" i="6" s="1"/>
  <c r="N119" i="6" s="1"/>
  <c r="E119" i="6"/>
  <c r="F120" i="6" s="1"/>
  <c r="F122" i="6" s="1"/>
  <c r="D119" i="6"/>
  <c r="C119" i="6"/>
  <c r="C120" i="6" s="1"/>
  <c r="C122" i="6" s="1"/>
  <c r="B119" i="6"/>
  <c r="B120" i="6" s="1"/>
  <c r="F118" i="6"/>
  <c r="E118" i="6"/>
  <c r="I117" i="6"/>
  <c r="H117" i="6"/>
  <c r="G117" i="6"/>
  <c r="F117" i="6"/>
  <c r="E117" i="6"/>
  <c r="D117" i="6"/>
  <c r="C117" i="6"/>
  <c r="B117" i="6"/>
  <c r="I116" i="6"/>
  <c r="I118" i="6" s="1"/>
  <c r="H116" i="6"/>
  <c r="H118" i="6" s="1"/>
  <c r="G116" i="6"/>
  <c r="G118" i="6" s="1"/>
  <c r="F116" i="6"/>
  <c r="E116" i="6"/>
  <c r="C116" i="6"/>
  <c r="C118" i="6" s="1"/>
  <c r="B116" i="6"/>
  <c r="B118" i="6" s="1"/>
  <c r="K115" i="6"/>
  <c r="L115" i="6" s="1"/>
  <c r="M115" i="6" s="1"/>
  <c r="N115" i="6" s="1"/>
  <c r="J115" i="6"/>
  <c r="E115" i="6"/>
  <c r="D115" i="6"/>
  <c r="C115" i="6"/>
  <c r="B115" i="6"/>
  <c r="I114" i="6"/>
  <c r="H114" i="6"/>
  <c r="G114" i="6"/>
  <c r="F114" i="6"/>
  <c r="E114" i="6"/>
  <c r="D114" i="6"/>
  <c r="C114" i="6"/>
  <c r="B114" i="6"/>
  <c r="L113" i="6"/>
  <c r="M113" i="6" s="1"/>
  <c r="N113" i="6" s="1"/>
  <c r="K113" i="6"/>
  <c r="J113" i="6"/>
  <c r="H111" i="6"/>
  <c r="F111" i="6"/>
  <c r="I110" i="6"/>
  <c r="H110" i="6"/>
  <c r="G110" i="6"/>
  <c r="F110" i="6"/>
  <c r="E110" i="6"/>
  <c r="D110" i="6"/>
  <c r="C110" i="6"/>
  <c r="B110" i="6"/>
  <c r="N109" i="6"/>
  <c r="K109" i="6"/>
  <c r="L109" i="6" s="1"/>
  <c r="M109" i="6" s="1"/>
  <c r="J109" i="6"/>
  <c r="I108" i="6"/>
  <c r="H108" i="6"/>
  <c r="G108" i="6"/>
  <c r="F108" i="6"/>
  <c r="E108" i="6"/>
  <c r="D108" i="6"/>
  <c r="C108" i="6"/>
  <c r="B108" i="6"/>
  <c r="I107" i="6"/>
  <c r="H107" i="6"/>
  <c r="G107" i="6"/>
  <c r="F107" i="6"/>
  <c r="E107" i="6"/>
  <c r="D107" i="6"/>
  <c r="C107" i="6"/>
  <c r="B107" i="6"/>
  <c r="M106" i="6"/>
  <c r="N106" i="6" s="1"/>
  <c r="L106" i="6"/>
  <c r="K106" i="6"/>
  <c r="J106" i="6"/>
  <c r="I105" i="6"/>
  <c r="H105" i="6"/>
  <c r="G105" i="6"/>
  <c r="F105" i="6"/>
  <c r="E105" i="6"/>
  <c r="D105" i="6"/>
  <c r="C105" i="6"/>
  <c r="B105" i="6"/>
  <c r="I104" i="6"/>
  <c r="H104" i="6"/>
  <c r="G104" i="6"/>
  <c r="F104" i="6"/>
  <c r="E104" i="6"/>
  <c r="D104" i="6"/>
  <c r="C104" i="6"/>
  <c r="B104" i="6"/>
  <c r="J103" i="6"/>
  <c r="I102" i="6"/>
  <c r="H102" i="6"/>
  <c r="G102" i="6"/>
  <c r="F102" i="6"/>
  <c r="E102" i="6"/>
  <c r="D102" i="6"/>
  <c r="C102" i="6"/>
  <c r="B102" i="6"/>
  <c r="I101" i="6"/>
  <c r="H101" i="6"/>
  <c r="G101" i="6"/>
  <c r="F101" i="6"/>
  <c r="E101" i="6"/>
  <c r="D101" i="6"/>
  <c r="C101" i="6"/>
  <c r="B101" i="6"/>
  <c r="M100" i="6"/>
  <c r="N100" i="6" s="1"/>
  <c r="J100" i="6"/>
  <c r="K100" i="6" s="1"/>
  <c r="L100" i="6" s="1"/>
  <c r="I99" i="6"/>
  <c r="F99" i="6"/>
  <c r="E99" i="6"/>
  <c r="B99" i="6"/>
  <c r="I98" i="6"/>
  <c r="G98" i="6"/>
  <c r="F98" i="6"/>
  <c r="I97" i="6"/>
  <c r="H97" i="6"/>
  <c r="H99" i="6" s="1"/>
  <c r="G97" i="6"/>
  <c r="G99" i="6" s="1"/>
  <c r="F97" i="6"/>
  <c r="E97" i="6"/>
  <c r="D97" i="6"/>
  <c r="C97" i="6"/>
  <c r="B97" i="6"/>
  <c r="B98" i="6" s="1"/>
  <c r="G96" i="6"/>
  <c r="I95" i="6"/>
  <c r="H95" i="6"/>
  <c r="G95" i="6"/>
  <c r="F95" i="6"/>
  <c r="E95" i="6"/>
  <c r="D95" i="6"/>
  <c r="C95" i="6"/>
  <c r="B95" i="6"/>
  <c r="I94" i="6"/>
  <c r="I96" i="6" s="1"/>
  <c r="H94" i="6"/>
  <c r="H96" i="6" s="1"/>
  <c r="G94" i="6"/>
  <c r="F94" i="6"/>
  <c r="F96" i="6" s="1"/>
  <c r="E94" i="6"/>
  <c r="E96" i="6" s="1"/>
  <c r="D94" i="6"/>
  <c r="D96" i="6" s="1"/>
  <c r="C94" i="6"/>
  <c r="C96" i="6" s="1"/>
  <c r="B94" i="6"/>
  <c r="B96" i="6" s="1"/>
  <c r="K93" i="6"/>
  <c r="L93" i="6" s="1"/>
  <c r="M93" i="6" s="1"/>
  <c r="N93" i="6" s="1"/>
  <c r="J93" i="6"/>
  <c r="C92" i="6"/>
  <c r="I91" i="6"/>
  <c r="H91" i="6"/>
  <c r="G91" i="6"/>
  <c r="F91" i="6"/>
  <c r="E91" i="6"/>
  <c r="D91" i="6"/>
  <c r="C91" i="6"/>
  <c r="B91" i="6"/>
  <c r="I90" i="6"/>
  <c r="I92" i="6" s="1"/>
  <c r="H90" i="6"/>
  <c r="H92" i="6" s="1"/>
  <c r="G90" i="6"/>
  <c r="G92" i="6" s="1"/>
  <c r="F90" i="6"/>
  <c r="F92" i="6" s="1"/>
  <c r="E90" i="6"/>
  <c r="E92" i="6" s="1"/>
  <c r="D90" i="6"/>
  <c r="D92" i="6" s="1"/>
  <c r="C90" i="6"/>
  <c r="B90" i="6"/>
  <c r="B92" i="6" s="1"/>
  <c r="J89" i="6"/>
  <c r="K89" i="6" s="1"/>
  <c r="L89" i="6" s="1"/>
  <c r="M89" i="6" s="1"/>
  <c r="N89" i="6" s="1"/>
  <c r="E88" i="6"/>
  <c r="D88" i="6"/>
  <c r="I87" i="6"/>
  <c r="H87" i="6"/>
  <c r="G87" i="6"/>
  <c r="F87" i="6"/>
  <c r="E87" i="6"/>
  <c r="D87" i="6"/>
  <c r="C87" i="6"/>
  <c r="B87" i="6"/>
  <c r="I86" i="6"/>
  <c r="I88" i="6" s="1"/>
  <c r="H86" i="6"/>
  <c r="H88" i="6" s="1"/>
  <c r="G86" i="6"/>
  <c r="G88" i="6" s="1"/>
  <c r="F86" i="6"/>
  <c r="F88" i="6" s="1"/>
  <c r="E86" i="6"/>
  <c r="D86" i="6"/>
  <c r="C86" i="6"/>
  <c r="C88" i="6" s="1"/>
  <c r="B86" i="6"/>
  <c r="B88" i="6" s="1"/>
  <c r="K85" i="6"/>
  <c r="L85" i="6" s="1"/>
  <c r="M85" i="6" s="1"/>
  <c r="N85" i="6" s="1"/>
  <c r="J85" i="6"/>
  <c r="I84" i="6"/>
  <c r="H84" i="6"/>
  <c r="G84" i="6"/>
  <c r="F84" i="6"/>
  <c r="E84" i="6"/>
  <c r="D84" i="6"/>
  <c r="C84" i="6"/>
  <c r="B84" i="6"/>
  <c r="J83" i="6"/>
  <c r="K83" i="6" s="1"/>
  <c r="L83" i="6" s="1"/>
  <c r="M83" i="6" s="1"/>
  <c r="N83" i="6" s="1"/>
  <c r="I79" i="6"/>
  <c r="H79" i="6"/>
  <c r="G79" i="6"/>
  <c r="F79" i="6"/>
  <c r="E79" i="6"/>
  <c r="D79" i="6"/>
  <c r="C79" i="6"/>
  <c r="B79" i="6"/>
  <c r="N78" i="6"/>
  <c r="M78" i="6"/>
  <c r="J78" i="6"/>
  <c r="K78" i="6" s="1"/>
  <c r="L78" i="6" s="1"/>
  <c r="J77" i="6"/>
  <c r="F77" i="6"/>
  <c r="K76" i="6"/>
  <c r="I76" i="6"/>
  <c r="H76" i="6"/>
  <c r="G76" i="6"/>
  <c r="F76" i="6"/>
  <c r="E76" i="6"/>
  <c r="D76" i="6"/>
  <c r="C76" i="6"/>
  <c r="B76" i="6"/>
  <c r="L75" i="6"/>
  <c r="J75" i="6"/>
  <c r="K75" i="6" s="1"/>
  <c r="J74" i="6"/>
  <c r="K73" i="6"/>
  <c r="J73" i="6"/>
  <c r="H73" i="6"/>
  <c r="G73" i="6"/>
  <c r="F73" i="6"/>
  <c r="E73" i="6"/>
  <c r="D73" i="6"/>
  <c r="C73" i="6"/>
  <c r="B73" i="6"/>
  <c r="L72" i="6"/>
  <c r="K72" i="6"/>
  <c r="I72" i="6"/>
  <c r="I73" i="6" s="1"/>
  <c r="H72" i="6"/>
  <c r="J71" i="6"/>
  <c r="J70" i="6"/>
  <c r="I70" i="6"/>
  <c r="H70" i="6"/>
  <c r="G70" i="6"/>
  <c r="F70" i="6"/>
  <c r="E70" i="6"/>
  <c r="D70" i="6"/>
  <c r="C70" i="6"/>
  <c r="B70" i="6"/>
  <c r="K69" i="6"/>
  <c r="K70" i="6" s="1"/>
  <c r="J69" i="6"/>
  <c r="D68" i="6"/>
  <c r="N67" i="6"/>
  <c r="M67" i="6"/>
  <c r="J67" i="6"/>
  <c r="I67" i="6"/>
  <c r="E67" i="6"/>
  <c r="K66" i="6"/>
  <c r="J66" i="6"/>
  <c r="G66" i="6"/>
  <c r="F66" i="6"/>
  <c r="E66" i="6"/>
  <c r="D66" i="6"/>
  <c r="D67" i="6" s="1"/>
  <c r="C66" i="6"/>
  <c r="B66" i="6"/>
  <c r="B67" i="6" s="1"/>
  <c r="F65" i="6"/>
  <c r="N64" i="6"/>
  <c r="M64" i="6"/>
  <c r="L64" i="6"/>
  <c r="K64" i="6"/>
  <c r="J64" i="6"/>
  <c r="I64" i="6"/>
  <c r="H64" i="6"/>
  <c r="G64" i="6"/>
  <c r="G65" i="6" s="1"/>
  <c r="F64" i="6"/>
  <c r="E64" i="6"/>
  <c r="D64" i="6"/>
  <c r="C64" i="6"/>
  <c r="B64" i="6"/>
  <c r="B65" i="6" s="1"/>
  <c r="I63" i="6"/>
  <c r="I65" i="6" s="1"/>
  <c r="H63" i="6"/>
  <c r="G63" i="6"/>
  <c r="F63" i="6"/>
  <c r="E63" i="6"/>
  <c r="E65" i="6" s="1"/>
  <c r="D63" i="6"/>
  <c r="D65" i="6" s="1"/>
  <c r="C63" i="6"/>
  <c r="C65" i="6" s="1"/>
  <c r="B63" i="6"/>
  <c r="J62" i="6"/>
  <c r="I61" i="6"/>
  <c r="H61" i="6"/>
  <c r="E61" i="6"/>
  <c r="N60" i="6"/>
  <c r="M60" i="6"/>
  <c r="L60" i="6"/>
  <c r="K60" i="6"/>
  <c r="J60" i="6"/>
  <c r="I60" i="6"/>
  <c r="H60" i="6"/>
  <c r="G60" i="6"/>
  <c r="F60" i="6"/>
  <c r="E60" i="6"/>
  <c r="D60" i="6"/>
  <c r="C60" i="6"/>
  <c r="B60" i="6"/>
  <c r="J59" i="6"/>
  <c r="H59" i="6"/>
  <c r="G59" i="6"/>
  <c r="G61" i="6" s="1"/>
  <c r="F59" i="6"/>
  <c r="F61" i="6" s="1"/>
  <c r="E59" i="6"/>
  <c r="D59" i="6"/>
  <c r="D61" i="6" s="1"/>
  <c r="C59" i="6"/>
  <c r="B59" i="6"/>
  <c r="B61" i="6" s="1"/>
  <c r="K58" i="6"/>
  <c r="J58" i="6"/>
  <c r="H58" i="6"/>
  <c r="I59" i="6" s="1"/>
  <c r="I57" i="6"/>
  <c r="N56" i="6"/>
  <c r="M56" i="6"/>
  <c r="L56" i="6"/>
  <c r="K56" i="6"/>
  <c r="J56" i="6"/>
  <c r="I56" i="6"/>
  <c r="H56" i="6"/>
  <c r="G56" i="6"/>
  <c r="F56" i="6"/>
  <c r="E56" i="6"/>
  <c r="E57" i="6" s="1"/>
  <c r="D56" i="6"/>
  <c r="C56" i="6"/>
  <c r="B56" i="6"/>
  <c r="K55" i="6"/>
  <c r="J55" i="6"/>
  <c r="I55" i="6"/>
  <c r="H55" i="6"/>
  <c r="H57" i="6" s="1"/>
  <c r="G55" i="6"/>
  <c r="F55" i="6"/>
  <c r="F57" i="6" s="1"/>
  <c r="E55" i="6"/>
  <c r="D55" i="6"/>
  <c r="D57" i="6" s="1"/>
  <c r="C55" i="6"/>
  <c r="C57" i="6" s="1"/>
  <c r="B55" i="6"/>
  <c r="B57" i="6" s="1"/>
  <c r="L54" i="6"/>
  <c r="K54" i="6"/>
  <c r="J54" i="6"/>
  <c r="I53" i="6"/>
  <c r="H53" i="6"/>
  <c r="G53" i="6"/>
  <c r="F53" i="6"/>
  <c r="E53" i="6"/>
  <c r="D53" i="6"/>
  <c r="C53" i="6"/>
  <c r="B53" i="6"/>
  <c r="I52" i="6"/>
  <c r="H50" i="6"/>
  <c r="J49" i="6"/>
  <c r="I49" i="6"/>
  <c r="E49" i="6"/>
  <c r="D49" i="6"/>
  <c r="B49" i="6"/>
  <c r="K48" i="6"/>
  <c r="K14" i="6" s="1"/>
  <c r="J48" i="6"/>
  <c r="I48" i="6"/>
  <c r="H48" i="6"/>
  <c r="G48" i="6"/>
  <c r="F48" i="6"/>
  <c r="E48" i="6"/>
  <c r="E50" i="6" s="1"/>
  <c r="D48" i="6"/>
  <c r="C48" i="6"/>
  <c r="C49" i="6" s="1"/>
  <c r="B48" i="6"/>
  <c r="F47" i="6"/>
  <c r="B47" i="6"/>
  <c r="H46" i="6"/>
  <c r="G46" i="6"/>
  <c r="D46" i="6"/>
  <c r="B46" i="6"/>
  <c r="I45" i="6"/>
  <c r="H45" i="6"/>
  <c r="G45" i="6"/>
  <c r="G47" i="6" s="1"/>
  <c r="F45" i="6"/>
  <c r="E45" i="6"/>
  <c r="E46" i="6" s="1"/>
  <c r="D45" i="6"/>
  <c r="C45" i="6"/>
  <c r="C46" i="6" s="1"/>
  <c r="B45" i="6"/>
  <c r="F44" i="6"/>
  <c r="E44" i="6"/>
  <c r="D44" i="6"/>
  <c r="I43" i="6"/>
  <c r="G43" i="6"/>
  <c r="F43" i="6"/>
  <c r="E43" i="6"/>
  <c r="J42" i="6"/>
  <c r="K42" i="6" s="1"/>
  <c r="L42" i="6" s="1"/>
  <c r="M42" i="6" s="1"/>
  <c r="N42" i="6" s="1"/>
  <c r="I42" i="6"/>
  <c r="H42" i="6"/>
  <c r="G42" i="6"/>
  <c r="G44" i="6" s="1"/>
  <c r="F42" i="6"/>
  <c r="E42" i="6"/>
  <c r="D42" i="6"/>
  <c r="C42" i="6"/>
  <c r="B42" i="6"/>
  <c r="C43" i="6" s="1"/>
  <c r="E41" i="6"/>
  <c r="D41" i="6"/>
  <c r="C41" i="6"/>
  <c r="H40" i="6"/>
  <c r="F40" i="6"/>
  <c r="D40" i="6"/>
  <c r="E39" i="6"/>
  <c r="D39" i="6"/>
  <c r="I38" i="6"/>
  <c r="I39" i="6" s="1"/>
  <c r="H38" i="6"/>
  <c r="G38" i="6"/>
  <c r="F38" i="6"/>
  <c r="E38" i="6"/>
  <c r="E40" i="6" s="1"/>
  <c r="D38" i="6"/>
  <c r="C38" i="6"/>
  <c r="B38" i="6"/>
  <c r="H35" i="6"/>
  <c r="E35" i="6"/>
  <c r="E36" i="6" s="1"/>
  <c r="D35" i="6"/>
  <c r="D37" i="6" s="1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K32" i="6"/>
  <c r="J32" i="6"/>
  <c r="C32" i="6"/>
  <c r="C34" i="6" s="1"/>
  <c r="B32" i="6"/>
  <c r="L31" i="6"/>
  <c r="K31" i="6"/>
  <c r="J31" i="6"/>
  <c r="I31" i="6"/>
  <c r="H31" i="6"/>
  <c r="G31" i="6"/>
  <c r="G32" i="6" s="1"/>
  <c r="G34" i="6" s="1"/>
  <c r="F31" i="6"/>
  <c r="F32" i="6" s="1"/>
  <c r="E31" i="6"/>
  <c r="D31" i="6"/>
  <c r="C31" i="6"/>
  <c r="B31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J28" i="6"/>
  <c r="I28" i="6"/>
  <c r="B28" i="6"/>
  <c r="B30" i="6" s="1"/>
  <c r="K27" i="6"/>
  <c r="J27" i="6"/>
  <c r="I27" i="6"/>
  <c r="H27" i="6"/>
  <c r="G27" i="6"/>
  <c r="F27" i="6"/>
  <c r="F28" i="6" s="1"/>
  <c r="F30" i="6" s="1"/>
  <c r="E27" i="6"/>
  <c r="E28" i="6" s="1"/>
  <c r="D27" i="6"/>
  <c r="C27" i="6"/>
  <c r="B27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F24" i="6"/>
  <c r="F26" i="6" s="1"/>
  <c r="E24" i="6"/>
  <c r="E26" i="6" s="1"/>
  <c r="D24" i="6"/>
  <c r="D26" i="6" s="1"/>
  <c r="B24" i="6"/>
  <c r="B26" i="6" s="1"/>
  <c r="I23" i="6"/>
  <c r="I24" i="6" s="1"/>
  <c r="I26" i="6" s="1"/>
  <c r="H23" i="6"/>
  <c r="G23" i="6"/>
  <c r="F23" i="6"/>
  <c r="E23" i="6"/>
  <c r="D23" i="6"/>
  <c r="C23" i="6"/>
  <c r="B23" i="6"/>
  <c r="H22" i="6"/>
  <c r="G22" i="6"/>
  <c r="F22" i="6"/>
  <c r="D22" i="6"/>
  <c r="B22" i="6"/>
  <c r="I21" i="6"/>
  <c r="H21" i="6"/>
  <c r="H80" i="6" s="1"/>
  <c r="G21" i="6"/>
  <c r="F21" i="6"/>
  <c r="E21" i="6"/>
  <c r="E47" i="6" s="1"/>
  <c r="D21" i="6"/>
  <c r="C21" i="6"/>
  <c r="B21" i="6"/>
  <c r="A20" i="6"/>
  <c r="I16" i="6"/>
  <c r="H16" i="6"/>
  <c r="G16" i="6"/>
  <c r="F16" i="6"/>
  <c r="E16" i="6"/>
  <c r="D16" i="6"/>
  <c r="C16" i="6"/>
  <c r="B16" i="6"/>
  <c r="I15" i="6"/>
  <c r="I77" i="6" s="1"/>
  <c r="H15" i="6"/>
  <c r="G15" i="6"/>
  <c r="F15" i="6"/>
  <c r="F74" i="6" s="1"/>
  <c r="E15" i="6"/>
  <c r="D15" i="6"/>
  <c r="C15" i="6"/>
  <c r="C74" i="6" s="1"/>
  <c r="B15" i="6"/>
  <c r="B68" i="6" s="1"/>
  <c r="J14" i="6"/>
  <c r="J15" i="6" s="1"/>
  <c r="J68" i="6" s="1"/>
  <c r="G5" i="6"/>
  <c r="E5" i="6"/>
  <c r="D5" i="6"/>
  <c r="C5" i="6"/>
  <c r="B5" i="6"/>
  <c r="I4" i="6"/>
  <c r="H4" i="6"/>
  <c r="G4" i="6"/>
  <c r="F4" i="6"/>
  <c r="E4" i="6"/>
  <c r="D4" i="6"/>
  <c r="C4" i="6"/>
  <c r="K1" i="6"/>
  <c r="L1" i="6" s="1"/>
  <c r="M1" i="6" s="1"/>
  <c r="N1" i="6" s="1"/>
  <c r="J1" i="6"/>
  <c r="H1" i="6"/>
  <c r="G1" i="6" s="1"/>
  <c r="F1" i="6" s="1"/>
  <c r="E1" i="6" s="1"/>
  <c r="D1" i="6" s="1"/>
  <c r="C1" i="6" s="1"/>
  <c r="B1" i="6" s="1"/>
  <c r="L66" i="5"/>
  <c r="I65" i="5"/>
  <c r="I68" i="5" s="1"/>
  <c r="D65" i="5"/>
  <c r="D68" i="5" s="1"/>
  <c r="B65" i="5"/>
  <c r="B68" i="5" s="1"/>
  <c r="M64" i="5"/>
  <c r="L64" i="5"/>
  <c r="K64" i="5"/>
  <c r="J64" i="5"/>
  <c r="J63" i="5"/>
  <c r="K63" i="5" s="1"/>
  <c r="L63" i="5" s="1"/>
  <c r="M63" i="5" s="1"/>
  <c r="N60" i="5"/>
  <c r="I60" i="5"/>
  <c r="H60" i="5"/>
  <c r="H65" i="5" s="1"/>
  <c r="H68" i="5" s="1"/>
  <c r="H70" i="5" s="1"/>
  <c r="I69" i="5" s="1"/>
  <c r="G60" i="5"/>
  <c r="G65" i="5" s="1"/>
  <c r="G68" i="5" s="1"/>
  <c r="F60" i="5"/>
  <c r="F65" i="5" s="1"/>
  <c r="F68" i="5" s="1"/>
  <c r="E60" i="5"/>
  <c r="E65" i="5" s="1"/>
  <c r="E68" i="5" s="1"/>
  <c r="D60" i="5"/>
  <c r="D61" i="5" s="1"/>
  <c r="C60" i="5"/>
  <c r="C61" i="5" s="1"/>
  <c r="B60" i="5"/>
  <c r="J58" i="5"/>
  <c r="K58" i="5" s="1"/>
  <c r="L58" i="5" s="1"/>
  <c r="M58" i="5" s="1"/>
  <c r="N58" i="5" s="1"/>
  <c r="I58" i="5"/>
  <c r="H58" i="5"/>
  <c r="G58" i="5"/>
  <c r="F58" i="5"/>
  <c r="E58" i="5"/>
  <c r="D58" i="5"/>
  <c r="C58" i="5"/>
  <c r="B58" i="5"/>
  <c r="J57" i="5"/>
  <c r="K57" i="5" s="1"/>
  <c r="L57" i="5" s="1"/>
  <c r="M57" i="5" s="1"/>
  <c r="N57" i="5" s="1"/>
  <c r="I57" i="5"/>
  <c r="H57" i="5"/>
  <c r="G57" i="5"/>
  <c r="F57" i="5"/>
  <c r="E57" i="5"/>
  <c r="D57" i="5"/>
  <c r="C57" i="5"/>
  <c r="B57" i="5"/>
  <c r="I54" i="5"/>
  <c r="J54" i="5" s="1"/>
  <c r="H54" i="5"/>
  <c r="G54" i="5"/>
  <c r="F54" i="5"/>
  <c r="E54" i="5"/>
  <c r="D54" i="5"/>
  <c r="C54" i="5"/>
  <c r="B54" i="5"/>
  <c r="N52" i="5"/>
  <c r="M52" i="5"/>
  <c r="L52" i="5"/>
  <c r="K52" i="5"/>
  <c r="I52" i="5"/>
  <c r="G52" i="5"/>
  <c r="F52" i="5"/>
  <c r="K51" i="5"/>
  <c r="L51" i="5" s="1"/>
  <c r="M51" i="5" s="1"/>
  <c r="N51" i="5" s="1"/>
  <c r="K43" i="5"/>
  <c r="I43" i="5"/>
  <c r="H43" i="5"/>
  <c r="G43" i="5"/>
  <c r="F43" i="5"/>
  <c r="E43" i="5"/>
  <c r="D43" i="5"/>
  <c r="C43" i="5"/>
  <c r="B43" i="5"/>
  <c r="M40" i="5"/>
  <c r="N40" i="5" s="1"/>
  <c r="J40" i="5"/>
  <c r="J35" i="5"/>
  <c r="J43" i="5" s="1"/>
  <c r="I31" i="5"/>
  <c r="H31" i="5"/>
  <c r="G31" i="5"/>
  <c r="F31" i="5"/>
  <c r="E31" i="5"/>
  <c r="D31" i="5"/>
  <c r="C31" i="5"/>
  <c r="B31" i="5"/>
  <c r="J30" i="5"/>
  <c r="K30" i="5" s="1"/>
  <c r="L30" i="5" s="1"/>
  <c r="M30" i="5" s="1"/>
  <c r="N30" i="5" s="1"/>
  <c r="K29" i="5"/>
  <c r="L29" i="5" s="1"/>
  <c r="M29" i="5" s="1"/>
  <c r="N29" i="5" s="1"/>
  <c r="J29" i="5"/>
  <c r="K28" i="5"/>
  <c r="L28" i="5" s="1"/>
  <c r="M28" i="5" s="1"/>
  <c r="N28" i="5" s="1"/>
  <c r="J28" i="5"/>
  <c r="J27" i="5"/>
  <c r="K27" i="5" s="1"/>
  <c r="L27" i="5" s="1"/>
  <c r="M27" i="5" s="1"/>
  <c r="N27" i="5" s="1"/>
  <c r="J26" i="5"/>
  <c r="J31" i="5" s="1"/>
  <c r="J25" i="5"/>
  <c r="K25" i="5" s="1"/>
  <c r="L25" i="5" s="1"/>
  <c r="M25" i="5" s="1"/>
  <c r="N25" i="5" s="1"/>
  <c r="N24" i="5"/>
  <c r="M24" i="5"/>
  <c r="L24" i="5"/>
  <c r="K24" i="5"/>
  <c r="J24" i="5"/>
  <c r="I23" i="5"/>
  <c r="I24" i="5" s="1"/>
  <c r="H23" i="5"/>
  <c r="H24" i="5" s="1"/>
  <c r="G23" i="5"/>
  <c r="G24" i="5" s="1"/>
  <c r="F23" i="5"/>
  <c r="F24" i="5" s="1"/>
  <c r="E23" i="5"/>
  <c r="E52" i="5" s="1"/>
  <c r="D23" i="5"/>
  <c r="D52" i="5" s="1"/>
  <c r="C23" i="5"/>
  <c r="C24" i="5" s="1"/>
  <c r="B23" i="5"/>
  <c r="B24" i="5" s="1"/>
  <c r="N21" i="5"/>
  <c r="M21" i="5"/>
  <c r="L21" i="5"/>
  <c r="I19" i="5"/>
  <c r="H19" i="5"/>
  <c r="G19" i="5"/>
  <c r="F19" i="5"/>
  <c r="E19" i="5"/>
  <c r="D19" i="5"/>
  <c r="C19" i="5"/>
  <c r="B19" i="5"/>
  <c r="E18" i="5"/>
  <c r="C18" i="5"/>
  <c r="I17" i="5"/>
  <c r="I18" i="5" s="1"/>
  <c r="H17" i="5"/>
  <c r="H18" i="5" s="1"/>
  <c r="G17" i="5"/>
  <c r="G18" i="5" s="1"/>
  <c r="F17" i="5"/>
  <c r="F18" i="5" s="1"/>
  <c r="E17" i="5"/>
  <c r="D17" i="5"/>
  <c r="D18" i="5" s="1"/>
  <c r="C17" i="5"/>
  <c r="B17" i="5"/>
  <c r="N15" i="5"/>
  <c r="I14" i="5"/>
  <c r="H14" i="5"/>
  <c r="G14" i="5"/>
  <c r="F14" i="5"/>
  <c r="E14" i="5"/>
  <c r="D14" i="5"/>
  <c r="C14" i="5"/>
  <c r="I13" i="5"/>
  <c r="H13" i="5"/>
  <c r="G13" i="5"/>
  <c r="F13" i="5"/>
  <c r="E13" i="5"/>
  <c r="D13" i="5"/>
  <c r="C13" i="5"/>
  <c r="K12" i="5"/>
  <c r="L12" i="5" s="1"/>
  <c r="J12" i="5"/>
  <c r="B11" i="5"/>
  <c r="B13" i="5" s="1"/>
  <c r="J10" i="5"/>
  <c r="K10" i="5" s="1"/>
  <c r="N4" i="5"/>
  <c r="M4" i="5"/>
  <c r="L4" i="5"/>
  <c r="K4" i="5"/>
  <c r="J4" i="5"/>
  <c r="I4" i="5"/>
  <c r="H4" i="5"/>
  <c r="G4" i="5"/>
  <c r="F4" i="5"/>
  <c r="E4" i="5"/>
  <c r="D4" i="5"/>
  <c r="C4" i="5"/>
  <c r="J1" i="5"/>
  <c r="K1" i="5" s="1"/>
  <c r="L1" i="5" s="1"/>
  <c r="M1" i="5" s="1"/>
  <c r="N1" i="5" s="1"/>
  <c r="H1" i="5"/>
  <c r="G1" i="5"/>
  <c r="F1" i="5"/>
  <c r="E1" i="5" s="1"/>
  <c r="D1" i="5" s="1"/>
  <c r="C1" i="5" s="1"/>
  <c r="B1" i="5" s="1"/>
  <c r="G61" i="7" l="1"/>
  <c r="I61" i="7"/>
  <c r="E151" i="7"/>
  <c r="H105" i="7"/>
  <c r="I103" i="7"/>
  <c r="I104" i="7" s="1"/>
  <c r="I105" i="7" s="1"/>
  <c r="H61" i="7"/>
  <c r="D151" i="7"/>
  <c r="B61" i="7"/>
  <c r="F151" i="7"/>
  <c r="C61" i="7"/>
  <c r="G151" i="7"/>
  <c r="D61" i="7"/>
  <c r="H151" i="7"/>
  <c r="F61" i="7"/>
  <c r="B151" i="7"/>
  <c r="B41" i="6"/>
  <c r="B40" i="6"/>
  <c r="B39" i="6"/>
  <c r="C39" i="6"/>
  <c r="G49" i="6"/>
  <c r="G50" i="6"/>
  <c r="H49" i="6"/>
  <c r="F68" i="6"/>
  <c r="F67" i="6"/>
  <c r="C99" i="6"/>
  <c r="C98" i="6"/>
  <c r="I80" i="6"/>
  <c r="J80" i="6" s="1"/>
  <c r="I214" i="6"/>
  <c r="J214" i="6" s="1"/>
  <c r="I165" i="6"/>
  <c r="J165" i="6" s="1"/>
  <c r="I44" i="6"/>
  <c r="J44" i="6" s="1"/>
  <c r="I22" i="6"/>
  <c r="I141" i="6"/>
  <c r="J141" i="6" s="1"/>
  <c r="I111" i="6"/>
  <c r="J111" i="6" s="1"/>
  <c r="I50" i="6"/>
  <c r="H24" i="6"/>
  <c r="H26" i="6" s="1"/>
  <c r="G24" i="6"/>
  <c r="G26" i="6" s="1"/>
  <c r="I30" i="6"/>
  <c r="F34" i="6"/>
  <c r="B34" i="6"/>
  <c r="G35" i="6"/>
  <c r="G68" i="6"/>
  <c r="H67" i="6"/>
  <c r="I71" i="6"/>
  <c r="I74" i="6"/>
  <c r="D99" i="6"/>
  <c r="D98" i="6"/>
  <c r="E98" i="6"/>
  <c r="N133" i="6"/>
  <c r="N127" i="6" s="1"/>
  <c r="M127" i="6"/>
  <c r="G28" i="6"/>
  <c r="G30" i="6" s="1"/>
  <c r="K103" i="6"/>
  <c r="J97" i="6"/>
  <c r="L32" i="6"/>
  <c r="M31" i="6"/>
  <c r="G74" i="6"/>
  <c r="G71" i="6"/>
  <c r="G77" i="6"/>
  <c r="I46" i="6"/>
  <c r="J45" i="6"/>
  <c r="I47" i="6"/>
  <c r="E32" i="6"/>
  <c r="E34" i="6" s="1"/>
  <c r="D32" i="6"/>
  <c r="D34" i="6" s="1"/>
  <c r="E37" i="6"/>
  <c r="K59" i="6"/>
  <c r="L58" i="6"/>
  <c r="K28" i="6"/>
  <c r="L27" i="6"/>
  <c r="H32" i="6"/>
  <c r="H34" i="6" s="1"/>
  <c r="F41" i="6"/>
  <c r="F17" i="6"/>
  <c r="F5" i="6" s="1"/>
  <c r="G39" i="6"/>
  <c r="F39" i="6"/>
  <c r="F35" i="6"/>
  <c r="D214" i="6"/>
  <c r="D165" i="6"/>
  <c r="D141" i="6"/>
  <c r="D111" i="6"/>
  <c r="D80" i="6"/>
  <c r="D50" i="6"/>
  <c r="J23" i="6"/>
  <c r="I32" i="6"/>
  <c r="I34" i="6" s="1"/>
  <c r="K15" i="6"/>
  <c r="I68" i="6"/>
  <c r="E77" i="6"/>
  <c r="E74" i="6"/>
  <c r="E71" i="6"/>
  <c r="H28" i="6"/>
  <c r="H30" i="6" s="1"/>
  <c r="H37" i="6"/>
  <c r="H5" i="6"/>
  <c r="H71" i="6"/>
  <c r="H77" i="6"/>
  <c r="C111" i="6"/>
  <c r="C214" i="6"/>
  <c r="C40" i="6"/>
  <c r="C22" i="6"/>
  <c r="C50" i="6"/>
  <c r="C165" i="6"/>
  <c r="C80" i="6"/>
  <c r="D28" i="6"/>
  <c r="D30" i="6" s="1"/>
  <c r="C28" i="6"/>
  <c r="C30" i="6" s="1"/>
  <c r="H68" i="6"/>
  <c r="E165" i="6"/>
  <c r="E80" i="6"/>
  <c r="E214" i="6"/>
  <c r="E111" i="6"/>
  <c r="E22" i="6"/>
  <c r="C24" i="6"/>
  <c r="C26" i="6" s="1"/>
  <c r="E30" i="6"/>
  <c r="H39" i="6"/>
  <c r="H41" i="6"/>
  <c r="G67" i="6"/>
  <c r="I41" i="6"/>
  <c r="J41" i="6" s="1"/>
  <c r="I35" i="6"/>
  <c r="I40" i="6"/>
  <c r="J38" i="6"/>
  <c r="L73" i="6"/>
  <c r="C141" i="6"/>
  <c r="B43" i="6"/>
  <c r="B35" i="6"/>
  <c r="B44" i="6"/>
  <c r="F50" i="6"/>
  <c r="F49" i="6"/>
  <c r="E68" i="6"/>
  <c r="M72" i="6"/>
  <c r="F124" i="6"/>
  <c r="F126" i="6" s="1"/>
  <c r="E124" i="6"/>
  <c r="E126" i="6" s="1"/>
  <c r="B165" i="6"/>
  <c r="B141" i="6"/>
  <c r="B80" i="6"/>
  <c r="B111" i="6"/>
  <c r="B214" i="6"/>
  <c r="G40" i="6"/>
  <c r="H43" i="6"/>
  <c r="H47" i="6"/>
  <c r="F46" i="6"/>
  <c r="C47" i="6"/>
  <c r="M54" i="6"/>
  <c r="L69" i="6"/>
  <c r="F71" i="6"/>
  <c r="M75" i="6"/>
  <c r="I129" i="6"/>
  <c r="I128" i="6"/>
  <c r="I148" i="6"/>
  <c r="I147" i="6"/>
  <c r="K151" i="6"/>
  <c r="J146" i="6"/>
  <c r="C179" i="6"/>
  <c r="C181" i="6" s="1"/>
  <c r="C148" i="6"/>
  <c r="C147" i="6"/>
  <c r="E179" i="6"/>
  <c r="E181" i="6" s="1"/>
  <c r="B198" i="6"/>
  <c r="C197" i="6"/>
  <c r="K62" i="6"/>
  <c r="J63" i="6"/>
  <c r="L76" i="6"/>
  <c r="D147" i="6"/>
  <c r="L200" i="6"/>
  <c r="C44" i="6"/>
  <c r="L55" i="6"/>
  <c r="F214" i="6"/>
  <c r="F165" i="6"/>
  <c r="F141" i="6"/>
  <c r="F80" i="6"/>
  <c r="G41" i="6"/>
  <c r="D43" i="6"/>
  <c r="H44" i="6"/>
  <c r="D47" i="6"/>
  <c r="L67" i="6"/>
  <c r="K67" i="6"/>
  <c r="B77" i="6"/>
  <c r="D116" i="6"/>
  <c r="D118" i="6" s="1"/>
  <c r="G165" i="6"/>
  <c r="G141" i="6"/>
  <c r="G111" i="6"/>
  <c r="C35" i="6"/>
  <c r="B50" i="6"/>
  <c r="J52" i="6"/>
  <c r="J53" i="6" s="1"/>
  <c r="H65" i="6"/>
  <c r="B71" i="6"/>
  <c r="B74" i="6"/>
  <c r="C77" i="6"/>
  <c r="D120" i="6"/>
  <c r="D122" i="6" s="1"/>
  <c r="C172" i="6"/>
  <c r="G214" i="6"/>
  <c r="D74" i="6"/>
  <c r="D71" i="6"/>
  <c r="H165" i="6"/>
  <c r="H141" i="6"/>
  <c r="H214" i="6"/>
  <c r="L48" i="6"/>
  <c r="K49" i="6"/>
  <c r="G57" i="6"/>
  <c r="C61" i="6"/>
  <c r="C68" i="6"/>
  <c r="C67" i="6"/>
  <c r="C71" i="6"/>
  <c r="H74" i="6"/>
  <c r="D77" i="6"/>
  <c r="G80" i="6"/>
  <c r="G148" i="6"/>
  <c r="G147" i="6"/>
  <c r="C124" i="6"/>
  <c r="C126" i="6" s="1"/>
  <c r="H129" i="6"/>
  <c r="H128" i="6"/>
  <c r="J76" i="6"/>
  <c r="H98" i="6"/>
  <c r="J127" i="6"/>
  <c r="E128" i="6"/>
  <c r="E147" i="6"/>
  <c r="H147" i="6"/>
  <c r="K167" i="6"/>
  <c r="L10" i="5"/>
  <c r="K11" i="5"/>
  <c r="K14" i="5" s="1"/>
  <c r="J56" i="5"/>
  <c r="K54" i="5"/>
  <c r="J13" i="5"/>
  <c r="I70" i="5"/>
  <c r="M12" i="5"/>
  <c r="B14" i="5"/>
  <c r="E24" i="5"/>
  <c r="K26" i="5"/>
  <c r="L26" i="5" s="1"/>
  <c r="M26" i="5" s="1"/>
  <c r="N26" i="5" s="1"/>
  <c r="N31" i="5" s="1"/>
  <c r="F61" i="5"/>
  <c r="J11" i="5"/>
  <c r="J14" i="5" s="1"/>
  <c r="H52" i="5"/>
  <c r="G61" i="5"/>
  <c r="C65" i="5"/>
  <c r="C68" i="5" s="1"/>
  <c r="E61" i="5"/>
  <c r="J17" i="5"/>
  <c r="J52" i="5"/>
  <c r="D24" i="5"/>
  <c r="K13" i="5"/>
  <c r="C52" i="5"/>
  <c r="H61" i="5"/>
  <c r="K63" i="6" l="1"/>
  <c r="L62" i="6"/>
  <c r="M55" i="6"/>
  <c r="N54" i="6"/>
  <c r="J40" i="6"/>
  <c r="K38" i="6"/>
  <c r="J39" i="6"/>
  <c r="L28" i="6"/>
  <c r="M27" i="6"/>
  <c r="K214" i="6"/>
  <c r="J213" i="6"/>
  <c r="B37" i="6"/>
  <c r="B36" i="6"/>
  <c r="I37" i="6"/>
  <c r="I5" i="6"/>
  <c r="J35" i="6"/>
  <c r="I36" i="6"/>
  <c r="K74" i="6"/>
  <c r="K77" i="6"/>
  <c r="K45" i="6"/>
  <c r="J11" i="6"/>
  <c r="K97" i="6"/>
  <c r="L103" i="6"/>
  <c r="K80" i="6"/>
  <c r="J79" i="6"/>
  <c r="L167" i="6"/>
  <c r="K169" i="6"/>
  <c r="M200" i="6"/>
  <c r="L196" i="6"/>
  <c r="J43" i="6"/>
  <c r="K41" i="6"/>
  <c r="F36" i="6"/>
  <c r="F37" i="6"/>
  <c r="L59" i="6"/>
  <c r="M58" i="6"/>
  <c r="J21" i="6"/>
  <c r="K23" i="6"/>
  <c r="J24" i="6"/>
  <c r="J26" i="6" s="1"/>
  <c r="K111" i="6"/>
  <c r="J110" i="6"/>
  <c r="M76" i="6"/>
  <c r="N75" i="6"/>
  <c r="M73" i="6"/>
  <c r="N72" i="6"/>
  <c r="K52" i="6"/>
  <c r="K53" i="6" s="1"/>
  <c r="G36" i="6"/>
  <c r="G37" i="6"/>
  <c r="H36" i="6"/>
  <c r="J140" i="6"/>
  <c r="K141" i="6"/>
  <c r="K68" i="6"/>
  <c r="K71" i="6"/>
  <c r="K165" i="6"/>
  <c r="J164" i="6"/>
  <c r="K44" i="6"/>
  <c r="J46" i="6"/>
  <c r="L49" i="6"/>
  <c r="M48" i="6"/>
  <c r="L14" i="6"/>
  <c r="L70" i="6"/>
  <c r="M69" i="6"/>
  <c r="M32" i="6"/>
  <c r="N31" i="6"/>
  <c r="N32" i="6" s="1"/>
  <c r="D36" i="6"/>
  <c r="C36" i="6"/>
  <c r="C37" i="6"/>
  <c r="K146" i="6"/>
  <c r="L151" i="6"/>
  <c r="K56" i="5"/>
  <c r="L54" i="5"/>
  <c r="M31" i="5"/>
  <c r="N12" i="5"/>
  <c r="J18" i="5"/>
  <c r="K17" i="5"/>
  <c r="J62" i="5"/>
  <c r="J65" i="5" s="1"/>
  <c r="J68" i="5" s="1"/>
  <c r="K49" i="5"/>
  <c r="K16" i="5"/>
  <c r="M10" i="5"/>
  <c r="L11" i="5"/>
  <c r="J16" i="5"/>
  <c r="J19" i="5" s="1"/>
  <c r="J49" i="5"/>
  <c r="L31" i="5"/>
  <c r="N76" i="6" l="1"/>
  <c r="L169" i="6"/>
  <c r="M167" i="6"/>
  <c r="K213" i="6"/>
  <c r="L214" i="6"/>
  <c r="M70" i="6"/>
  <c r="N69" i="6"/>
  <c r="M28" i="6"/>
  <c r="N27" i="6"/>
  <c r="N28" i="6" s="1"/>
  <c r="M62" i="6"/>
  <c r="L63" i="6"/>
  <c r="L52" i="6"/>
  <c r="L53" i="6" s="1"/>
  <c r="L146" i="6"/>
  <c r="M151" i="6"/>
  <c r="J37" i="6"/>
  <c r="K35" i="6"/>
  <c r="J36" i="6"/>
  <c r="K164" i="6"/>
  <c r="L165" i="6"/>
  <c r="L111" i="6"/>
  <c r="K110" i="6"/>
  <c r="K43" i="6"/>
  <c r="L41" i="6"/>
  <c r="M103" i="6"/>
  <c r="L97" i="6"/>
  <c r="L23" i="6"/>
  <c r="K24" i="6"/>
  <c r="K26" i="6" s="1"/>
  <c r="K21" i="6"/>
  <c r="M59" i="6"/>
  <c r="N58" i="6"/>
  <c r="N59" i="6" s="1"/>
  <c r="N55" i="6"/>
  <c r="K46" i="6"/>
  <c r="L44" i="6"/>
  <c r="K79" i="6"/>
  <c r="L80" i="6"/>
  <c r="L15" i="6"/>
  <c r="K40" i="6"/>
  <c r="L38" i="6"/>
  <c r="K39" i="6"/>
  <c r="N48" i="6"/>
  <c r="M49" i="6"/>
  <c r="M14" i="6"/>
  <c r="N73" i="6"/>
  <c r="K140" i="6"/>
  <c r="L141" i="6"/>
  <c r="J22" i="6"/>
  <c r="J3" i="6"/>
  <c r="J50" i="6"/>
  <c r="M196" i="6"/>
  <c r="N200" i="6"/>
  <c r="N196" i="6" s="1"/>
  <c r="L45" i="6"/>
  <c r="K11" i="6"/>
  <c r="M52" i="6"/>
  <c r="M53" i="6" s="1"/>
  <c r="K19" i="5"/>
  <c r="L17" i="5"/>
  <c r="K18" i="5"/>
  <c r="K62" i="5"/>
  <c r="K65" i="5" s="1"/>
  <c r="K68" i="5" s="1"/>
  <c r="K70" i="5" s="1"/>
  <c r="K21" i="5" s="1"/>
  <c r="K31" i="5" s="1"/>
  <c r="L14" i="5"/>
  <c r="L13" i="5"/>
  <c r="N10" i="5"/>
  <c r="N11" i="5" s="1"/>
  <c r="N14" i="5" s="1"/>
  <c r="M11" i="5"/>
  <c r="N13" i="5"/>
  <c r="L56" i="5"/>
  <c r="M54" i="5"/>
  <c r="L140" i="6" l="1"/>
  <c r="M141" i="6"/>
  <c r="M45" i="6"/>
  <c r="L11" i="6"/>
  <c r="L43" i="6"/>
  <c r="M41" i="6"/>
  <c r="M146" i="6"/>
  <c r="N151" i="6"/>
  <c r="N146" i="6" s="1"/>
  <c r="N70" i="6"/>
  <c r="L79" i="6"/>
  <c r="M80" i="6"/>
  <c r="K22" i="6"/>
  <c r="K3" i="6"/>
  <c r="K50" i="6"/>
  <c r="L110" i="6"/>
  <c r="M111" i="6"/>
  <c r="M214" i="6"/>
  <c r="L213" i="6"/>
  <c r="M15" i="6"/>
  <c r="J4" i="6"/>
  <c r="J16" i="6"/>
  <c r="N49" i="6"/>
  <c r="N14" i="6"/>
  <c r="L164" i="6"/>
  <c r="M165" i="6"/>
  <c r="L68" i="6"/>
  <c r="L77" i="6"/>
  <c r="L74" i="6"/>
  <c r="L71" i="6"/>
  <c r="L46" i="6"/>
  <c r="M44" i="6"/>
  <c r="M23" i="6"/>
  <c r="L24" i="6"/>
  <c r="L26" i="6" s="1"/>
  <c r="L21" i="6"/>
  <c r="N62" i="6"/>
  <c r="M63" i="6"/>
  <c r="N167" i="6"/>
  <c r="N169" i="6" s="1"/>
  <c r="M169" i="6"/>
  <c r="L40" i="6"/>
  <c r="M38" i="6"/>
  <c r="L39" i="6"/>
  <c r="N103" i="6"/>
  <c r="N97" i="6" s="1"/>
  <c r="M97" i="6"/>
  <c r="L35" i="6"/>
  <c r="K5" i="6"/>
  <c r="K37" i="6"/>
  <c r="K36" i="6"/>
  <c r="N16" i="5"/>
  <c r="N49" i="5"/>
  <c r="M17" i="5"/>
  <c r="L62" i="5"/>
  <c r="L65" i="5" s="1"/>
  <c r="L68" i="5" s="1"/>
  <c r="L18" i="5"/>
  <c r="M14" i="5"/>
  <c r="M13" i="5"/>
  <c r="L49" i="5"/>
  <c r="L16" i="5"/>
  <c r="L19" i="5" s="1"/>
  <c r="N54" i="5"/>
  <c r="N56" i="5" s="1"/>
  <c r="M56" i="5"/>
  <c r="N111" i="6" l="1"/>
  <c r="N110" i="6" s="1"/>
  <c r="M110" i="6"/>
  <c r="L36" i="6"/>
  <c r="L37" i="6"/>
  <c r="L5" i="6"/>
  <c r="M35" i="6"/>
  <c r="N63" i="6"/>
  <c r="N52" i="6"/>
  <c r="N53" i="6" s="1"/>
  <c r="K4" i="6"/>
  <c r="K16" i="6"/>
  <c r="N41" i="6"/>
  <c r="N43" i="6" s="1"/>
  <c r="M43" i="6"/>
  <c r="N15" i="6"/>
  <c r="M140" i="6"/>
  <c r="N141" i="6"/>
  <c r="N140" i="6" s="1"/>
  <c r="L3" i="6"/>
  <c r="L22" i="6"/>
  <c r="L50" i="6"/>
  <c r="M68" i="6"/>
  <c r="M74" i="6"/>
  <c r="M77" i="6"/>
  <c r="M71" i="6"/>
  <c r="M164" i="6"/>
  <c r="N165" i="6"/>
  <c r="N164" i="6" s="1"/>
  <c r="N80" i="6"/>
  <c r="N79" i="6" s="1"/>
  <c r="M79" i="6"/>
  <c r="M46" i="6"/>
  <c r="N44" i="6"/>
  <c r="N46" i="6" s="1"/>
  <c r="N214" i="6"/>
  <c r="N213" i="6" s="1"/>
  <c r="M213" i="6"/>
  <c r="M39" i="6"/>
  <c r="N38" i="6"/>
  <c r="M40" i="6"/>
  <c r="N23" i="6"/>
  <c r="M21" i="6"/>
  <c r="M24" i="6"/>
  <c r="M26" i="6" s="1"/>
  <c r="N45" i="6"/>
  <c r="N11" i="6" s="1"/>
  <c r="M11" i="6"/>
  <c r="M49" i="5"/>
  <c r="M16" i="5"/>
  <c r="M19" i="5" s="1"/>
  <c r="M62" i="5"/>
  <c r="M65" i="5" s="1"/>
  <c r="M68" i="5" s="1"/>
  <c r="M18" i="5"/>
  <c r="N17" i="5"/>
  <c r="L4" i="6" l="1"/>
  <c r="L16" i="6"/>
  <c r="N68" i="6"/>
  <c r="N77" i="6"/>
  <c r="N74" i="6"/>
  <c r="N71" i="6"/>
  <c r="M36" i="6"/>
  <c r="N35" i="6"/>
  <c r="M5" i="6"/>
  <c r="M37" i="6"/>
  <c r="N39" i="6"/>
  <c r="N40" i="6"/>
  <c r="M22" i="6"/>
  <c r="M3" i="6"/>
  <c r="M50" i="6"/>
  <c r="N21" i="6"/>
  <c r="N24" i="6"/>
  <c r="N26" i="6" s="1"/>
  <c r="N62" i="5"/>
  <c r="N65" i="5" s="1"/>
  <c r="N68" i="5" s="1"/>
  <c r="N18" i="5"/>
  <c r="N19" i="5"/>
  <c r="N3" i="6" l="1"/>
  <c r="N22" i="6"/>
  <c r="N50" i="6"/>
  <c r="N36" i="6"/>
  <c r="N37" i="6"/>
  <c r="N5" i="6"/>
  <c r="M4" i="6"/>
  <c r="M16" i="6"/>
  <c r="N4" i="6" l="1"/>
  <c r="N1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1" authorId="0" shapeId="0" xr:uid="{144EB324-FF44-4F5A-BB3B-CC9F6605905C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tc={1963D819-566B-4E3B-BA3D-0209620A543C}</author>
    <author>tc={78BC25EA-56CB-442D-97B7-B6198CED8BDB}</author>
  </authors>
  <commentList>
    <comment ref="O13" authorId="0" shapeId="0" xr:uid="{1963D819-566B-4E3B-BA3D-0209620A543C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Based on average % movement in the tax rates between 2015 and 2022</t>
      </text>
    </comment>
    <comment ref="O15" authorId="1" shapeId="0" xr:uid="{78BC25EA-56CB-442D-97B7-B6198CED8BDB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Based on Nike’s announcement of share buyback programme in 2022, to take place in the next 4 years. Equated to a buyback of 50 million shares circa per year.</t>
      </text>
    </comment>
  </commentList>
</comments>
</file>

<file path=xl/sharedStrings.xml><?xml version="1.0" encoding="utf-8"?>
<sst xmlns="http://schemas.openxmlformats.org/spreadsheetml/2006/main" count="472" uniqueCount="213">
  <si>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</si>
  <si>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</si>
  <si>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</si>
  <si>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</si>
  <si>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</si>
  <si>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</si>
  <si>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</si>
  <si>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</si>
  <si>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</si>
  <si>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</si>
  <si>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</si>
  <si>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</si>
  <si>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</si>
  <si>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</si>
  <si>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</si>
  <si>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</si>
  <si>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</si>
  <si>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</si>
  <si>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</si>
  <si>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</si>
  <si>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</si>
  <si>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</si>
  <si>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</si>
  <si>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</si>
  <si>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</si>
  <si>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</si>
  <si>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</si>
  <si>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</si>
  <si>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</si>
  <si>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</si>
  <si>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</si>
  <si>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</si>
  <si>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</si>
  <si>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</si>
  <si>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</si>
  <si>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</si>
  <si>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</si>
  <si>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</si>
  <si>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</si>
  <si>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</si>
  <si>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</si>
  <si>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</si>
  <si>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</si>
  <si>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</si>
  <si>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</si>
  <si>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</si>
  <si>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</si>
  <si>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</si>
  <si>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</si>
  <si>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</si>
  <si>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</si>
  <si>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</si>
  <si>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</si>
  <si>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</si>
  <si>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</si>
  <si>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</si>
  <si>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</si>
  <si>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</si>
  <si>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</si>
  <si>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</si>
  <si>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</si>
  <si>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</si>
  <si>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</si>
  <si>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</si>
  <si>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</si>
  <si>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</si>
  <si>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</si>
  <si>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</si>
  <si>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</si>
  <si>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</si>
  <si>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</si>
  <si>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</si>
  <si>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</si>
  <si>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</si>
  <si>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</si>
  <si>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</si>
  <si>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</si>
  <si>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</si>
  <si>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</si>
  <si>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</si>
  <si>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</si>
  <si>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</si>
  <si>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</si>
  <si>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</si>
  <si>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</si>
  <si>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</si>
  <si>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</si>
  <si>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</si>
  <si>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</si>
  <si>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</si>
  <si>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</si>
  <si>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</si>
  <si>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</si>
  <si>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</si>
  <si>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</si>
  <si>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</si>
  <si>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</si>
  <si>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</si>
  <si>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</si>
  <si>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</si>
  <si>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</si>
  <si>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</si>
  <si>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</si>
  <si>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</si>
  <si>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</si>
  <si>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</si>
  <si>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</si>
  <si>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</si>
  <si>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</si>
  <si>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</si>
  <si>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</si>
  <si>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</si>
  <si>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</si>
  <si>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</si>
  <si>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</si>
  <si>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</si>
  <si>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</si>
  <si>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</si>
  <si>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</si>
  <si>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</si>
  <si>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</si>
  <si>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</si>
  <si>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</si>
  <si>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</si>
  <si>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</si>
  <si>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</si>
  <si>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</si>
  <si>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</si>
  <si>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</si>
  <si>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</si>
  <si>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</si>
  <si>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</si>
  <si>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</si>
  <si>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</si>
  <si>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</si>
  <si>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</si>
  <si>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</si>
  <si>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</si>
  <si>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</si>
  <si>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</si>
  <si>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</si>
  <si>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</si>
  <si>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</si>
  <si>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</si>
  <si>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</si>
  <si>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</si>
  <si>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</si>
  <si>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</si>
  <si>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</si>
  <si>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</si>
  <si>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</si>
  <si>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</si>
  <si>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</si>
  <si>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</si>
  <si>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</si>
  <si>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</si>
  <si>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</si>
  <si>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</si>
  <si>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</si>
  <si>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</si>
  <si>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</si>
  <si>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</si>
  <si>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</si>
  <si>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</si>
  <si>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</si>
  <si>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</si>
  <si>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</si>
  <si>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</si>
  <si>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</si>
  <si>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</si>
  <si>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</si>
  <si>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</si>
  <si>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</si>
  <si>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</si>
  <si>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</si>
  <si>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</si>
  <si>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</si>
  <si>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</si>
  <si>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</si>
  <si>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</si>
  <si>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</si>
  <si>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</si>
  <si>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</si>
  <si>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</si>
  <si>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</si>
  <si>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</si>
  <si>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</si>
  <si>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</si>
  <si>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</si>
  <si>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</si>
  <si>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</si>
  <si>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</si>
  <si>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</si>
  <si>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</si>
  <si>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</si>
  <si>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</si>
  <si>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</si>
  <si>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</si>
  <si>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</si>
  <si>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</si>
  <si>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Deferred Income Taxes</t>
  </si>
  <si>
    <t>Disposals of PPE</t>
  </si>
  <si>
    <t>Investments in Repurchase Agreements</t>
  </si>
  <si>
    <t>Long -term debt payments including current portion</t>
  </si>
  <si>
    <t>Payments on capital lease obligations</t>
  </si>
  <si>
    <t>Net proceeds from long-term debt isuance</t>
  </si>
  <si>
    <t>Excess Tax benefits from share-based payment arrangements</t>
  </si>
  <si>
    <t>Tax payments for net share settlement of equity awards</t>
  </si>
  <si>
    <t>Cashflow</t>
  </si>
  <si>
    <t>property, plant and equipment</t>
  </si>
  <si>
    <t>Property, Plant and Equipment</t>
  </si>
  <si>
    <t>Asia Pacific and Latin America</t>
  </si>
  <si>
    <t>Total Nike Brand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</si>
</sst>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  <numFmt numFmtId="168" formatCode="0.000%"/>
    <numFmt numFmtId="169" formatCode="0.0"/>
    <numFmt numFmtId="170" formatCode="_-* #,##0.0_-;\-* #,##0.0_-;_-* &quot;-&quot;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4" fontId="0" fillId="0" borderId="0" xfId="1" applyFont="1" applyFill="1" applyBorder="1"/>
    <xf numFmtId="43" fontId="0" fillId="0" borderId="0" xfId="0" applyNumberFormat="1"/>
    <xf numFmtId="9" fontId="13" fillId="0" borderId="0" xfId="2" applyFont="1" applyBorder="1" applyAlignment="1">
      <alignment horizontal="right"/>
    </xf>
    <xf numFmtId="1" fontId="2" fillId="0" borderId="0" xfId="0" applyNumberFormat="1" applyFont="1"/>
    <xf numFmtId="1" fontId="2" fillId="0" borderId="0" xfId="1" applyNumberFormat="1" applyFont="1"/>
    <xf numFmtId="10" fontId="0" fillId="0" borderId="0" xfId="2" applyNumberFormat="1" applyFont="1"/>
    <xf numFmtId="9" fontId="0" fillId="0" borderId="0" xfId="2" applyFont="1"/>
    <xf numFmtId="164" fontId="16" fillId="0" borderId="0" xfId="1" applyFont="1" applyBorder="1"/>
    <xf numFmtId="167" fontId="2" fillId="0" borderId="5" xfId="0" applyNumberFormat="1" applyFont="1" applyBorder="1"/>
    <xf numFmtId="3" fontId="0" fillId="0" borderId="0" xfId="2" applyNumberFormat="1" applyFont="1"/>
    <xf numFmtId="9" fontId="2" fillId="0" borderId="0" xfId="2" applyFont="1" applyBorder="1"/>
    <xf numFmtId="1" fontId="2" fillId="0" borderId="0" xfId="2" applyNumberFormat="1" applyFont="1" applyBorder="1"/>
    <xf numFmtId="1" fontId="2" fillId="0" borderId="0" xfId="2" applyNumberFormat="1" applyFont="1"/>
    <xf numFmtId="1" fontId="0" fillId="0" borderId="0" xfId="2" applyNumberFormat="1" applyFont="1"/>
    <xf numFmtId="0" fontId="0" fillId="0" borderId="0" xfId="2" applyNumberFormat="1" applyFont="1"/>
    <xf numFmtId="167" fontId="2" fillId="0" borderId="2" xfId="0" applyNumberFormat="1" applyFont="1" applyBorder="1"/>
    <xf numFmtId="3" fontId="2" fillId="0" borderId="0" xfId="0" applyNumberFormat="1" applyFont="1"/>
    <xf numFmtId="3" fontId="12" fillId="0" borderId="0" xfId="2" applyNumberFormat="1" applyFont="1" applyAlignment="1">
      <alignment horizontal="right"/>
    </xf>
    <xf numFmtId="166" fontId="0" fillId="0" borderId="0" xfId="2" applyNumberFormat="1" applyFont="1"/>
    <xf numFmtId="43" fontId="2" fillId="0" borderId="2" xfId="0" applyNumberFormat="1" applyFont="1" applyBorder="1"/>
    <xf numFmtId="1" fontId="12" fillId="0" borderId="0" xfId="2" applyNumberFormat="1" applyFont="1" applyAlignment="1">
      <alignment horizontal="right"/>
    </xf>
    <xf numFmtId="165" fontId="2" fillId="0" borderId="2" xfId="0" applyNumberFormat="1" applyFont="1" applyBorder="1"/>
    <xf numFmtId="168" fontId="11" fillId="0" borderId="0" xfId="2" applyNumberFormat="1" applyFont="1" applyAlignment="1">
      <alignment horizontal="right"/>
    </xf>
    <xf numFmtId="165" fontId="13" fillId="9" borderId="0" xfId="1" applyNumberFormat="1" applyFont="1" applyFill="1" applyAlignment="1">
      <alignment horizontal="left" indent="1"/>
    </xf>
    <xf numFmtId="167" fontId="2" fillId="0" borderId="0" xfId="0" applyNumberFormat="1" applyFont="1"/>
    <xf numFmtId="43" fontId="2" fillId="0" borderId="0" xfId="0" applyNumberFormat="1" applyFont="1"/>
    <xf numFmtId="165" fontId="2" fillId="0" borderId="0" xfId="1" applyNumberFormat="1" applyFont="1" applyAlignment="1">
      <alignment horizontal="left" indent="1"/>
    </xf>
    <xf numFmtId="0" fontId="0" fillId="9" borderId="0" xfId="0" applyFill="1"/>
    <xf numFmtId="169" fontId="2" fillId="0" borderId="0" xfId="0" applyNumberFormat="1" applyFont="1"/>
    <xf numFmtId="2" fontId="11" fillId="0" borderId="0" xfId="2" applyNumberFormat="1" applyFont="1" applyAlignment="1">
      <alignment horizontal="right"/>
    </xf>
    <xf numFmtId="9" fontId="0" fillId="0" borderId="0" xfId="0" applyNumberFormat="1"/>
    <xf numFmtId="9" fontId="11" fillId="0" borderId="0" xfId="2" applyFont="1" applyAlignment="1">
      <alignment horizontal="right"/>
    </xf>
    <xf numFmtId="1" fontId="11" fillId="0" borderId="0" xfId="2" applyNumberFormat="1" applyFont="1" applyAlignment="1">
      <alignment horizontal="right"/>
    </xf>
    <xf numFmtId="170" fontId="2" fillId="0" borderId="0" xfId="0" applyNumberFormat="1" applyFont="1"/>
    <xf numFmtId="169" fontId="11" fillId="0" borderId="0" xfId="2" applyNumberFormat="1" applyFont="1" applyAlignment="1">
      <alignment horizontal="right"/>
    </xf>
    <xf numFmtId="4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n\Downloads\1730913522_Task%2010%20-%20Linking%20Balance%20sheet%20(1).xlsx" TargetMode="External"/><Relationship Id="rId1" Type="http://schemas.openxmlformats.org/officeDocument/2006/relationships/externalLinkPath" Target="1730913522_Task%2010%20-%20Linking%20Balance%20sheet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n\Downloads\71732731376808_Task%208%20-%20Building%20the%20Revenue%20Model.xlsx" TargetMode="External"/><Relationship Id="rId1" Type="http://schemas.openxmlformats.org/officeDocument/2006/relationships/externalLinkPath" Target="71732731376808_Task%208%20-%20Building%20the%20Revenue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31">
          <cell r="B31">
            <v>15976</v>
          </cell>
          <cell r="C31">
            <v>15025</v>
          </cell>
          <cell r="D31">
            <v>16061</v>
          </cell>
          <cell r="E31">
            <v>15134</v>
          </cell>
          <cell r="F31">
            <v>16525</v>
          </cell>
          <cell r="G31">
            <v>20556</v>
          </cell>
          <cell r="H31">
            <v>26291</v>
          </cell>
          <cell r="I31">
            <v>28213</v>
          </cell>
        </row>
        <row r="46">
          <cell r="B46">
            <v>6334</v>
          </cell>
          <cell r="C46">
            <v>5358</v>
          </cell>
          <cell r="D46">
            <v>5474</v>
          </cell>
          <cell r="E46">
            <v>6040</v>
          </cell>
          <cell r="F46">
            <v>7866</v>
          </cell>
          <cell r="G46">
            <v>8284</v>
          </cell>
          <cell r="H46">
            <v>9674</v>
          </cell>
          <cell r="I46">
            <v>10730</v>
          </cell>
        </row>
        <row r="77">
          <cell r="B77">
            <v>4680</v>
          </cell>
          <cell r="C77">
            <v>3096</v>
          </cell>
          <cell r="D77">
            <v>3640</v>
          </cell>
          <cell r="E77">
            <v>4955</v>
          </cell>
          <cell r="F77">
            <v>5903</v>
          </cell>
          <cell r="G77">
            <v>2485</v>
          </cell>
          <cell r="H77">
            <v>6657</v>
          </cell>
          <cell r="I77">
            <v>5188</v>
          </cell>
        </row>
        <row r="79">
          <cell r="B79">
            <v>-4936</v>
          </cell>
          <cell r="C79">
            <v>-5367</v>
          </cell>
          <cell r="D79">
            <v>-5928</v>
          </cell>
          <cell r="E79">
            <v>-4783</v>
          </cell>
          <cell r="F79">
            <v>-2937</v>
          </cell>
          <cell r="G79">
            <v>-2426</v>
          </cell>
          <cell r="H79">
            <v>-9961</v>
          </cell>
          <cell r="I79">
            <v>-12913</v>
          </cell>
        </row>
        <row r="80">
          <cell r="B80">
            <v>3655</v>
          </cell>
          <cell r="C80">
            <v>2924</v>
          </cell>
          <cell r="D80">
            <v>3623</v>
          </cell>
          <cell r="E80">
            <v>3613</v>
          </cell>
          <cell r="F80">
            <v>1715</v>
          </cell>
          <cell r="G80">
            <v>74</v>
          </cell>
          <cell r="H80">
            <v>4236</v>
          </cell>
          <cell r="I80">
            <v>8199</v>
          </cell>
        </row>
        <row r="81">
          <cell r="B81">
            <v>2216</v>
          </cell>
          <cell r="C81">
            <v>2386</v>
          </cell>
          <cell r="D81">
            <v>2423</v>
          </cell>
          <cell r="E81">
            <v>2496</v>
          </cell>
          <cell r="F81">
            <v>2072</v>
          </cell>
          <cell r="G81">
            <v>2379</v>
          </cell>
          <cell r="H81">
            <v>2449</v>
          </cell>
          <cell r="I81">
            <v>3967</v>
          </cell>
        </row>
        <row r="82">
          <cell r="B82">
            <v>-963</v>
          </cell>
          <cell r="C82">
            <v>-1143</v>
          </cell>
          <cell r="D82">
            <v>-1105</v>
          </cell>
          <cell r="E82">
            <v>-1028</v>
          </cell>
          <cell r="F82">
            <v>-1119</v>
          </cell>
          <cell r="G82">
            <v>-1086</v>
          </cell>
          <cell r="H82">
            <v>-695</v>
          </cell>
          <cell r="I82">
            <v>-758</v>
          </cell>
        </row>
        <row r="83">
          <cell r="B83">
            <v>3</v>
          </cell>
          <cell r="C83">
            <v>10</v>
          </cell>
          <cell r="D83">
            <v>13</v>
          </cell>
          <cell r="E83">
            <v>3</v>
          </cell>
          <cell r="F83">
            <v>5</v>
          </cell>
        </row>
        <row r="84">
          <cell r="B84">
            <v>-150</v>
          </cell>
          <cell r="C84">
            <v>150</v>
          </cell>
          <cell r="D84">
            <v>-34</v>
          </cell>
        </row>
        <row r="85">
          <cell r="C85">
            <v>6</v>
          </cell>
          <cell r="E85">
            <v>-25</v>
          </cell>
          <cell r="H85">
            <v>171</v>
          </cell>
          <cell r="I85">
            <v>-19</v>
          </cell>
        </row>
        <row r="94">
          <cell r="B94">
            <v>514</v>
          </cell>
          <cell r="C94">
            <v>507</v>
          </cell>
          <cell r="D94">
            <v>489</v>
          </cell>
          <cell r="E94">
            <v>733</v>
          </cell>
          <cell r="F94">
            <v>700</v>
          </cell>
          <cell r="G94">
            <v>885</v>
          </cell>
          <cell r="H94">
            <v>1172</v>
          </cell>
          <cell r="I94">
            <v>1151</v>
          </cell>
        </row>
        <row r="95">
          <cell r="B95">
            <v>-2534</v>
          </cell>
          <cell r="C95">
            <v>-3238</v>
          </cell>
          <cell r="D95">
            <v>-3223</v>
          </cell>
          <cell r="E95">
            <v>-4254</v>
          </cell>
          <cell r="F95">
            <v>-4286</v>
          </cell>
          <cell r="G95">
            <v>-3067</v>
          </cell>
          <cell r="H95">
            <v>-608</v>
          </cell>
          <cell r="I95">
            <v>-4014</v>
          </cell>
        </row>
        <row r="97">
          <cell r="B97">
            <v>-899</v>
          </cell>
          <cell r="C97">
            <v>-1022</v>
          </cell>
          <cell r="D97">
            <v>-1133</v>
          </cell>
          <cell r="E97">
            <v>-1243</v>
          </cell>
          <cell r="F97">
            <v>-1332</v>
          </cell>
          <cell r="G97">
            <v>-1452</v>
          </cell>
          <cell r="H97">
            <v>-1638</v>
          </cell>
          <cell r="I97">
            <v>-1837</v>
          </cell>
        </row>
        <row r="115">
          <cell r="A115" t="str">
            <v>North America</v>
          </cell>
          <cell r="B115">
            <v>13740</v>
          </cell>
          <cell r="C115">
            <v>14764</v>
          </cell>
          <cell r="D115">
            <v>15216</v>
          </cell>
          <cell r="E115">
            <v>14855</v>
          </cell>
          <cell r="F115">
            <v>15902</v>
          </cell>
          <cell r="G115">
            <v>14484</v>
          </cell>
          <cell r="H115">
            <v>17179</v>
          </cell>
          <cell r="I115">
            <v>18353</v>
          </cell>
        </row>
        <row r="116">
          <cell r="F116">
            <v>10045</v>
          </cell>
          <cell r="G116">
            <v>9329</v>
          </cell>
          <cell r="H116">
            <v>11644</v>
          </cell>
          <cell r="I116">
            <v>12228</v>
          </cell>
        </row>
        <row r="117">
          <cell r="F117">
            <v>5260</v>
          </cell>
          <cell r="G117">
            <v>4639</v>
          </cell>
          <cell r="H117">
            <v>5028</v>
          </cell>
          <cell r="I117">
            <v>5492</v>
          </cell>
        </row>
        <row r="118">
          <cell r="F118">
            <v>597</v>
          </cell>
          <cell r="G118">
            <v>516</v>
          </cell>
          <cell r="H118">
            <v>507</v>
          </cell>
          <cell r="I118">
            <v>633</v>
          </cell>
        </row>
        <row r="142">
          <cell r="B142">
            <v>3645</v>
          </cell>
          <cell r="C142">
            <v>3763</v>
          </cell>
          <cell r="D142">
            <v>3875</v>
          </cell>
          <cell r="E142">
            <v>3600</v>
          </cell>
          <cell r="F142">
            <v>3925</v>
          </cell>
          <cell r="G142">
            <v>2899</v>
          </cell>
          <cell r="H142">
            <v>5089</v>
          </cell>
          <cell r="I142">
            <v>5114</v>
          </cell>
        </row>
        <row r="153">
          <cell r="B153">
            <v>632</v>
          </cell>
          <cell r="C153">
            <v>742</v>
          </cell>
          <cell r="D153">
            <v>819</v>
          </cell>
          <cell r="E153">
            <v>848</v>
          </cell>
          <cell r="F153">
            <v>814</v>
          </cell>
          <cell r="G153">
            <v>645</v>
          </cell>
          <cell r="H153">
            <v>617</v>
          </cell>
          <cell r="I153">
            <v>639</v>
          </cell>
        </row>
        <row r="164">
          <cell r="B164">
            <v>208</v>
          </cell>
          <cell r="C164">
            <v>242</v>
          </cell>
          <cell r="D164">
            <v>223</v>
          </cell>
          <cell r="E164">
            <v>196</v>
          </cell>
          <cell r="F164">
            <v>117</v>
          </cell>
          <cell r="G164">
            <v>110</v>
          </cell>
          <cell r="H164">
            <v>98</v>
          </cell>
          <cell r="I164">
            <v>146</v>
          </cell>
        </row>
        <row r="175">
          <cell r="B175">
            <v>121</v>
          </cell>
          <cell r="C175">
            <v>133</v>
          </cell>
          <cell r="D175">
            <v>140</v>
          </cell>
          <cell r="E175">
            <v>160</v>
          </cell>
          <cell r="F175">
            <v>149</v>
          </cell>
          <cell r="G175">
            <v>148</v>
          </cell>
          <cell r="H175">
            <v>130</v>
          </cell>
          <cell r="I175">
            <v>124</v>
          </cell>
        </row>
        <row r="188">
          <cell r="G188">
            <v>-7.1279243404678949E-2</v>
          </cell>
          <cell r="I188">
            <v>0.05</v>
          </cell>
        </row>
        <row r="190">
          <cell r="G190">
            <v>-0.13567839195979903</v>
          </cell>
          <cell r="I190">
            <v>0.25</v>
          </cell>
        </row>
        <row r="192">
          <cell r="G192">
            <v>-6.3721595423486432E-2</v>
          </cell>
          <cell r="I192">
            <v>0.09</v>
          </cell>
        </row>
      </sheetData>
      <sheetData sheetId="2"/>
      <sheetData sheetId="3">
        <row r="14">
          <cell r="B14">
            <v>3271</v>
          </cell>
          <cell r="C14">
            <v>3760</v>
          </cell>
          <cell r="D14">
            <v>4240</v>
          </cell>
          <cell r="E14">
            <v>1933</v>
          </cell>
          <cell r="F14">
            <v>4029</v>
          </cell>
          <cell r="G14">
            <v>2539</v>
          </cell>
          <cell r="H14">
            <v>5727</v>
          </cell>
          <cell r="I14">
            <v>6046</v>
          </cell>
        </row>
        <row r="15">
          <cell r="B15">
            <v>884.4</v>
          </cell>
          <cell r="C15">
            <v>1742.5</v>
          </cell>
          <cell r="D15">
            <v>1692</v>
          </cell>
          <cell r="E15">
            <v>1659.1</v>
          </cell>
          <cell r="F15">
            <v>1618.4</v>
          </cell>
          <cell r="G15">
            <v>1591.6</v>
          </cell>
          <cell r="H15">
            <v>1609.4</v>
          </cell>
          <cell r="I15">
            <v>1610.8</v>
          </cell>
        </row>
        <row r="53">
          <cell r="B53">
            <v>1003</v>
          </cell>
          <cell r="C53">
            <v>1191</v>
          </cell>
          <cell r="D53">
            <v>1201</v>
          </cell>
          <cell r="E53">
            <v>1194</v>
          </cell>
          <cell r="F53">
            <v>1075</v>
          </cell>
          <cell r="G53">
            <v>1124</v>
          </cell>
          <cell r="H53">
            <v>695</v>
          </cell>
          <cell r="I53">
            <v>758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51">
          <cell r="H151"/>
        </row>
        <row r="178">
          <cell r="H178">
            <v>136</v>
          </cell>
          <cell r="I178">
            <v>134</v>
          </cell>
        </row>
        <row r="208">
          <cell r="B208"/>
          <cell r="C208"/>
          <cell r="D208"/>
          <cell r="E208"/>
        </row>
        <row r="209">
          <cell r="B209"/>
          <cell r="C209"/>
          <cell r="D209"/>
          <cell r="E209"/>
        </row>
        <row r="210">
          <cell r="B210"/>
          <cell r="C210"/>
          <cell r="D210"/>
          <cell r="E210"/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ENJAMIN BAZINI" id="{5303D053-4994-4D01-99F3-83B9EC17A9DC}" userId="S::2025588@buckingham.ac.uk::714eb7d7-6572-451f-9102-aa08de046ef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13" dT="2024-12-10T15:26:50.13" personId="{5303D053-4994-4D01-99F3-83B9EC17A9DC}" id="{1963D819-566B-4E3B-BA3D-0209620A543C}">
    <text>Based on average % movement in the tax rates between 2015 and 2022</text>
  </threadedComment>
  <threadedComment ref="O15" dT="2024-12-10T15:29:24.14" personId="{5303D053-4994-4D01-99F3-83B9EC17A9DC}" id="{78BC25EA-56CB-442D-97B7-B6198CED8BDB}">
    <text>Based on Nike’s announcement of share buyback programme in 2022, to take place in the next 4 years. Equated to a buyback of 50 million shares circa per year.</text>
  </threadedComment>
</ThreadedComment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199</v>
      </c>
    </row>
    <row r="3" spans="1:1" x14ac:dyDescent="0.3">
      <c r="A3" s="38" t="s">
        <v>197</v>
      </c>
    </row>
    <row r="4" spans="1:1" x14ac:dyDescent="0.3">
      <c r="A4" s="19" t="s">
        <v>198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B84E6-6003-407B-968D-ED85FF2AAD8A}">
  <dimension ref="A1:K212"/>
  <sheetViews>
    <sheetView tabSelected="1" workbookViewId="0">
      <selection activeCell="K13" sqref="K13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0" max="10" width="9.33203125" bestFit="1" customWidth="1"/>
  </cols>
  <sheetData>
    <row r="1" spans="1:11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1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1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1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1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1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1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  <c r="K7" s="60"/>
    </row>
    <row r="8" spans="1:11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1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1" x14ac:dyDescent="0.3">
      <c r="A10" s="4" t="s">
        <v>25</v>
      </c>
      <c r="B10" s="5">
        <f>+B4-B7-B8-B9</f>
        <v>4205</v>
      </c>
      <c r="C10" s="5">
        <f>+C4-C7-C8-C9</f>
        <v>4623</v>
      </c>
      <c r="D10" s="5">
        <f t="shared" ref="D10:H10" si="3">+D4-D7-D8-D9</f>
        <v>4886</v>
      </c>
      <c r="E10" s="5">
        <f>+E4-E7-E8-E9</f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1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1" ht="15" thickBot="1" x14ac:dyDescent="0.35">
      <c r="A12" s="6" t="s">
        <v>29</v>
      </c>
      <c r="B12" s="7">
        <f>+B10-B11</f>
        <v>3273</v>
      </c>
      <c r="C12" s="7">
        <f>+C10-C11</f>
        <v>3760</v>
      </c>
      <c r="D12" s="7">
        <f t="shared" ref="D12:H12" si="4">+D10-D11</f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11" ht="15" thickTop="1" x14ac:dyDescent="0.3">
      <c r="A13" s="1" t="s">
        <v>8</v>
      </c>
    </row>
    <row r="14" spans="1:11" x14ac:dyDescent="0.3">
      <c r="A14" s="2" t="s">
        <v>6</v>
      </c>
      <c r="B14">
        <v>3.8</v>
      </c>
      <c r="C14">
        <v>2.21</v>
      </c>
      <c r="D14">
        <v>2.21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1" x14ac:dyDescent="0.3">
      <c r="A15" s="2" t="s">
        <v>7</v>
      </c>
      <c r="B15">
        <v>3.7</v>
      </c>
      <c r="C15">
        <v>2.16</v>
      </c>
      <c r="D15">
        <v>2.16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1" x14ac:dyDescent="0.3">
      <c r="A16" s="1" t="s">
        <v>9</v>
      </c>
    </row>
    <row r="17" spans="1:9" x14ac:dyDescent="0.3">
      <c r="A17" s="2" t="s">
        <v>6</v>
      </c>
      <c r="B17">
        <v>861.7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884.4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19" spans="1:9" x14ac:dyDescent="0.3">
      <c r="G19" s="8"/>
      <c r="H19" s="8"/>
      <c r="I19" s="8"/>
    </row>
    <row r="20" spans="1:9" s="12" customFormat="1" x14ac:dyDescent="0.3">
      <c r="A20" s="12" t="s">
        <v>2</v>
      </c>
      <c r="B20">
        <v>0.54</v>
      </c>
      <c r="C20">
        <v>0.62</v>
      </c>
      <c r="D20">
        <v>0.7</v>
      </c>
      <c r="E20">
        <v>0.82</v>
      </c>
      <c r="F20">
        <v>0.95</v>
      </c>
      <c r="G20" s="95">
        <f>G12/G18</f>
        <v>1.5952500628298569</v>
      </c>
      <c r="H20" s="95">
        <f>H12/H18</f>
        <v>3.5584689946563937</v>
      </c>
      <c r="I20" s="95">
        <f>I12/I18</f>
        <v>3.7534144524459898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200</v>
      </c>
      <c r="B29" s="3">
        <v>389</v>
      </c>
      <c r="C29" s="3"/>
      <c r="D29" s="3"/>
      <c r="E29" s="3"/>
      <c r="F29" s="3"/>
      <c r="G29" s="3"/>
      <c r="H29" s="3"/>
      <c r="I29" s="3"/>
    </row>
    <row r="30" spans="1:9" x14ac:dyDescent="0.3">
      <c r="A30" s="11" t="s">
        <v>36</v>
      </c>
      <c r="B30" s="3">
        <v>1968</v>
      </c>
      <c r="C30" s="3">
        <v>1489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3">
      <c r="A31" s="4" t="s">
        <v>10</v>
      </c>
      <c r="B31" s="5">
        <f t="shared" ref="B31:I31" si="5">+SUM(B25:B30)</f>
        <v>15976</v>
      </c>
      <c r="C31" s="5">
        <f t="shared" si="5"/>
        <v>15025</v>
      </c>
      <c r="D31" s="5">
        <f t="shared" si="5"/>
        <v>16061</v>
      </c>
      <c r="E31" s="5">
        <f t="shared" si="5"/>
        <v>15134</v>
      </c>
      <c r="F31" s="5">
        <f t="shared" si="5"/>
        <v>16525</v>
      </c>
      <c r="G31" s="5">
        <f t="shared" si="5"/>
        <v>20556</v>
      </c>
      <c r="H31" s="5">
        <f t="shared" si="5"/>
        <v>26291</v>
      </c>
      <c r="I31" s="5">
        <f t="shared" si="5"/>
        <v>28213</v>
      </c>
    </row>
    <row r="32" spans="1:9" x14ac:dyDescent="0.3">
      <c r="A32" s="2" t="s">
        <v>37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11" x14ac:dyDescent="0.3">
      <c r="A33" s="2" t="s">
        <v>38</v>
      </c>
      <c r="B33" s="3"/>
      <c r="C33" s="3"/>
      <c r="D33" s="3"/>
      <c r="E33" s="3"/>
      <c r="F33" s="3"/>
      <c r="G33" s="3">
        <v>3097</v>
      </c>
      <c r="H33" s="3">
        <v>3113</v>
      </c>
      <c r="I33" s="3">
        <v>2926</v>
      </c>
    </row>
    <row r="34" spans="1:11" x14ac:dyDescent="0.3">
      <c r="A34" s="2" t="s">
        <v>39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  <c r="J34" s="61"/>
    </row>
    <row r="35" spans="1:11" x14ac:dyDescent="0.3">
      <c r="A35" s="2" t="s">
        <v>40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11" x14ac:dyDescent="0.3">
      <c r="A36" s="2" t="s">
        <v>41</v>
      </c>
      <c r="B36" s="3">
        <v>2201</v>
      </c>
      <c r="C36" s="3">
        <v>2422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11" ht="15" thickBot="1" x14ac:dyDescent="0.35">
      <c r="A37" s="6" t="s">
        <v>42</v>
      </c>
      <c r="B37" s="7">
        <f t="shared" ref="B37:H37" si="6">+SUM(B31:B36)</f>
        <v>21600</v>
      </c>
      <c r="C37" s="7">
        <f t="shared" si="6"/>
        <v>21379</v>
      </c>
      <c r="D37" s="7">
        <f t="shared" si="6"/>
        <v>23259</v>
      </c>
      <c r="E37" s="7">
        <f t="shared" si="6"/>
        <v>22536</v>
      </c>
      <c r="F37" s="7">
        <f t="shared" si="6"/>
        <v>23717</v>
      </c>
      <c r="G37" s="7">
        <f t="shared" si="6"/>
        <v>31342</v>
      </c>
      <c r="H37" s="7">
        <f t="shared" si="6"/>
        <v>37740</v>
      </c>
      <c r="I37" s="7">
        <f>+SUM(I31:I36)</f>
        <v>40321</v>
      </c>
    </row>
    <row r="38" spans="1:11" ht="15" thickTop="1" x14ac:dyDescent="0.3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11" x14ac:dyDescent="0.3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11" x14ac:dyDescent="0.3">
      <c r="A40" s="11" t="s">
        <v>45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  <c r="K40" s="61"/>
    </row>
    <row r="41" spans="1:11" x14ac:dyDescent="0.3">
      <c r="A41" s="11" t="s">
        <v>46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  <c r="J41" s="61"/>
      <c r="K41" s="61"/>
    </row>
    <row r="42" spans="1:11" x14ac:dyDescent="0.3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  <c r="K42" s="61"/>
    </row>
    <row r="43" spans="1:11" x14ac:dyDescent="0.3">
      <c r="A43" s="11" t="s">
        <v>47</v>
      </c>
      <c r="B43" s="3"/>
      <c r="C43" s="3"/>
      <c r="D43" s="3"/>
      <c r="E43" s="3"/>
      <c r="F43" s="3"/>
      <c r="G43" s="3">
        <v>445</v>
      </c>
      <c r="H43" s="3">
        <v>467</v>
      </c>
      <c r="I43" s="3">
        <v>420</v>
      </c>
      <c r="K43" s="61"/>
    </row>
    <row r="44" spans="1:11" x14ac:dyDescent="0.3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11" x14ac:dyDescent="0.3">
      <c r="A45" s="11" t="s">
        <v>48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11" x14ac:dyDescent="0.3">
      <c r="A46" s="4" t="s">
        <v>13</v>
      </c>
      <c r="B46" s="5">
        <f t="shared" ref="B46:H46" si="7">+SUM(B40:B45)</f>
        <v>6334</v>
      </c>
      <c r="C46" s="5">
        <f t="shared" si="7"/>
        <v>5358</v>
      </c>
      <c r="D46" s="5">
        <f t="shared" si="7"/>
        <v>5474</v>
      </c>
      <c r="E46" s="5">
        <f t="shared" si="7"/>
        <v>6040</v>
      </c>
      <c r="F46" s="5">
        <f t="shared" si="7"/>
        <v>7866</v>
      </c>
      <c r="G46" s="5">
        <f t="shared" si="7"/>
        <v>8284</v>
      </c>
      <c r="H46" s="5">
        <f t="shared" si="7"/>
        <v>9674</v>
      </c>
      <c r="I46" s="5">
        <f>+SUM(I40:I45)</f>
        <v>10730</v>
      </c>
      <c r="K46" s="61"/>
    </row>
    <row r="47" spans="1:11" x14ac:dyDescent="0.3">
      <c r="A47" s="2" t="s">
        <v>49</v>
      </c>
      <c r="B47" s="3">
        <v>1079</v>
      </c>
      <c r="C47" s="3">
        <v>1993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11" x14ac:dyDescent="0.3">
      <c r="A48" s="2" t="s">
        <v>50</v>
      </c>
      <c r="B48" s="3"/>
      <c r="C48" s="3"/>
      <c r="D48" s="3"/>
      <c r="E48" s="3"/>
      <c r="F48" s="3"/>
      <c r="G48" s="3">
        <v>2913</v>
      </c>
      <c r="H48" s="3">
        <v>2931</v>
      </c>
      <c r="I48" s="3">
        <v>2777</v>
      </c>
    </row>
    <row r="49" spans="1:11" x14ac:dyDescent="0.3">
      <c r="A49" s="2" t="s">
        <v>51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  <c r="K49" s="61"/>
    </row>
    <row r="50" spans="1:11" x14ac:dyDescent="0.3">
      <c r="A50" s="2" t="s">
        <v>52</v>
      </c>
      <c r="B50" s="3"/>
      <c r="C50" s="3"/>
      <c r="D50" s="3"/>
      <c r="E50" s="3"/>
      <c r="F50" s="3"/>
      <c r="G50" s="3"/>
      <c r="H50" s="3"/>
      <c r="I50" s="3"/>
    </row>
    <row r="51" spans="1:11" x14ac:dyDescent="0.3">
      <c r="A51" s="11" t="s">
        <v>53</v>
      </c>
      <c r="B51" s="3"/>
      <c r="C51" s="3"/>
      <c r="D51" s="3"/>
      <c r="E51" s="3"/>
      <c r="F51" s="3"/>
      <c r="G51" s="3"/>
      <c r="H51" s="3">
        <v>0</v>
      </c>
      <c r="I51" s="3">
        <v>0</v>
      </c>
    </row>
    <row r="52" spans="1:11" x14ac:dyDescent="0.3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11" x14ac:dyDescent="0.3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11" x14ac:dyDescent="0.3">
      <c r="A54" s="17" t="s">
        <v>56</v>
      </c>
      <c r="B54" s="3"/>
      <c r="C54" s="3"/>
      <c r="D54" s="3"/>
      <c r="E54" s="3"/>
      <c r="F54" s="3"/>
      <c r="G54" s="3"/>
      <c r="H54" s="3"/>
      <c r="I54" s="3"/>
    </row>
    <row r="55" spans="1:11" x14ac:dyDescent="0.3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11" x14ac:dyDescent="0.3">
      <c r="A56" s="17" t="s">
        <v>58</v>
      </c>
      <c r="B56" s="3">
        <v>6773</v>
      </c>
      <c r="C56" s="3">
        <v>7786</v>
      </c>
      <c r="D56" s="3">
        <v>8638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11" x14ac:dyDescent="0.3">
      <c r="A57" s="17" t="s">
        <v>59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11" x14ac:dyDescent="0.3">
      <c r="A58" s="17" t="s">
        <v>60</v>
      </c>
      <c r="B58" s="3">
        <v>4685</v>
      </c>
      <c r="C58" s="3">
        <v>4151</v>
      </c>
      <c r="D58" s="3">
        <v>3979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11" x14ac:dyDescent="0.3">
      <c r="A59" s="4" t="s">
        <v>61</v>
      </c>
      <c r="B59" s="5">
        <f t="shared" ref="B59:H59" si="8">+SUM(B54:B58)</f>
        <v>12707</v>
      </c>
      <c r="C59" s="5">
        <f t="shared" si="8"/>
        <v>12258</v>
      </c>
      <c r="D59" s="5">
        <f t="shared" si="8"/>
        <v>12407</v>
      </c>
      <c r="E59" s="5">
        <f t="shared" si="8"/>
        <v>9812</v>
      </c>
      <c r="F59" s="5">
        <f t="shared" si="8"/>
        <v>9040</v>
      </c>
      <c r="G59" s="5">
        <f t="shared" si="8"/>
        <v>8055</v>
      </c>
      <c r="H59" s="5">
        <f t="shared" si="8"/>
        <v>12767</v>
      </c>
      <c r="I59" s="5">
        <f>+SUM(I54:I58)</f>
        <v>15281</v>
      </c>
    </row>
    <row r="60" spans="1:11" ht="15" thickBot="1" x14ac:dyDescent="0.35">
      <c r="A60" s="6" t="s">
        <v>62</v>
      </c>
      <c r="B60" s="7">
        <f t="shared" ref="B60:H60" si="9">+SUM(B46:B51)+B59</f>
        <v>21600</v>
      </c>
      <c r="C60" s="7">
        <f t="shared" si="9"/>
        <v>21379</v>
      </c>
      <c r="D60" s="7">
        <f t="shared" si="9"/>
        <v>23259</v>
      </c>
      <c r="E60" s="7">
        <f t="shared" si="9"/>
        <v>22536</v>
      </c>
      <c r="F60" s="7">
        <f t="shared" si="9"/>
        <v>23717</v>
      </c>
      <c r="G60" s="7">
        <f t="shared" si="9"/>
        <v>31342</v>
      </c>
      <c r="H60" s="7">
        <f t="shared" si="9"/>
        <v>37740</v>
      </c>
      <c r="I60" s="7">
        <f>+SUM(I46:I51)+I59</f>
        <v>40321</v>
      </c>
    </row>
    <row r="61" spans="1:11" s="12" customFormat="1" ht="15" thickTop="1" x14ac:dyDescent="0.3">
      <c r="A61" s="12" t="s">
        <v>3</v>
      </c>
      <c r="B61" s="13">
        <f t="shared" ref="B61:H61" si="10">+B60-B37</f>
        <v>0</v>
      </c>
      <c r="C61" s="13">
        <f t="shared" si="10"/>
        <v>0</v>
      </c>
      <c r="D61" s="13">
        <f t="shared" si="10"/>
        <v>0</v>
      </c>
      <c r="E61" s="13">
        <f t="shared" si="10"/>
        <v>0</v>
      </c>
      <c r="F61" s="13">
        <f t="shared" si="10"/>
        <v>0</v>
      </c>
      <c r="G61" s="13">
        <f t="shared" si="10"/>
        <v>0</v>
      </c>
      <c r="H61" s="13">
        <f t="shared" si="10"/>
        <v>0</v>
      </c>
      <c r="I61" s="13">
        <f>+I60-I37</f>
        <v>0</v>
      </c>
    </row>
    <row r="62" spans="1:11" x14ac:dyDescent="0.3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11" x14ac:dyDescent="0.3">
      <c r="A63" t="s">
        <v>15</v>
      </c>
    </row>
    <row r="64" spans="1:11" x14ac:dyDescent="0.3">
      <c r="A64" s="1" t="s">
        <v>63</v>
      </c>
    </row>
    <row r="65" spans="1:9" s="1" customFormat="1" x14ac:dyDescent="0.3">
      <c r="A65" s="10" t="s">
        <v>64</v>
      </c>
      <c r="B65" s="9">
        <v>3273</v>
      </c>
      <c r="C65" s="9">
        <v>3760</v>
      </c>
      <c r="D65" s="9">
        <v>4240</v>
      </c>
      <c r="E65" s="9">
        <v>1933</v>
      </c>
      <c r="F65" s="9">
        <v>4029</v>
      </c>
      <c r="G65" s="9">
        <v>2539</v>
      </c>
      <c r="H65" s="9">
        <f>+H12</f>
        <v>5727</v>
      </c>
      <c r="I65" s="9">
        <f>+I12</f>
        <v>6046</v>
      </c>
    </row>
    <row r="66" spans="1:9" s="1" customFormat="1" x14ac:dyDescent="0.3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11" t="s">
        <v>66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3">
      <c r="A68" s="11" t="s">
        <v>67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3">
      <c r="A69" s="11" t="s">
        <v>68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3">
      <c r="A70" s="11" t="s">
        <v>69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3">
      <c r="A71" s="11" t="s">
        <v>70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3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11" t="s">
        <v>72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3">
      <c r="A74" s="11" t="s">
        <v>73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3">
      <c r="A75" s="11" t="s">
        <v>98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3">
      <c r="A76" s="11" t="s">
        <v>97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3">
      <c r="A77" s="25" t="s">
        <v>74</v>
      </c>
      <c r="B77" s="26">
        <f t="shared" ref="B77:H77" si="11">+SUM(B65:B76)</f>
        <v>4680</v>
      </c>
      <c r="C77" s="26">
        <f>+SUM(C65:C76)</f>
        <v>3096</v>
      </c>
      <c r="D77" s="26">
        <f t="shared" si="11"/>
        <v>3640</v>
      </c>
      <c r="E77" s="26">
        <f t="shared" si="11"/>
        <v>4955</v>
      </c>
      <c r="F77" s="26">
        <f t="shared" si="11"/>
        <v>5903</v>
      </c>
      <c r="G77" s="26">
        <f t="shared" si="11"/>
        <v>2485</v>
      </c>
      <c r="H77" s="26">
        <f t="shared" si="11"/>
        <v>6657</v>
      </c>
      <c r="I77" s="26">
        <f>+SUM(I65:I76)</f>
        <v>5188</v>
      </c>
    </row>
    <row r="78" spans="1:9" x14ac:dyDescent="0.3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2" t="s">
        <v>76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3">
      <c r="A80" s="2" t="s">
        <v>77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3">
      <c r="A81" s="2" t="s">
        <v>78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201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/>
      <c r="H83" s="3"/>
      <c r="I83" s="3"/>
    </row>
    <row r="84" spans="1:9" x14ac:dyDescent="0.3">
      <c r="A84" s="2" t="s">
        <v>202</v>
      </c>
      <c r="B84" s="3">
        <v>-150</v>
      </c>
      <c r="C84" s="3">
        <v>150</v>
      </c>
      <c r="D84" s="3">
        <v>-34</v>
      </c>
      <c r="E84" s="3"/>
      <c r="F84" s="3"/>
      <c r="G84" s="3"/>
      <c r="H84" s="3"/>
      <c r="I84" s="3"/>
    </row>
    <row r="85" spans="1:9" x14ac:dyDescent="0.3">
      <c r="A85" s="2" t="s">
        <v>79</v>
      </c>
      <c r="B85" s="3"/>
      <c r="C85" s="3">
        <v>6</v>
      </c>
      <c r="D85" s="3"/>
      <c r="E85" s="3">
        <v>-25</v>
      </c>
      <c r="F85" s="3"/>
      <c r="G85" s="3">
        <v>31</v>
      </c>
      <c r="H85" s="3">
        <v>171</v>
      </c>
      <c r="I85" s="3">
        <v>-19</v>
      </c>
    </row>
    <row r="86" spans="1:9" x14ac:dyDescent="0.3">
      <c r="A86" s="27" t="s">
        <v>80</v>
      </c>
      <c r="B86" s="26">
        <f t="shared" ref="B86:I86" si="12">+SUM(B79:B85)</f>
        <v>-175</v>
      </c>
      <c r="C86" s="26">
        <f t="shared" si="12"/>
        <v>-1034</v>
      </c>
      <c r="D86" s="26">
        <f t="shared" si="12"/>
        <v>-1008</v>
      </c>
      <c r="E86" s="26">
        <f t="shared" si="12"/>
        <v>276</v>
      </c>
      <c r="F86" s="26">
        <f t="shared" si="12"/>
        <v>-264</v>
      </c>
      <c r="G86" s="26">
        <f t="shared" si="12"/>
        <v>-1028</v>
      </c>
      <c r="H86" s="26">
        <f t="shared" si="12"/>
        <v>-3800</v>
      </c>
      <c r="I86" s="26">
        <f t="shared" si="12"/>
        <v>-1524</v>
      </c>
    </row>
    <row r="87" spans="1:9" x14ac:dyDescent="0.3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2" t="s">
        <v>82</v>
      </c>
      <c r="B88" s="3"/>
      <c r="C88" s="3"/>
      <c r="D88" s="3"/>
      <c r="E88" s="3"/>
      <c r="F88" s="3"/>
      <c r="G88" s="3">
        <v>6134</v>
      </c>
      <c r="H88" s="3">
        <v>0</v>
      </c>
      <c r="I88" s="3">
        <v>0</v>
      </c>
    </row>
    <row r="89" spans="1:9" x14ac:dyDescent="0.3">
      <c r="A89" s="2" t="s">
        <v>203</v>
      </c>
      <c r="B89" s="3">
        <v>-7</v>
      </c>
      <c r="C89" s="3">
        <v>-106</v>
      </c>
      <c r="D89" s="3">
        <v>-44</v>
      </c>
      <c r="E89" s="3">
        <v>-6</v>
      </c>
      <c r="F89" s="3"/>
      <c r="G89" s="3"/>
      <c r="H89" s="3"/>
      <c r="I89" s="3"/>
    </row>
    <row r="90" spans="1:9" x14ac:dyDescent="0.3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3">
      <c r="A91" s="2" t="s">
        <v>204</v>
      </c>
      <c r="B91" s="3">
        <v>-19</v>
      </c>
      <c r="C91" s="3">
        <v>-7</v>
      </c>
      <c r="D91" s="3">
        <v>-17</v>
      </c>
      <c r="E91" s="3">
        <v>-23</v>
      </c>
      <c r="F91" s="3"/>
      <c r="G91" s="3"/>
      <c r="H91" s="3"/>
      <c r="I91" s="3"/>
    </row>
    <row r="92" spans="1:9" x14ac:dyDescent="0.3">
      <c r="A92" s="2" t="s">
        <v>205</v>
      </c>
      <c r="B92" s="3"/>
      <c r="C92" s="3">
        <v>981</v>
      </c>
      <c r="D92" s="3">
        <v>1482</v>
      </c>
      <c r="E92" s="3"/>
      <c r="F92" s="3"/>
      <c r="G92" s="3"/>
      <c r="H92" s="3"/>
      <c r="I92" s="3"/>
    </row>
    <row r="93" spans="1:9" x14ac:dyDescent="0.3">
      <c r="A93" s="2" t="s">
        <v>84</v>
      </c>
      <c r="B93" s="3"/>
      <c r="C93" s="3"/>
      <c r="D93" s="3"/>
      <c r="E93" s="3"/>
      <c r="F93" s="3"/>
      <c r="G93" s="3"/>
      <c r="H93" s="3">
        <v>-197</v>
      </c>
      <c r="I93" s="3">
        <v>0</v>
      </c>
    </row>
    <row r="94" spans="1:9" x14ac:dyDescent="0.3">
      <c r="A94" s="2" t="s">
        <v>85</v>
      </c>
      <c r="B94" s="3">
        <v>514</v>
      </c>
      <c r="C94" s="3">
        <v>507</v>
      </c>
      <c r="D94" s="3">
        <v>489</v>
      </c>
      <c r="E94" s="3">
        <v>733</v>
      </c>
      <c r="F94" s="3">
        <v>700</v>
      </c>
      <c r="G94" s="3">
        <v>885</v>
      </c>
      <c r="H94" s="3">
        <v>1172</v>
      </c>
      <c r="I94" s="3">
        <v>1151</v>
      </c>
    </row>
    <row r="95" spans="1:9" x14ac:dyDescent="0.3">
      <c r="A95" s="2" t="s">
        <v>16</v>
      </c>
      <c r="B95" s="3">
        <v>-2534</v>
      </c>
      <c r="C95" s="3">
        <v>-3238</v>
      </c>
      <c r="D95" s="3">
        <v>-3223</v>
      </c>
      <c r="E95" s="3">
        <v>-4254</v>
      </c>
      <c r="F95" s="3">
        <v>-4286</v>
      </c>
      <c r="G95" s="3">
        <v>-3067</v>
      </c>
      <c r="H95" s="3">
        <v>-608</v>
      </c>
      <c r="I95" s="3">
        <v>-4014</v>
      </c>
    </row>
    <row r="96" spans="1:9" x14ac:dyDescent="0.3">
      <c r="A96" s="2" t="s">
        <v>206</v>
      </c>
      <c r="B96" s="3">
        <v>218</v>
      </c>
      <c r="C96" s="3">
        <v>281</v>
      </c>
      <c r="D96" s="3">
        <v>177</v>
      </c>
      <c r="E96" s="3"/>
      <c r="F96" s="3"/>
      <c r="G96" s="3"/>
      <c r="H96" s="3"/>
      <c r="I96" s="3"/>
    </row>
    <row r="97" spans="1:9" x14ac:dyDescent="0.3">
      <c r="A97" s="2" t="s">
        <v>86</v>
      </c>
      <c r="B97" s="3">
        <v>-899</v>
      </c>
      <c r="C97" s="3">
        <v>-1022</v>
      </c>
      <c r="D97" s="3">
        <v>-1133</v>
      </c>
      <c r="E97" s="3">
        <v>-1243</v>
      </c>
      <c r="F97" s="3">
        <v>-1332</v>
      </c>
      <c r="G97" s="3">
        <v>-1452</v>
      </c>
      <c r="H97" s="3">
        <v>-1638</v>
      </c>
      <c r="I97" s="3">
        <v>-1837</v>
      </c>
    </row>
    <row r="98" spans="1:9" x14ac:dyDescent="0.3">
      <c r="A98" s="2" t="s">
        <v>207</v>
      </c>
      <c r="B98" s="3"/>
      <c r="C98" s="3"/>
      <c r="D98" s="3"/>
      <c r="E98" s="3">
        <v>-55</v>
      </c>
      <c r="F98" s="3"/>
      <c r="G98" s="3"/>
      <c r="H98" s="3"/>
      <c r="I98" s="3"/>
    </row>
    <row r="99" spans="1:9" x14ac:dyDescent="0.3">
      <c r="A99" s="2" t="s">
        <v>87</v>
      </c>
      <c r="B99" s="3"/>
      <c r="C99" s="3"/>
      <c r="D99" s="3"/>
      <c r="E99" s="3"/>
      <c r="F99" s="3">
        <v>-50</v>
      </c>
      <c r="G99" s="3">
        <v>-58</v>
      </c>
      <c r="H99" s="3">
        <v>-136</v>
      </c>
      <c r="I99" s="3">
        <v>-151</v>
      </c>
    </row>
    <row r="100" spans="1:9" x14ac:dyDescent="0.3">
      <c r="A100" s="27" t="s">
        <v>88</v>
      </c>
      <c r="B100" s="26">
        <f t="shared" ref="B100:I100" si="13">+SUM(B88:B99)</f>
        <v>-2790</v>
      </c>
      <c r="C100" s="26">
        <f t="shared" si="13"/>
        <v>-2671</v>
      </c>
      <c r="D100" s="26">
        <f t="shared" si="13"/>
        <v>-1942</v>
      </c>
      <c r="E100" s="26">
        <f t="shared" si="13"/>
        <v>-4835</v>
      </c>
      <c r="F100" s="26">
        <f t="shared" si="13"/>
        <v>-5293</v>
      </c>
      <c r="G100" s="26">
        <f t="shared" si="13"/>
        <v>2491</v>
      </c>
      <c r="H100" s="26">
        <f t="shared" si="13"/>
        <v>-1459</v>
      </c>
      <c r="I100" s="26">
        <f t="shared" si="13"/>
        <v>-4836</v>
      </c>
    </row>
    <row r="101" spans="1:9" x14ac:dyDescent="0.3">
      <c r="A101" s="2" t="s">
        <v>89</v>
      </c>
      <c r="B101" s="3">
        <v>-83</v>
      </c>
      <c r="C101" s="3">
        <v>-105</v>
      </c>
      <c r="D101" s="3">
        <v>-20</v>
      </c>
      <c r="E101" s="3">
        <v>45</v>
      </c>
      <c r="F101" s="3">
        <v>-129</v>
      </c>
      <c r="G101" s="3">
        <v>-66</v>
      </c>
      <c r="H101" s="3">
        <v>143</v>
      </c>
      <c r="I101" s="3">
        <v>-143</v>
      </c>
    </row>
    <row r="102" spans="1:9" x14ac:dyDescent="0.3">
      <c r="A102" s="27" t="s">
        <v>90</v>
      </c>
      <c r="B102" s="26">
        <f t="shared" ref="B102:I102" si="14">+B77+B86+B100+B101</f>
        <v>1632</v>
      </c>
      <c r="C102" s="26">
        <f t="shared" si="14"/>
        <v>-714</v>
      </c>
      <c r="D102" s="26">
        <f t="shared" si="14"/>
        <v>670</v>
      </c>
      <c r="E102" s="26">
        <f t="shared" si="14"/>
        <v>441</v>
      </c>
      <c r="F102" s="26">
        <f t="shared" si="14"/>
        <v>217</v>
      </c>
      <c r="G102" s="26">
        <f t="shared" si="14"/>
        <v>3882</v>
      </c>
      <c r="H102" s="26">
        <f t="shared" si="14"/>
        <v>1541</v>
      </c>
      <c r="I102" s="26">
        <f t="shared" si="14"/>
        <v>-1315</v>
      </c>
    </row>
    <row r="103" spans="1:9" x14ac:dyDescent="0.3">
      <c r="A103" t="s">
        <v>91</v>
      </c>
      <c r="B103" s="3">
        <v>2220</v>
      </c>
      <c r="C103" s="3">
        <v>3852</v>
      </c>
      <c r="D103" s="3">
        <v>3138</v>
      </c>
      <c r="E103" s="3">
        <v>3808</v>
      </c>
      <c r="F103" s="3">
        <v>4249</v>
      </c>
      <c r="G103" s="3">
        <v>4466</v>
      </c>
      <c r="H103" s="3">
        <v>8348</v>
      </c>
      <c r="I103" s="3">
        <f>+H104</f>
        <v>9889</v>
      </c>
    </row>
    <row r="104" spans="1:9" ht="15" thickBot="1" x14ac:dyDescent="0.35">
      <c r="A104" s="6" t="s">
        <v>92</v>
      </c>
      <c r="B104" s="7">
        <v>3852</v>
      </c>
      <c r="C104" s="7">
        <v>3138</v>
      </c>
      <c r="D104" s="7">
        <v>3808</v>
      </c>
      <c r="E104" s="7">
        <v>4249</v>
      </c>
      <c r="F104" s="7">
        <v>4466</v>
      </c>
      <c r="G104" s="7">
        <v>8348</v>
      </c>
      <c r="H104" s="7">
        <f>+H102+H103</f>
        <v>9889</v>
      </c>
      <c r="I104" s="7">
        <f>+I102+I103</f>
        <v>8574</v>
      </c>
    </row>
    <row r="105" spans="1:9" s="12" customFormat="1" ht="15" thickTop="1" x14ac:dyDescent="0.3">
      <c r="A105" s="12" t="s">
        <v>19</v>
      </c>
      <c r="B105" s="13">
        <f t="shared" ref="B105:I105" si="15">+B104-B25</f>
        <v>0</v>
      </c>
      <c r="C105" s="13">
        <f t="shared" si="15"/>
        <v>0</v>
      </c>
      <c r="D105" s="13">
        <f t="shared" si="15"/>
        <v>0</v>
      </c>
      <c r="E105" s="13">
        <f t="shared" si="15"/>
        <v>0</v>
      </c>
      <c r="F105" s="13">
        <f t="shared" si="15"/>
        <v>0</v>
      </c>
      <c r="G105" s="13">
        <f t="shared" si="15"/>
        <v>0</v>
      </c>
      <c r="H105" s="13">
        <f t="shared" si="15"/>
        <v>0</v>
      </c>
      <c r="I105" s="13">
        <f t="shared" si="15"/>
        <v>0</v>
      </c>
    </row>
    <row r="106" spans="1:9" x14ac:dyDescent="0.3">
      <c r="A106" t="s">
        <v>93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17</v>
      </c>
      <c r="B107" s="3"/>
      <c r="C107" s="3"/>
      <c r="D107" s="3"/>
      <c r="E107" s="3"/>
      <c r="F107" s="3"/>
      <c r="G107" s="3"/>
      <c r="H107" s="3"/>
      <c r="I107" s="3"/>
    </row>
    <row r="108" spans="1:9" x14ac:dyDescent="0.3">
      <c r="A108" s="11" t="s">
        <v>94</v>
      </c>
      <c r="B108" s="3">
        <v>53</v>
      </c>
      <c r="C108" s="3">
        <v>70</v>
      </c>
      <c r="D108" s="3">
        <v>98</v>
      </c>
      <c r="E108" s="3">
        <v>125</v>
      </c>
      <c r="F108" s="3">
        <v>153</v>
      </c>
      <c r="G108" s="3">
        <v>140</v>
      </c>
      <c r="H108" s="3">
        <v>293</v>
      </c>
      <c r="I108" s="3">
        <v>290</v>
      </c>
    </row>
    <row r="109" spans="1:9" x14ac:dyDescent="0.3">
      <c r="A109" s="11" t="s">
        <v>18</v>
      </c>
      <c r="B109" s="3">
        <v>1262</v>
      </c>
      <c r="C109" s="3">
        <v>748</v>
      </c>
      <c r="D109" s="3">
        <v>703</v>
      </c>
      <c r="E109" s="3">
        <v>529</v>
      </c>
      <c r="F109" s="3">
        <v>757</v>
      </c>
      <c r="G109" s="3">
        <v>1028</v>
      </c>
      <c r="H109" s="3">
        <v>1177</v>
      </c>
      <c r="I109" s="3">
        <v>1231</v>
      </c>
    </row>
    <row r="110" spans="1:9" x14ac:dyDescent="0.3">
      <c r="A110" s="11" t="s">
        <v>95</v>
      </c>
      <c r="B110" s="3">
        <v>206</v>
      </c>
      <c r="C110" s="3">
        <v>252</v>
      </c>
      <c r="D110" s="3">
        <v>266</v>
      </c>
      <c r="E110" s="3">
        <v>294</v>
      </c>
      <c r="F110" s="3">
        <v>160</v>
      </c>
      <c r="G110" s="3">
        <v>121</v>
      </c>
      <c r="H110" s="3">
        <v>179</v>
      </c>
      <c r="I110" s="3">
        <v>160</v>
      </c>
    </row>
    <row r="111" spans="1:9" x14ac:dyDescent="0.3">
      <c r="A111" s="11" t="s">
        <v>96</v>
      </c>
      <c r="B111" s="3">
        <v>240</v>
      </c>
      <c r="C111" s="3">
        <v>271</v>
      </c>
      <c r="D111" s="3">
        <v>300</v>
      </c>
      <c r="E111" s="3">
        <v>320</v>
      </c>
      <c r="F111" s="3">
        <v>347</v>
      </c>
      <c r="G111" s="3">
        <v>385</v>
      </c>
      <c r="H111" s="3">
        <v>438</v>
      </c>
      <c r="I111" s="3">
        <v>480</v>
      </c>
    </row>
    <row r="113" spans="1:9" x14ac:dyDescent="0.3">
      <c r="A113" s="14" t="s">
        <v>99</v>
      </c>
      <c r="B113" s="14"/>
      <c r="C113" s="14"/>
      <c r="D113" s="14"/>
      <c r="E113" s="14"/>
      <c r="F113" s="14"/>
      <c r="G113" s="14"/>
      <c r="H113" s="14"/>
      <c r="I113" s="14"/>
    </row>
    <row r="114" spans="1:9" x14ac:dyDescent="0.3">
      <c r="A114" s="28" t="s">
        <v>109</v>
      </c>
      <c r="B114" s="3"/>
      <c r="C114" s="3"/>
      <c r="D114" s="3"/>
      <c r="E114" s="3"/>
      <c r="F114" s="3"/>
      <c r="G114" s="3"/>
      <c r="H114" s="3"/>
      <c r="I114" s="3"/>
    </row>
    <row r="115" spans="1:9" x14ac:dyDescent="0.3">
      <c r="A115" s="2" t="s">
        <v>100</v>
      </c>
      <c r="B115" s="3">
        <v>13740</v>
      </c>
      <c r="C115" s="3">
        <v>14764</v>
      </c>
      <c r="D115" s="3">
        <v>15216</v>
      </c>
      <c r="E115" s="3">
        <v>14855</v>
      </c>
      <c r="F115" s="3">
        <v>15902</v>
      </c>
      <c r="G115" s="3">
        <v>14484</v>
      </c>
      <c r="H115" s="3">
        <f t="shared" ref="H115" si="16">+SUM(H116:H118)</f>
        <v>17179</v>
      </c>
      <c r="I115" s="3">
        <f>+SUM(I116:I118)</f>
        <v>18353</v>
      </c>
    </row>
    <row r="116" spans="1:9" x14ac:dyDescent="0.3">
      <c r="A116" s="11" t="s">
        <v>113</v>
      </c>
      <c r="F116">
        <v>10045</v>
      </c>
      <c r="G116">
        <v>9329</v>
      </c>
      <c r="H116" s="8">
        <v>11644</v>
      </c>
      <c r="I116" s="8">
        <v>12228</v>
      </c>
    </row>
    <row r="117" spans="1:9" x14ac:dyDescent="0.3">
      <c r="A117" s="11" t="s">
        <v>114</v>
      </c>
      <c r="F117">
        <v>5260</v>
      </c>
      <c r="G117">
        <v>4639</v>
      </c>
      <c r="H117" s="8">
        <v>5028</v>
      </c>
      <c r="I117" s="8">
        <v>5492</v>
      </c>
    </row>
    <row r="118" spans="1:9" x14ac:dyDescent="0.3">
      <c r="A118" s="11" t="s">
        <v>115</v>
      </c>
      <c r="F118">
        <v>597</v>
      </c>
      <c r="G118">
        <v>516</v>
      </c>
      <c r="H118">
        <v>507</v>
      </c>
      <c r="I118">
        <v>633</v>
      </c>
    </row>
    <row r="119" spans="1:9" x14ac:dyDescent="0.3">
      <c r="A119" s="2" t="s">
        <v>101</v>
      </c>
      <c r="B119" s="3">
        <v>7126</v>
      </c>
      <c r="C119" s="3">
        <v>7315</v>
      </c>
      <c r="D119" s="3">
        <v>7698</v>
      </c>
      <c r="E119" s="3">
        <v>9242</v>
      </c>
      <c r="F119" s="3">
        <v>9812</v>
      </c>
      <c r="G119" s="3">
        <v>9347</v>
      </c>
      <c r="H119" s="3">
        <f t="shared" ref="H119" si="17">+SUM(H120:H122)</f>
        <v>11456</v>
      </c>
      <c r="I119" s="3">
        <f>+SUM(I120:I122)</f>
        <v>12479</v>
      </c>
    </row>
    <row r="120" spans="1:9" x14ac:dyDescent="0.3">
      <c r="A120" s="11" t="s">
        <v>113</v>
      </c>
      <c r="F120">
        <v>6293</v>
      </c>
      <c r="G120">
        <v>5892</v>
      </c>
      <c r="H120" s="8">
        <v>6970</v>
      </c>
      <c r="I120" s="8">
        <v>7388</v>
      </c>
    </row>
    <row r="121" spans="1:9" x14ac:dyDescent="0.3">
      <c r="A121" s="11" t="s">
        <v>114</v>
      </c>
      <c r="F121">
        <v>3087</v>
      </c>
      <c r="G121">
        <v>3053</v>
      </c>
      <c r="H121" s="8">
        <v>3996</v>
      </c>
      <c r="I121" s="8">
        <v>4527</v>
      </c>
    </row>
    <row r="122" spans="1:9" x14ac:dyDescent="0.3">
      <c r="A122" s="11" t="s">
        <v>115</v>
      </c>
      <c r="F122">
        <v>432</v>
      </c>
      <c r="G122">
        <v>402</v>
      </c>
      <c r="H122">
        <v>490</v>
      </c>
      <c r="I122">
        <v>564</v>
      </c>
    </row>
    <row r="123" spans="1:9" x14ac:dyDescent="0.3">
      <c r="A123" s="2" t="s">
        <v>102</v>
      </c>
      <c r="B123" s="3">
        <v>3067</v>
      </c>
      <c r="C123" s="3">
        <v>3785</v>
      </c>
      <c r="D123" s="3">
        <v>4237</v>
      </c>
      <c r="E123" s="3">
        <v>5134</v>
      </c>
      <c r="F123" s="3">
        <v>6208</v>
      </c>
      <c r="G123" s="3">
        <v>6679</v>
      </c>
      <c r="H123" s="3">
        <f t="shared" ref="H123" si="18">+SUM(H124:H126)</f>
        <v>8290</v>
      </c>
      <c r="I123" s="3">
        <f>+SUM(I124:I126)</f>
        <v>7547</v>
      </c>
    </row>
    <row r="124" spans="1:9" x14ac:dyDescent="0.3">
      <c r="A124" s="11" t="s">
        <v>113</v>
      </c>
      <c r="F124">
        <v>4262</v>
      </c>
      <c r="G124">
        <v>4635</v>
      </c>
      <c r="H124" s="8">
        <v>5748</v>
      </c>
      <c r="I124" s="8">
        <v>5416</v>
      </c>
    </row>
    <row r="125" spans="1:9" x14ac:dyDescent="0.3">
      <c r="A125" s="11" t="s">
        <v>114</v>
      </c>
      <c r="F125">
        <v>1808</v>
      </c>
      <c r="G125">
        <v>1896</v>
      </c>
      <c r="H125" s="8">
        <v>2347</v>
      </c>
      <c r="I125" s="8">
        <v>1938</v>
      </c>
    </row>
    <row r="126" spans="1:9" x14ac:dyDescent="0.3">
      <c r="A126" s="11" t="s">
        <v>115</v>
      </c>
      <c r="F126">
        <v>138</v>
      </c>
      <c r="G126">
        <v>148</v>
      </c>
      <c r="H126">
        <v>195</v>
      </c>
      <c r="I126">
        <v>193</v>
      </c>
    </row>
    <row r="127" spans="1:9" x14ac:dyDescent="0.3">
      <c r="A127" s="2" t="s">
        <v>106</v>
      </c>
      <c r="B127" s="3">
        <v>4653</v>
      </c>
      <c r="C127" s="3">
        <v>4570</v>
      </c>
      <c r="D127" s="3">
        <v>5009</v>
      </c>
      <c r="E127" s="3">
        <v>5166</v>
      </c>
      <c r="F127" s="3">
        <v>5254</v>
      </c>
      <c r="G127" s="3">
        <v>5028</v>
      </c>
      <c r="H127" s="3">
        <f t="shared" ref="H127" si="19">+SUM(H128:H130)</f>
        <v>5343</v>
      </c>
      <c r="I127" s="3">
        <f>+SUM(I128:I130)</f>
        <v>5955</v>
      </c>
    </row>
    <row r="128" spans="1:9" x14ac:dyDescent="0.3">
      <c r="A128" s="11" t="s">
        <v>113</v>
      </c>
      <c r="F128">
        <v>3622</v>
      </c>
      <c r="G128">
        <v>3449</v>
      </c>
      <c r="H128" s="8">
        <v>3659</v>
      </c>
      <c r="I128" s="8">
        <v>4111</v>
      </c>
    </row>
    <row r="129" spans="1:9" x14ac:dyDescent="0.3">
      <c r="A129" s="11" t="s">
        <v>114</v>
      </c>
      <c r="F129">
        <v>1395</v>
      </c>
      <c r="G129">
        <v>1365</v>
      </c>
      <c r="H129" s="8">
        <v>1494</v>
      </c>
      <c r="I129" s="8">
        <v>1610</v>
      </c>
    </row>
    <row r="130" spans="1:9" x14ac:dyDescent="0.3">
      <c r="A130" s="11" t="s">
        <v>115</v>
      </c>
      <c r="F130">
        <v>237</v>
      </c>
      <c r="G130">
        <v>214</v>
      </c>
      <c r="H130">
        <v>190</v>
      </c>
      <c r="I130">
        <v>234</v>
      </c>
    </row>
    <row r="131" spans="1:9" x14ac:dyDescent="0.3">
      <c r="A131" s="2" t="s">
        <v>107</v>
      </c>
      <c r="B131" s="3">
        <v>115</v>
      </c>
      <c r="C131" s="3">
        <v>73</v>
      </c>
      <c r="D131" s="3">
        <v>73</v>
      </c>
      <c r="E131" s="3">
        <v>88</v>
      </c>
      <c r="F131" s="3">
        <v>42</v>
      </c>
      <c r="G131" s="3">
        <v>30</v>
      </c>
      <c r="H131" s="3">
        <v>25</v>
      </c>
      <c r="I131" s="3">
        <v>102</v>
      </c>
    </row>
    <row r="132" spans="1:9" x14ac:dyDescent="0.3">
      <c r="A132" s="4" t="s">
        <v>103</v>
      </c>
      <c r="B132" s="5">
        <f t="shared" ref="B132:I132" si="20">+B115+B119+B123+B127+B131</f>
        <v>28701</v>
      </c>
      <c r="C132" s="5">
        <f t="shared" si="20"/>
        <v>30507</v>
      </c>
      <c r="D132" s="5">
        <f t="shared" si="20"/>
        <v>32233</v>
      </c>
      <c r="E132" s="5">
        <f t="shared" si="20"/>
        <v>34485</v>
      </c>
      <c r="F132" s="5">
        <f t="shared" si="20"/>
        <v>37218</v>
      </c>
      <c r="G132" s="5">
        <f t="shared" si="20"/>
        <v>35568</v>
      </c>
      <c r="H132" s="5">
        <f t="shared" si="20"/>
        <v>42293</v>
      </c>
      <c r="I132" s="5">
        <f t="shared" si="20"/>
        <v>44436</v>
      </c>
    </row>
    <row r="133" spans="1:9" x14ac:dyDescent="0.3">
      <c r="A133" s="2" t="s">
        <v>104</v>
      </c>
      <c r="B133" s="3">
        <v>1982</v>
      </c>
      <c r="C133" s="3">
        <v>1955</v>
      </c>
      <c r="D133" s="3">
        <v>2042</v>
      </c>
      <c r="E133" s="3">
        <v>1886</v>
      </c>
      <c r="F133" s="3">
        <v>1906</v>
      </c>
      <c r="G133" s="3">
        <v>1846</v>
      </c>
      <c r="H133" s="3">
        <f>+SUM(H134:H137)</f>
        <v>2205</v>
      </c>
      <c r="I133" s="3">
        <f>+SUM(I134:I137)</f>
        <v>2346</v>
      </c>
    </row>
    <row r="134" spans="1:9" x14ac:dyDescent="0.3">
      <c r="A134" s="11" t="s">
        <v>113</v>
      </c>
      <c r="B134" s="3"/>
      <c r="C134" s="3"/>
      <c r="D134" s="3"/>
      <c r="E134" s="3"/>
      <c r="F134" s="3"/>
      <c r="G134" s="3"/>
      <c r="H134" s="3">
        <v>1986</v>
      </c>
      <c r="I134" s="3">
        <v>2094</v>
      </c>
    </row>
    <row r="135" spans="1:9" x14ac:dyDescent="0.3">
      <c r="A135" s="11" t="s">
        <v>114</v>
      </c>
      <c r="B135" s="3"/>
      <c r="C135" s="3"/>
      <c r="D135" s="3"/>
      <c r="E135" s="3"/>
      <c r="F135" s="3"/>
      <c r="G135" s="3"/>
      <c r="H135" s="3">
        <v>104</v>
      </c>
      <c r="I135" s="3">
        <v>103</v>
      </c>
    </row>
    <row r="136" spans="1:9" x14ac:dyDescent="0.3">
      <c r="A136" s="11" t="s">
        <v>115</v>
      </c>
      <c r="B136" s="3"/>
      <c r="C136" s="3"/>
      <c r="D136" s="3"/>
      <c r="E136" s="3"/>
      <c r="F136" s="3"/>
      <c r="G136" s="3"/>
      <c r="H136" s="3">
        <v>29</v>
      </c>
      <c r="I136" s="3">
        <v>26</v>
      </c>
    </row>
    <row r="137" spans="1:9" x14ac:dyDescent="0.3">
      <c r="A137" s="11" t="s">
        <v>121</v>
      </c>
      <c r="B137" s="3"/>
      <c r="C137" s="3"/>
      <c r="D137" s="3"/>
      <c r="E137" s="3"/>
      <c r="F137" s="3"/>
      <c r="G137" s="3"/>
      <c r="H137" s="3">
        <v>86</v>
      </c>
      <c r="I137" s="3">
        <v>123</v>
      </c>
    </row>
    <row r="138" spans="1:9" x14ac:dyDescent="0.3">
      <c r="A138" s="2" t="s">
        <v>108</v>
      </c>
      <c r="B138" s="3">
        <v>-82</v>
      </c>
      <c r="C138" s="3">
        <v>-86</v>
      </c>
      <c r="D138" s="3">
        <v>75</v>
      </c>
      <c r="E138" s="3">
        <v>26</v>
      </c>
      <c r="F138" s="3">
        <v>-7</v>
      </c>
      <c r="G138" s="3">
        <v>-11</v>
      </c>
      <c r="H138" s="3">
        <v>40</v>
      </c>
      <c r="I138" s="3">
        <v>-72</v>
      </c>
    </row>
    <row r="139" spans="1:9" ht="15" thickBot="1" x14ac:dyDescent="0.35">
      <c r="A139" s="6" t="s">
        <v>105</v>
      </c>
      <c r="B139" s="7">
        <f t="shared" ref="B139:H139" si="21">+B132+B133+B138</f>
        <v>30601</v>
      </c>
      <c r="C139" s="7">
        <f>+C132+C133+C138</f>
        <v>32376</v>
      </c>
      <c r="D139" s="7">
        <f t="shared" si="21"/>
        <v>34350</v>
      </c>
      <c r="E139" s="7">
        <f t="shared" si="21"/>
        <v>36397</v>
      </c>
      <c r="F139" s="7">
        <f t="shared" si="21"/>
        <v>39117</v>
      </c>
      <c r="G139" s="7">
        <f t="shared" si="21"/>
        <v>37403</v>
      </c>
      <c r="H139" s="7">
        <f t="shared" si="21"/>
        <v>44538</v>
      </c>
      <c r="I139" s="7">
        <f>+I132+I133+I138</f>
        <v>46710</v>
      </c>
    </row>
    <row r="140" spans="1:9" s="12" customFormat="1" ht="15" thickTop="1" x14ac:dyDescent="0.3">
      <c r="A140" s="12" t="s">
        <v>111</v>
      </c>
      <c r="B140" s="13">
        <f>+I139-I2</f>
        <v>0</v>
      </c>
      <c r="C140" s="13">
        <f t="shared" ref="C140:H140" si="22">+C139-C2</f>
        <v>0</v>
      </c>
      <c r="D140" s="13">
        <f t="shared" si="22"/>
        <v>0</v>
      </c>
      <c r="E140" s="13">
        <f t="shared" si="22"/>
        <v>0</v>
      </c>
      <c r="F140" s="13">
        <f t="shared" si="22"/>
        <v>0</v>
      </c>
      <c r="G140" s="13">
        <f t="shared" si="22"/>
        <v>0</v>
      </c>
      <c r="H140" s="13">
        <f t="shared" si="22"/>
        <v>0</v>
      </c>
    </row>
    <row r="141" spans="1:9" x14ac:dyDescent="0.3">
      <c r="A141" s="1" t="s">
        <v>110</v>
      </c>
    </row>
    <row r="142" spans="1:9" x14ac:dyDescent="0.3">
      <c r="A142" s="2" t="s">
        <v>100</v>
      </c>
      <c r="B142" s="3">
        <v>3645</v>
      </c>
      <c r="C142" s="3">
        <v>3763</v>
      </c>
      <c r="D142" s="3">
        <v>3875</v>
      </c>
      <c r="E142" s="3">
        <v>3600</v>
      </c>
      <c r="F142" s="3">
        <v>3925</v>
      </c>
      <c r="G142" s="3">
        <v>2899</v>
      </c>
      <c r="H142" s="3">
        <v>5089</v>
      </c>
      <c r="I142" s="3">
        <v>5114</v>
      </c>
    </row>
    <row r="143" spans="1:9" x14ac:dyDescent="0.3">
      <c r="A143" s="2" t="s">
        <v>101</v>
      </c>
      <c r="B143" s="3">
        <v>1524</v>
      </c>
      <c r="C143" s="3">
        <v>1723</v>
      </c>
      <c r="D143" s="3">
        <v>1447</v>
      </c>
      <c r="E143" s="3">
        <v>1587</v>
      </c>
      <c r="F143" s="3">
        <v>1995</v>
      </c>
      <c r="G143" s="3">
        <v>1541</v>
      </c>
      <c r="H143" s="3">
        <v>2435</v>
      </c>
      <c r="I143" s="3">
        <v>3293</v>
      </c>
    </row>
    <row r="144" spans="1:9" x14ac:dyDescent="0.3">
      <c r="A144" s="2" t="s">
        <v>102</v>
      </c>
      <c r="B144" s="3">
        <v>993</v>
      </c>
      <c r="C144" s="3">
        <v>1372</v>
      </c>
      <c r="D144" s="3">
        <v>1507</v>
      </c>
      <c r="E144" s="3">
        <v>1807</v>
      </c>
      <c r="F144" s="3">
        <v>2376</v>
      </c>
      <c r="G144" s="3">
        <v>2490</v>
      </c>
      <c r="H144" s="3">
        <v>3243</v>
      </c>
      <c r="I144" s="3">
        <v>2365</v>
      </c>
    </row>
    <row r="145" spans="1:9" x14ac:dyDescent="0.3">
      <c r="A145" s="2" t="s">
        <v>106</v>
      </c>
      <c r="B145" s="3">
        <v>918</v>
      </c>
      <c r="C145" s="3">
        <v>1066</v>
      </c>
      <c r="D145" s="3">
        <v>1040</v>
      </c>
      <c r="E145" s="3">
        <v>1189</v>
      </c>
      <c r="F145" s="3">
        <v>1323</v>
      </c>
      <c r="G145" s="3">
        <v>1184</v>
      </c>
      <c r="H145" s="3">
        <v>1530</v>
      </c>
      <c r="I145" s="3">
        <v>1896</v>
      </c>
    </row>
    <row r="146" spans="1:9" x14ac:dyDescent="0.3">
      <c r="A146" s="2" t="s">
        <v>107</v>
      </c>
      <c r="B146" s="3">
        <v>-2267</v>
      </c>
      <c r="C146" s="3">
        <v>-2596</v>
      </c>
      <c r="D146" s="3">
        <v>-2677</v>
      </c>
      <c r="E146" s="3">
        <v>-2658</v>
      </c>
      <c r="F146" s="3">
        <v>-3262</v>
      </c>
      <c r="G146" s="3">
        <v>-3468</v>
      </c>
      <c r="H146" s="3">
        <v>-3656</v>
      </c>
      <c r="I146" s="3">
        <v>-4262</v>
      </c>
    </row>
    <row r="147" spans="1:9" x14ac:dyDescent="0.3">
      <c r="A147" s="4" t="s">
        <v>103</v>
      </c>
      <c r="B147" s="5">
        <f t="shared" ref="B147:I147" si="23">+SUM(B142:B146)</f>
        <v>4813</v>
      </c>
      <c r="C147" s="5">
        <f t="shared" si="23"/>
        <v>5328</v>
      </c>
      <c r="D147" s="5">
        <f t="shared" si="23"/>
        <v>5192</v>
      </c>
      <c r="E147" s="5">
        <f t="shared" si="23"/>
        <v>5525</v>
      </c>
      <c r="F147" s="5">
        <f t="shared" si="23"/>
        <v>6357</v>
      </c>
      <c r="G147" s="5">
        <f t="shared" si="23"/>
        <v>4646</v>
      </c>
      <c r="H147" s="5">
        <f t="shared" si="23"/>
        <v>8641</v>
      </c>
      <c r="I147" s="5">
        <f t="shared" si="23"/>
        <v>8406</v>
      </c>
    </row>
    <row r="148" spans="1:9" x14ac:dyDescent="0.3">
      <c r="A148" s="2" t="s">
        <v>104</v>
      </c>
      <c r="B148" s="3">
        <v>517</v>
      </c>
      <c r="C148" s="3">
        <v>487</v>
      </c>
      <c r="D148" s="3">
        <v>477</v>
      </c>
      <c r="E148" s="3">
        <v>310</v>
      </c>
      <c r="F148" s="3">
        <v>303</v>
      </c>
      <c r="G148" s="3">
        <v>297</v>
      </c>
      <c r="H148" s="3">
        <v>543</v>
      </c>
      <c r="I148" s="3">
        <v>669</v>
      </c>
    </row>
    <row r="149" spans="1:9" x14ac:dyDescent="0.3">
      <c r="A149" s="2" t="s">
        <v>108</v>
      </c>
      <c r="B149" s="3">
        <v>-1097</v>
      </c>
      <c r="C149" s="3">
        <v>-1173</v>
      </c>
      <c r="D149" s="3">
        <v>-724</v>
      </c>
      <c r="E149" s="3">
        <v>-1456</v>
      </c>
      <c r="F149" s="3">
        <v>-1810</v>
      </c>
      <c r="G149" s="3">
        <v>-1967</v>
      </c>
      <c r="H149" s="3">
        <v>-2261</v>
      </c>
      <c r="I149" s="3">
        <v>-2219</v>
      </c>
    </row>
    <row r="150" spans="1:9" ht="15" thickBot="1" x14ac:dyDescent="0.35">
      <c r="A150" s="6" t="s">
        <v>112</v>
      </c>
      <c r="B150" s="7">
        <f t="shared" ref="B150" si="24">+SUM(B147:B149)</f>
        <v>4233</v>
      </c>
      <c r="C150" s="7">
        <f t="shared" ref="C150:H150" si="25">+SUM(C147:C149)</f>
        <v>4642</v>
      </c>
      <c r="D150" s="7">
        <f t="shared" si="25"/>
        <v>4945</v>
      </c>
      <c r="E150" s="7">
        <f t="shared" si="25"/>
        <v>4379</v>
      </c>
      <c r="F150" s="7">
        <f t="shared" si="25"/>
        <v>4850</v>
      </c>
      <c r="G150" s="7">
        <f t="shared" si="25"/>
        <v>2976</v>
      </c>
      <c r="H150" s="7">
        <f t="shared" si="25"/>
        <v>6923</v>
      </c>
      <c r="I150" s="7">
        <f>+SUM(I147:I149)</f>
        <v>6856</v>
      </c>
    </row>
    <row r="151" spans="1:9" s="12" customFormat="1" ht="15" thickTop="1" x14ac:dyDescent="0.3">
      <c r="A151" s="12" t="s">
        <v>111</v>
      </c>
      <c r="B151" s="13">
        <f t="shared" ref="B151:I151" si="26">+B150-B10-B8</f>
        <v>0</v>
      </c>
      <c r="C151" s="13">
        <f t="shared" si="26"/>
        <v>0</v>
      </c>
      <c r="D151" s="13">
        <f t="shared" si="26"/>
        <v>0</v>
      </c>
      <c r="E151" s="13">
        <f t="shared" si="26"/>
        <v>0</v>
      </c>
      <c r="F151" s="13">
        <f t="shared" si="26"/>
        <v>0</v>
      </c>
      <c r="G151" s="13">
        <f t="shared" si="26"/>
        <v>0</v>
      </c>
      <c r="H151" s="13">
        <f t="shared" si="26"/>
        <v>0</v>
      </c>
      <c r="I151" s="13">
        <f t="shared" si="26"/>
        <v>0</v>
      </c>
    </row>
    <row r="152" spans="1:9" x14ac:dyDescent="0.3">
      <c r="A152" s="1" t="s">
        <v>117</v>
      </c>
    </row>
    <row r="153" spans="1:9" x14ac:dyDescent="0.3">
      <c r="A153" s="2" t="s">
        <v>100</v>
      </c>
      <c r="B153" s="3">
        <v>632</v>
      </c>
      <c r="C153" s="3">
        <v>742</v>
      </c>
      <c r="D153" s="3">
        <v>819</v>
      </c>
      <c r="E153" s="3">
        <v>848</v>
      </c>
      <c r="F153" s="3">
        <v>814</v>
      </c>
      <c r="G153" s="3">
        <v>645</v>
      </c>
      <c r="H153" s="3">
        <v>617</v>
      </c>
      <c r="I153" s="3">
        <v>639</v>
      </c>
    </row>
    <row r="154" spans="1:9" x14ac:dyDescent="0.3">
      <c r="A154" s="2" t="s">
        <v>101</v>
      </c>
      <c r="B154" s="3">
        <v>498</v>
      </c>
      <c r="C154" s="3">
        <v>639</v>
      </c>
      <c r="D154" s="3">
        <v>709</v>
      </c>
      <c r="E154" s="3">
        <v>849</v>
      </c>
      <c r="F154" s="3">
        <v>929</v>
      </c>
      <c r="G154" s="3">
        <v>885</v>
      </c>
      <c r="H154" s="3">
        <v>982</v>
      </c>
      <c r="I154" s="3">
        <v>920</v>
      </c>
    </row>
    <row r="155" spans="1:9" x14ac:dyDescent="0.3">
      <c r="A155" s="2" t="s">
        <v>102</v>
      </c>
      <c r="B155" s="3">
        <v>254</v>
      </c>
      <c r="C155" s="3">
        <v>234</v>
      </c>
      <c r="D155" s="3">
        <v>225</v>
      </c>
      <c r="E155" s="3">
        <v>256</v>
      </c>
      <c r="F155" s="3">
        <v>237</v>
      </c>
      <c r="G155" s="3">
        <v>214</v>
      </c>
      <c r="H155" s="3">
        <v>288</v>
      </c>
      <c r="I155" s="3">
        <v>303</v>
      </c>
    </row>
    <row r="156" spans="1:9" x14ac:dyDescent="0.3">
      <c r="A156" s="2" t="s">
        <v>118</v>
      </c>
      <c r="B156" s="3">
        <v>308</v>
      </c>
      <c r="C156" s="3">
        <v>332</v>
      </c>
      <c r="D156" s="3">
        <v>340</v>
      </c>
      <c r="E156" s="3">
        <v>339</v>
      </c>
      <c r="F156" s="3">
        <v>326</v>
      </c>
      <c r="G156" s="3">
        <v>296</v>
      </c>
      <c r="H156" s="3">
        <v>304</v>
      </c>
      <c r="I156" s="3">
        <v>274</v>
      </c>
    </row>
    <row r="157" spans="1:9" x14ac:dyDescent="0.3">
      <c r="A157" s="2" t="s">
        <v>107</v>
      </c>
      <c r="B157" s="3">
        <v>484</v>
      </c>
      <c r="C157" s="3">
        <v>511</v>
      </c>
      <c r="D157" s="3">
        <v>533</v>
      </c>
      <c r="E157" s="3">
        <v>597</v>
      </c>
      <c r="F157" s="3">
        <v>665</v>
      </c>
      <c r="G157" s="3">
        <v>830</v>
      </c>
      <c r="H157" s="3">
        <v>780</v>
      </c>
      <c r="I157" s="3">
        <v>789</v>
      </c>
    </row>
    <row r="158" spans="1:9" x14ac:dyDescent="0.3">
      <c r="A158" s="4" t="s">
        <v>119</v>
      </c>
      <c r="B158" s="5">
        <f t="shared" ref="B158:I158" si="27">+SUM(B153:B157)</f>
        <v>2176</v>
      </c>
      <c r="C158" s="5">
        <f t="shared" si="27"/>
        <v>2458</v>
      </c>
      <c r="D158" s="5">
        <f t="shared" si="27"/>
        <v>2626</v>
      </c>
      <c r="E158" s="5">
        <f t="shared" si="27"/>
        <v>2889</v>
      </c>
      <c r="F158" s="5">
        <f t="shared" si="27"/>
        <v>2971</v>
      </c>
      <c r="G158" s="5">
        <f t="shared" si="27"/>
        <v>2870</v>
      </c>
      <c r="H158" s="5">
        <f t="shared" si="27"/>
        <v>2971</v>
      </c>
      <c r="I158" s="5">
        <f t="shared" si="27"/>
        <v>2925</v>
      </c>
    </row>
    <row r="159" spans="1:9" x14ac:dyDescent="0.3">
      <c r="A159" s="2" t="s">
        <v>104</v>
      </c>
      <c r="B159" s="3">
        <v>122</v>
      </c>
      <c r="C159" s="3">
        <v>125</v>
      </c>
      <c r="D159" s="3">
        <v>125</v>
      </c>
      <c r="E159" s="3">
        <v>115</v>
      </c>
      <c r="F159" s="3">
        <v>100</v>
      </c>
      <c r="G159" s="3">
        <v>80</v>
      </c>
      <c r="H159" s="3">
        <v>63</v>
      </c>
      <c r="I159" s="3">
        <v>49</v>
      </c>
    </row>
    <row r="160" spans="1:9" x14ac:dyDescent="0.3">
      <c r="A160" s="2" t="s">
        <v>108</v>
      </c>
      <c r="B160" s="3">
        <v>713</v>
      </c>
      <c r="C160" s="3">
        <v>937</v>
      </c>
      <c r="D160" s="3">
        <v>1238</v>
      </c>
      <c r="E160" s="3">
        <v>1450</v>
      </c>
      <c r="F160" s="3">
        <v>1673</v>
      </c>
      <c r="G160" s="3">
        <v>1916</v>
      </c>
      <c r="H160" s="3">
        <v>1870</v>
      </c>
      <c r="I160" s="3">
        <v>1817</v>
      </c>
    </row>
    <row r="161" spans="1:9" ht="15" thickBot="1" x14ac:dyDescent="0.35">
      <c r="A161" s="6" t="s">
        <v>120</v>
      </c>
      <c r="B161" s="7">
        <f t="shared" ref="B161:H161" si="28">+SUM(B158:B160)</f>
        <v>3011</v>
      </c>
      <c r="C161" s="7">
        <f t="shared" si="28"/>
        <v>3520</v>
      </c>
      <c r="D161" s="7">
        <f t="shared" si="28"/>
        <v>3989</v>
      </c>
      <c r="E161" s="7">
        <f t="shared" si="28"/>
        <v>4454</v>
      </c>
      <c r="F161" s="7">
        <f t="shared" si="28"/>
        <v>4744</v>
      </c>
      <c r="G161" s="7">
        <f t="shared" si="28"/>
        <v>4866</v>
      </c>
      <c r="H161" s="7">
        <f t="shared" si="28"/>
        <v>4904</v>
      </c>
      <c r="I161" s="7">
        <f>+SUM(I158:I160)</f>
        <v>4791</v>
      </c>
    </row>
    <row r="162" spans="1:9" ht="15" thickTop="1" x14ac:dyDescent="0.3">
      <c r="A162" s="12" t="s">
        <v>111</v>
      </c>
      <c r="B162" s="13">
        <f t="shared" ref="B162:I162" si="29">+B161-B32</f>
        <v>0</v>
      </c>
      <c r="C162" s="13">
        <f t="shared" si="29"/>
        <v>0</v>
      </c>
      <c r="D162" s="13">
        <f t="shared" si="29"/>
        <v>0</v>
      </c>
      <c r="E162" s="13">
        <f t="shared" si="29"/>
        <v>0</v>
      </c>
      <c r="F162" s="13">
        <f t="shared" si="29"/>
        <v>0</v>
      </c>
      <c r="G162" s="13">
        <f t="shared" si="29"/>
        <v>0</v>
      </c>
      <c r="H162" s="13">
        <f t="shared" si="29"/>
        <v>0</v>
      </c>
      <c r="I162" s="13">
        <f t="shared" si="29"/>
        <v>0</v>
      </c>
    </row>
    <row r="163" spans="1:9" x14ac:dyDescent="0.3">
      <c r="A163" s="1" t="s">
        <v>122</v>
      </c>
    </row>
    <row r="164" spans="1:9" x14ac:dyDescent="0.3">
      <c r="A164" s="2" t="s">
        <v>100</v>
      </c>
      <c r="B164" s="3">
        <v>208</v>
      </c>
      <c r="C164" s="3">
        <v>242</v>
      </c>
      <c r="D164" s="3">
        <v>223</v>
      </c>
      <c r="E164" s="3">
        <v>196</v>
      </c>
      <c r="F164" s="3">
        <v>117</v>
      </c>
      <c r="G164" s="3">
        <v>110</v>
      </c>
      <c r="H164" s="3">
        <v>98</v>
      </c>
      <c r="I164" s="3">
        <v>146</v>
      </c>
    </row>
    <row r="165" spans="1:9" x14ac:dyDescent="0.3">
      <c r="A165" s="2" t="s">
        <v>101</v>
      </c>
      <c r="B165" s="3">
        <v>236</v>
      </c>
      <c r="C165" s="3">
        <v>232</v>
      </c>
      <c r="D165" s="3">
        <v>173</v>
      </c>
      <c r="E165" s="3">
        <v>240</v>
      </c>
      <c r="F165" s="3">
        <v>233</v>
      </c>
      <c r="G165" s="3">
        <v>139</v>
      </c>
      <c r="H165" s="3">
        <v>153</v>
      </c>
      <c r="I165" s="3">
        <v>197</v>
      </c>
    </row>
    <row r="166" spans="1:9" x14ac:dyDescent="0.3">
      <c r="A166" s="2" t="s">
        <v>102</v>
      </c>
      <c r="B166" s="3">
        <v>69</v>
      </c>
      <c r="C166" s="3">
        <v>44</v>
      </c>
      <c r="D166" s="3">
        <v>51</v>
      </c>
      <c r="E166" s="3">
        <v>76</v>
      </c>
      <c r="F166" s="3">
        <v>49</v>
      </c>
      <c r="G166" s="3">
        <v>28</v>
      </c>
      <c r="H166" s="3">
        <v>94</v>
      </c>
      <c r="I166" s="3">
        <v>78</v>
      </c>
    </row>
    <row r="167" spans="1:9" x14ac:dyDescent="0.3">
      <c r="A167" s="2" t="s">
        <v>118</v>
      </c>
      <c r="B167" s="3">
        <v>52</v>
      </c>
      <c r="C167" s="3">
        <v>64</v>
      </c>
      <c r="D167" s="3">
        <v>59</v>
      </c>
      <c r="E167" s="3">
        <v>49</v>
      </c>
      <c r="F167" s="3">
        <v>47</v>
      </c>
      <c r="G167" s="3">
        <v>41</v>
      </c>
      <c r="H167" s="3">
        <v>54</v>
      </c>
      <c r="I167" s="3">
        <v>56</v>
      </c>
    </row>
    <row r="168" spans="1:9" x14ac:dyDescent="0.3">
      <c r="A168" s="2" t="s">
        <v>107</v>
      </c>
      <c r="B168" s="3">
        <v>225</v>
      </c>
      <c r="C168" s="3">
        <v>258</v>
      </c>
      <c r="D168" s="3">
        <v>278</v>
      </c>
      <c r="E168" s="3">
        <v>286</v>
      </c>
      <c r="F168" s="3">
        <v>278</v>
      </c>
      <c r="G168" s="3">
        <v>438</v>
      </c>
      <c r="H168" s="3">
        <v>278</v>
      </c>
      <c r="I168" s="3">
        <v>222</v>
      </c>
    </row>
    <row r="169" spans="1:9" x14ac:dyDescent="0.3">
      <c r="A169" s="4" t="s">
        <v>119</v>
      </c>
      <c r="B169" s="5">
        <f t="shared" ref="B169:I169" si="30">+SUM(B164:B168)</f>
        <v>790</v>
      </c>
      <c r="C169" s="5">
        <f t="shared" si="30"/>
        <v>840</v>
      </c>
      <c r="D169" s="5">
        <f t="shared" si="30"/>
        <v>784</v>
      </c>
      <c r="E169" s="5">
        <f t="shared" si="30"/>
        <v>847</v>
      </c>
      <c r="F169" s="5">
        <f t="shared" si="30"/>
        <v>724</v>
      </c>
      <c r="G169" s="5">
        <f t="shared" si="30"/>
        <v>756</v>
      </c>
      <c r="H169" s="5">
        <f t="shared" si="30"/>
        <v>677</v>
      </c>
      <c r="I169" s="5">
        <f t="shared" si="30"/>
        <v>699</v>
      </c>
    </row>
    <row r="170" spans="1:9" x14ac:dyDescent="0.3">
      <c r="A170" s="2" t="s">
        <v>104</v>
      </c>
      <c r="B170" s="3">
        <v>69</v>
      </c>
      <c r="C170" s="3">
        <v>39</v>
      </c>
      <c r="D170" s="3">
        <v>30</v>
      </c>
      <c r="E170" s="3">
        <v>22</v>
      </c>
      <c r="F170" s="3">
        <v>18</v>
      </c>
      <c r="G170" s="3">
        <v>12</v>
      </c>
      <c r="H170" s="3"/>
      <c r="I170" s="3"/>
    </row>
    <row r="171" spans="1:9" x14ac:dyDescent="0.3">
      <c r="A171" s="2" t="s">
        <v>108</v>
      </c>
      <c r="B171" s="3">
        <v>144</v>
      </c>
      <c r="C171" s="3">
        <v>312</v>
      </c>
      <c r="D171" s="3">
        <v>387</v>
      </c>
      <c r="E171" s="3">
        <v>325</v>
      </c>
      <c r="F171" s="3">
        <v>333</v>
      </c>
      <c r="G171" s="3">
        <v>356</v>
      </c>
      <c r="H171" s="3"/>
      <c r="I171" s="3"/>
    </row>
    <row r="172" spans="1:9" ht="15" thickBot="1" x14ac:dyDescent="0.35">
      <c r="A172" s="6" t="s">
        <v>123</v>
      </c>
      <c r="B172" s="7">
        <f t="shared" ref="B172:H172" si="31">+SUM(B169:B171)</f>
        <v>1003</v>
      </c>
      <c r="C172" s="7">
        <f t="shared" si="31"/>
        <v>1191</v>
      </c>
      <c r="D172" s="7">
        <f t="shared" si="31"/>
        <v>1201</v>
      </c>
      <c r="E172" s="7">
        <f t="shared" si="31"/>
        <v>1194</v>
      </c>
      <c r="F172" s="7">
        <f t="shared" si="31"/>
        <v>1075</v>
      </c>
      <c r="G172" s="7">
        <f t="shared" si="31"/>
        <v>1124</v>
      </c>
      <c r="H172" s="7">
        <f t="shared" si="31"/>
        <v>677</v>
      </c>
      <c r="I172" s="7">
        <f>+SUM(I169:I171)</f>
        <v>699</v>
      </c>
    </row>
    <row r="173" spans="1:9" ht="15" thickTop="1" x14ac:dyDescent="0.3">
      <c r="A173" s="12" t="s">
        <v>111</v>
      </c>
      <c r="B173" s="13">
        <f t="shared" ref="B173:I173" si="32">+B172+B82</f>
        <v>40</v>
      </c>
      <c r="C173" s="13">
        <f t="shared" si="32"/>
        <v>48</v>
      </c>
      <c r="D173" s="13">
        <f t="shared" si="32"/>
        <v>96</v>
      </c>
      <c r="E173" s="13">
        <f t="shared" si="32"/>
        <v>166</v>
      </c>
      <c r="F173" s="13">
        <f t="shared" si="32"/>
        <v>-44</v>
      </c>
      <c r="G173" s="13">
        <f t="shared" si="32"/>
        <v>38</v>
      </c>
      <c r="H173" s="13">
        <f t="shared" si="32"/>
        <v>-18</v>
      </c>
      <c r="I173" s="13">
        <f t="shared" si="32"/>
        <v>-59</v>
      </c>
    </row>
    <row r="174" spans="1:9" x14ac:dyDescent="0.3">
      <c r="A174" s="1" t="s">
        <v>124</v>
      </c>
    </row>
    <row r="175" spans="1:9" x14ac:dyDescent="0.3">
      <c r="A175" s="2" t="s">
        <v>100</v>
      </c>
      <c r="B175" s="3">
        <v>121</v>
      </c>
      <c r="C175" s="3">
        <v>133</v>
      </c>
      <c r="D175" s="3">
        <v>140</v>
      </c>
      <c r="E175" s="3">
        <v>160</v>
      </c>
      <c r="F175" s="3">
        <v>149</v>
      </c>
      <c r="G175" s="3">
        <v>148</v>
      </c>
      <c r="H175" s="3">
        <v>130</v>
      </c>
      <c r="I175" s="3">
        <v>124</v>
      </c>
    </row>
    <row r="176" spans="1:9" x14ac:dyDescent="0.3">
      <c r="A176" s="2" t="s">
        <v>101</v>
      </c>
      <c r="B176" s="3">
        <v>87</v>
      </c>
      <c r="C176" s="3">
        <v>85</v>
      </c>
      <c r="D176" s="3">
        <v>106</v>
      </c>
      <c r="E176" s="3">
        <v>116</v>
      </c>
      <c r="F176" s="3">
        <v>111</v>
      </c>
      <c r="G176" s="3">
        <v>132</v>
      </c>
      <c r="H176" s="3">
        <v>136</v>
      </c>
      <c r="I176" s="3">
        <v>134</v>
      </c>
    </row>
    <row r="177" spans="1:9" x14ac:dyDescent="0.3">
      <c r="A177" s="2" t="s">
        <v>102</v>
      </c>
      <c r="B177" s="3">
        <v>46</v>
      </c>
      <c r="C177" s="3">
        <v>48</v>
      </c>
      <c r="D177" s="3">
        <v>54</v>
      </c>
      <c r="E177" s="3">
        <v>56</v>
      </c>
      <c r="F177" s="3">
        <v>50</v>
      </c>
      <c r="G177" s="3">
        <v>44</v>
      </c>
      <c r="H177" s="3">
        <v>46</v>
      </c>
      <c r="I177" s="3">
        <v>41</v>
      </c>
    </row>
    <row r="178" spans="1:9" x14ac:dyDescent="0.3">
      <c r="A178" s="2" t="s">
        <v>106</v>
      </c>
      <c r="B178" s="3">
        <v>49</v>
      </c>
      <c r="C178" s="3">
        <v>42</v>
      </c>
      <c r="D178" s="3">
        <v>54</v>
      </c>
      <c r="E178" s="3">
        <v>55</v>
      </c>
      <c r="F178" s="3">
        <v>53</v>
      </c>
      <c r="G178" s="3">
        <v>46</v>
      </c>
      <c r="H178" s="3">
        <v>43</v>
      </c>
      <c r="I178" s="3">
        <v>42</v>
      </c>
    </row>
    <row r="179" spans="1:9" x14ac:dyDescent="0.3">
      <c r="A179" s="2" t="s">
        <v>107</v>
      </c>
      <c r="B179" s="3">
        <v>210</v>
      </c>
      <c r="C179" s="3">
        <v>230</v>
      </c>
      <c r="D179" s="3">
        <v>233</v>
      </c>
      <c r="E179" s="3">
        <v>217</v>
      </c>
      <c r="F179" s="3">
        <v>195</v>
      </c>
      <c r="G179" s="3">
        <v>214</v>
      </c>
      <c r="H179" s="3">
        <v>222</v>
      </c>
      <c r="I179" s="3">
        <v>220</v>
      </c>
    </row>
    <row r="180" spans="1:9" x14ac:dyDescent="0.3">
      <c r="A180" s="4" t="s">
        <v>119</v>
      </c>
      <c r="B180" s="5">
        <f t="shared" ref="B180:I180" si="33">+SUM(B175:B179)</f>
        <v>513</v>
      </c>
      <c r="C180" s="5">
        <f t="shared" si="33"/>
        <v>538</v>
      </c>
      <c r="D180" s="5">
        <f t="shared" si="33"/>
        <v>587</v>
      </c>
      <c r="E180" s="5">
        <f t="shared" si="33"/>
        <v>604</v>
      </c>
      <c r="F180" s="5">
        <f t="shared" si="33"/>
        <v>558</v>
      </c>
      <c r="G180" s="5">
        <f t="shared" si="33"/>
        <v>584</v>
      </c>
      <c r="H180" s="5">
        <f t="shared" si="33"/>
        <v>577</v>
      </c>
      <c r="I180" s="5">
        <f t="shared" si="33"/>
        <v>561</v>
      </c>
    </row>
    <row r="181" spans="1:9" x14ac:dyDescent="0.3">
      <c r="A181" s="2" t="s">
        <v>104</v>
      </c>
      <c r="B181" s="3">
        <v>18</v>
      </c>
      <c r="C181" s="3">
        <v>27</v>
      </c>
      <c r="D181" s="3">
        <v>28</v>
      </c>
      <c r="E181" s="3">
        <v>33</v>
      </c>
      <c r="F181" s="3">
        <v>31</v>
      </c>
      <c r="G181" s="3">
        <v>25</v>
      </c>
      <c r="H181" s="3">
        <v>26</v>
      </c>
      <c r="I181" s="3">
        <v>22</v>
      </c>
    </row>
    <row r="182" spans="1:9" x14ac:dyDescent="0.3">
      <c r="A182" s="2" t="s">
        <v>108</v>
      </c>
      <c r="B182" s="3">
        <v>75</v>
      </c>
      <c r="C182" s="3">
        <v>84</v>
      </c>
      <c r="D182" s="3">
        <v>91</v>
      </c>
      <c r="E182" s="3">
        <v>110</v>
      </c>
      <c r="F182" s="3">
        <v>116</v>
      </c>
      <c r="G182" s="3">
        <v>112</v>
      </c>
      <c r="H182" s="3">
        <v>141</v>
      </c>
      <c r="I182" s="3">
        <v>134</v>
      </c>
    </row>
    <row r="183" spans="1:9" ht="15" thickBot="1" x14ac:dyDescent="0.35">
      <c r="A183" s="6" t="s">
        <v>125</v>
      </c>
      <c r="B183" s="7">
        <f t="shared" ref="B183:H183" si="34">+SUM(B180:B182)</f>
        <v>606</v>
      </c>
      <c r="C183" s="7">
        <f t="shared" si="34"/>
        <v>649</v>
      </c>
      <c r="D183" s="7">
        <f t="shared" si="34"/>
        <v>706</v>
      </c>
      <c r="E183" s="7">
        <f t="shared" si="34"/>
        <v>747</v>
      </c>
      <c r="F183" s="7">
        <f t="shared" si="34"/>
        <v>705</v>
      </c>
      <c r="G183" s="7">
        <f t="shared" si="34"/>
        <v>721</v>
      </c>
      <c r="H183" s="7">
        <f t="shared" si="34"/>
        <v>744</v>
      </c>
      <c r="I183" s="7">
        <f>+SUM(I180:I182)</f>
        <v>717</v>
      </c>
    </row>
    <row r="184" spans="1:9" ht="15" thickTop="1" x14ac:dyDescent="0.3">
      <c r="A184" s="12" t="s">
        <v>111</v>
      </c>
      <c r="B184" s="13">
        <f t="shared" ref="B184:I184" si="35">+B183-B67</f>
        <v>0</v>
      </c>
      <c r="C184" s="13">
        <f t="shared" si="35"/>
        <v>0</v>
      </c>
      <c r="D184" s="13">
        <f t="shared" si="35"/>
        <v>0</v>
      </c>
      <c r="E184" s="13">
        <f t="shared" si="35"/>
        <v>0</v>
      </c>
      <c r="F184" s="13">
        <f t="shared" si="35"/>
        <v>0</v>
      </c>
      <c r="G184" s="13">
        <f t="shared" si="35"/>
        <v>0</v>
      </c>
      <c r="H184" s="13">
        <f t="shared" si="35"/>
        <v>0</v>
      </c>
      <c r="I184" s="13">
        <f t="shared" si="35"/>
        <v>0</v>
      </c>
    </row>
    <row r="185" spans="1:9" x14ac:dyDescent="0.3">
      <c r="A185" s="14" t="s">
        <v>126</v>
      </c>
      <c r="B185" s="14"/>
      <c r="C185" s="14"/>
      <c r="D185" s="14"/>
      <c r="E185" s="14"/>
      <c r="F185" s="14"/>
      <c r="G185" s="14"/>
      <c r="H185" s="14"/>
      <c r="I185" s="14"/>
    </row>
    <row r="186" spans="1:9" x14ac:dyDescent="0.3">
      <c r="A186" s="28" t="s">
        <v>127</v>
      </c>
    </row>
    <row r="187" spans="1:9" x14ac:dyDescent="0.3">
      <c r="A187" s="33" t="s">
        <v>100</v>
      </c>
      <c r="B187" s="34">
        <v>0.12</v>
      </c>
      <c r="C187" s="34">
        <v>7.4526928675400228E-2</v>
      </c>
      <c r="D187" s="34">
        <v>3.0615009482525046E-2</v>
      </c>
      <c r="E187" s="34">
        <v>-2.372502628811779E-2</v>
      </c>
      <c r="F187" s="34">
        <v>7.0481319421070276E-2</v>
      </c>
      <c r="G187" s="34">
        <v>-8.9171173437303519E-2</v>
      </c>
      <c r="H187" s="34"/>
      <c r="I187" s="34">
        <v>7.0000000000000007E-2</v>
      </c>
    </row>
    <row r="188" spans="1:9" x14ac:dyDescent="0.3">
      <c r="A188" s="31" t="s">
        <v>113</v>
      </c>
      <c r="B188" s="30"/>
      <c r="C188" s="30"/>
      <c r="D188" s="30"/>
      <c r="E188" s="30"/>
      <c r="F188" s="30"/>
      <c r="G188" s="30">
        <v>-7.1279243404678949E-2</v>
      </c>
      <c r="H188" s="30"/>
      <c r="I188" s="30">
        <v>0.05</v>
      </c>
    </row>
    <row r="189" spans="1:9" x14ac:dyDescent="0.3">
      <c r="A189" s="31" t="s">
        <v>114</v>
      </c>
      <c r="B189" s="30"/>
      <c r="C189" s="30"/>
      <c r="D189" s="30"/>
      <c r="E189" s="30"/>
      <c r="F189" s="30"/>
      <c r="G189" s="30">
        <v>-0.11806083650190113</v>
      </c>
      <c r="H189" s="30"/>
      <c r="I189" s="30">
        <v>0.09</v>
      </c>
    </row>
    <row r="190" spans="1:9" x14ac:dyDescent="0.3">
      <c r="A190" s="31" t="s">
        <v>115</v>
      </c>
      <c r="B190" s="30"/>
      <c r="C190" s="30"/>
      <c r="D190" s="30"/>
      <c r="E190" s="30"/>
      <c r="F190" s="30"/>
      <c r="G190" s="30">
        <v>-0.13567839195979903</v>
      </c>
      <c r="H190" s="30"/>
      <c r="I190" s="30">
        <v>0.25</v>
      </c>
    </row>
    <row r="191" spans="1:9" x14ac:dyDescent="0.3">
      <c r="A191" s="33" t="s">
        <v>101</v>
      </c>
      <c r="B191" s="34">
        <v>0.09</v>
      </c>
      <c r="C191" s="34">
        <v>2.6522593320235766E-2</v>
      </c>
      <c r="D191" s="34">
        <v>5.2358168147641937E-2</v>
      </c>
      <c r="E191" s="34">
        <v>0.20057157703299566</v>
      </c>
      <c r="F191" s="34">
        <v>6.1674962129409261E-2</v>
      </c>
      <c r="G191" s="34">
        <v>-4.7390949857317621E-2</v>
      </c>
      <c r="H191" s="34"/>
      <c r="I191" s="34">
        <v>0.12</v>
      </c>
    </row>
    <row r="192" spans="1:9" x14ac:dyDescent="0.3">
      <c r="A192" s="31" t="s">
        <v>113</v>
      </c>
      <c r="B192" s="30"/>
      <c r="C192" s="30"/>
      <c r="D192" s="30"/>
      <c r="E192" s="30"/>
      <c r="F192" s="30"/>
      <c r="G192" s="30">
        <v>-6.3721595423486432E-2</v>
      </c>
      <c r="H192" s="30"/>
      <c r="I192" s="30">
        <v>0.09</v>
      </c>
    </row>
    <row r="193" spans="1:9" x14ac:dyDescent="0.3">
      <c r="A193" s="31" t="s">
        <v>114</v>
      </c>
      <c r="B193" s="30"/>
      <c r="C193" s="30"/>
      <c r="D193" s="30"/>
      <c r="E193" s="30"/>
      <c r="F193" s="30"/>
      <c r="G193" s="30">
        <v>-1.1013929381276322E-2</v>
      </c>
      <c r="H193" s="30"/>
      <c r="I193" s="30">
        <v>0.16</v>
      </c>
    </row>
    <row r="194" spans="1:9" x14ac:dyDescent="0.3">
      <c r="A194" s="31" t="s">
        <v>115</v>
      </c>
      <c r="B194" s="30"/>
      <c r="C194" s="30"/>
      <c r="D194" s="30"/>
      <c r="E194" s="30"/>
      <c r="F194" s="30"/>
      <c r="G194" s="30">
        <v>-6.944444444444442E-2</v>
      </c>
      <c r="H194" s="30"/>
      <c r="I194" s="30">
        <v>0.17</v>
      </c>
    </row>
    <row r="195" spans="1:9" x14ac:dyDescent="0.3">
      <c r="A195" s="33" t="s">
        <v>102</v>
      </c>
      <c r="B195" s="34">
        <v>0.18</v>
      </c>
      <c r="C195" s="34">
        <v>0.23410498858819695</v>
      </c>
      <c r="D195" s="34">
        <v>0.11941875825627468</v>
      </c>
      <c r="E195" s="34">
        <v>0.21170639603493036</v>
      </c>
      <c r="F195" s="34">
        <v>0.20919361121932223</v>
      </c>
      <c r="G195" s="34">
        <v>7.5869845360824639E-2</v>
      </c>
      <c r="H195" s="34"/>
      <c r="I195" s="34">
        <v>-0.13</v>
      </c>
    </row>
    <row r="196" spans="1:9" x14ac:dyDescent="0.3">
      <c r="A196" s="31" t="s">
        <v>113</v>
      </c>
      <c r="B196" s="30"/>
      <c r="C196" s="30"/>
      <c r="D196" s="30"/>
      <c r="E196" s="30"/>
      <c r="F196" s="30"/>
      <c r="G196" s="30">
        <v>8.7517597372125833E-2</v>
      </c>
      <c r="H196" s="30"/>
      <c r="I196" s="30">
        <v>-0.1</v>
      </c>
    </row>
    <row r="197" spans="1:9" x14ac:dyDescent="0.3">
      <c r="A197" s="31" t="s">
        <v>114</v>
      </c>
      <c r="B197" s="30"/>
      <c r="C197" s="30"/>
      <c r="D197" s="30"/>
      <c r="E197" s="30"/>
      <c r="F197" s="30"/>
      <c r="G197" s="30">
        <v>4.8672566371681381E-2</v>
      </c>
      <c r="H197" s="30"/>
      <c r="I197" s="30">
        <v>-0.21</v>
      </c>
    </row>
    <row r="198" spans="1:9" x14ac:dyDescent="0.3">
      <c r="A198" s="31" t="s">
        <v>115</v>
      </c>
      <c r="B198" s="30"/>
      <c r="C198" s="30"/>
      <c r="D198" s="30"/>
      <c r="E198" s="30"/>
      <c r="F198" s="30"/>
      <c r="G198" s="30">
        <v>7.2463768115942129E-2</v>
      </c>
      <c r="H198" s="30"/>
      <c r="I198" s="30">
        <v>-0.06</v>
      </c>
    </row>
    <row r="199" spans="1:9" x14ac:dyDescent="0.3">
      <c r="A199" s="33" t="s">
        <v>106</v>
      </c>
      <c r="B199" s="34">
        <v>-1.5E-3</v>
      </c>
      <c r="C199" s="34">
        <v>-1.783795400816679E-2</v>
      </c>
      <c r="D199" s="34">
        <v>9.6061269146608286E-2</v>
      </c>
      <c r="E199" s="34">
        <v>3.1343581553204158E-2</v>
      </c>
      <c r="F199" s="34">
        <v>1.7034456058846237E-2</v>
      </c>
      <c r="G199" s="34">
        <v>-4.3014845831747195E-2</v>
      </c>
      <c r="H199" s="34"/>
      <c r="I199" s="34">
        <v>0.16</v>
      </c>
    </row>
    <row r="200" spans="1:9" x14ac:dyDescent="0.3">
      <c r="A200" s="31" t="s">
        <v>113</v>
      </c>
      <c r="B200" s="30"/>
      <c r="C200" s="30"/>
      <c r="D200" s="30"/>
      <c r="E200" s="30"/>
      <c r="F200" s="30"/>
      <c r="G200" s="30">
        <v>-4.7763666482606326E-2</v>
      </c>
      <c r="H200" s="30"/>
      <c r="I200" s="30">
        <v>0.17</v>
      </c>
    </row>
    <row r="201" spans="1:9" x14ac:dyDescent="0.3">
      <c r="A201" s="31" t="s">
        <v>114</v>
      </c>
      <c r="B201" s="30"/>
      <c r="C201" s="30"/>
      <c r="D201" s="30"/>
      <c r="E201" s="30"/>
      <c r="F201" s="30"/>
      <c r="G201" s="30">
        <v>-2.1505376344086002E-2</v>
      </c>
      <c r="H201" s="30"/>
      <c r="I201" s="30">
        <v>0.12</v>
      </c>
    </row>
    <row r="202" spans="1:9" x14ac:dyDescent="0.3">
      <c r="A202" s="31" t="s">
        <v>115</v>
      </c>
      <c r="B202" s="30"/>
      <c r="C202" s="30"/>
      <c r="D202" s="30"/>
      <c r="E202" s="30"/>
      <c r="F202" s="30"/>
      <c r="G202" s="30">
        <v>-9.7046413502109741E-2</v>
      </c>
      <c r="H202" s="30"/>
      <c r="I202" s="30">
        <v>0.28000000000000003</v>
      </c>
    </row>
    <row r="203" spans="1:9" x14ac:dyDescent="0.3">
      <c r="A203" s="33" t="s">
        <v>107</v>
      </c>
      <c r="B203" s="34">
        <v>-0.08</v>
      </c>
      <c r="C203" s="34">
        <v>-0.36521739130434783</v>
      </c>
      <c r="D203" s="34">
        <v>0</v>
      </c>
      <c r="E203" s="34">
        <v>0.20547945205479445</v>
      </c>
      <c r="F203" s="34">
        <v>-0.52272727272727271</v>
      </c>
      <c r="G203" s="34">
        <v>-0.2857142857142857</v>
      </c>
      <c r="H203" s="34"/>
      <c r="I203" s="34">
        <v>3.02</v>
      </c>
    </row>
    <row r="204" spans="1:9" x14ac:dyDescent="0.3">
      <c r="A204" s="35" t="s">
        <v>103</v>
      </c>
      <c r="B204" s="37">
        <v>0.1</v>
      </c>
      <c r="C204" s="37">
        <v>6.2924636772237807E-2</v>
      </c>
      <c r="D204" s="37">
        <v>5.6577179008096445E-2</v>
      </c>
      <c r="E204" s="37">
        <v>6.9866286104303121E-2</v>
      </c>
      <c r="F204" s="37">
        <v>7.9251848629839028E-2</v>
      </c>
      <c r="G204" s="37">
        <v>-4.4333387070772168E-2</v>
      </c>
      <c r="H204" s="37"/>
      <c r="I204" s="37">
        <v>0.06</v>
      </c>
    </row>
    <row r="205" spans="1:9" x14ac:dyDescent="0.3">
      <c r="A205" s="33" t="s">
        <v>104</v>
      </c>
      <c r="B205" s="34">
        <v>0.18</v>
      </c>
      <c r="C205" s="34">
        <v>-1.3622603430877955E-2</v>
      </c>
      <c r="D205" s="34">
        <v>4.4501278772378416E-2</v>
      </c>
      <c r="E205" s="34">
        <v>-6.3663075416258597E-2</v>
      </c>
      <c r="F205" s="34">
        <v>-3.1380753138074979E-3</v>
      </c>
      <c r="G205" s="34">
        <v>-3.147953830010497E-2</v>
      </c>
      <c r="H205" s="34"/>
      <c r="I205" s="34">
        <v>7.0000000000000007E-2</v>
      </c>
    </row>
    <row r="206" spans="1:9" x14ac:dyDescent="0.3">
      <c r="A206" s="31" t="s">
        <v>113</v>
      </c>
      <c r="B206" s="30"/>
      <c r="C206" s="30"/>
      <c r="D206" s="30"/>
      <c r="E206" s="30"/>
      <c r="F206" s="30"/>
      <c r="G206" s="30">
        <v>-1.0066344993968637</v>
      </c>
      <c r="H206" s="30"/>
      <c r="I206" s="30">
        <v>0.06</v>
      </c>
    </row>
    <row r="207" spans="1:9" x14ac:dyDescent="0.3">
      <c r="A207" s="31" t="s">
        <v>114</v>
      </c>
      <c r="B207" s="30"/>
      <c r="C207" s="30"/>
      <c r="D207" s="30"/>
      <c r="E207" s="30"/>
      <c r="F207" s="30"/>
      <c r="G207" s="30">
        <v>-1</v>
      </c>
      <c r="H207" s="30"/>
      <c r="I207" s="30">
        <v>-0.03</v>
      </c>
    </row>
    <row r="208" spans="1:9" x14ac:dyDescent="0.3">
      <c r="A208" s="31" t="s">
        <v>115</v>
      </c>
      <c r="B208" s="30"/>
      <c r="C208" s="30"/>
      <c r="D208" s="30"/>
      <c r="E208" s="30"/>
      <c r="F208" s="30"/>
      <c r="G208" s="30">
        <v>-1</v>
      </c>
      <c r="H208" s="30"/>
      <c r="I208" s="30">
        <v>-0.16</v>
      </c>
    </row>
    <row r="209" spans="1:9" x14ac:dyDescent="0.3">
      <c r="A209" s="31" t="s">
        <v>121</v>
      </c>
      <c r="B209" s="30"/>
      <c r="C209" s="30"/>
      <c r="D209" s="30"/>
      <c r="E209" s="30"/>
      <c r="F209" s="30"/>
      <c r="G209" s="30">
        <v>-1</v>
      </c>
      <c r="H209" s="30"/>
      <c r="I209" s="30">
        <v>0.42</v>
      </c>
    </row>
    <row r="210" spans="1:9" x14ac:dyDescent="0.3">
      <c r="A210" s="29" t="s">
        <v>108</v>
      </c>
      <c r="B210" s="30"/>
      <c r="C210" s="30">
        <v>4.8780487804878092E-2</v>
      </c>
      <c r="D210" s="30">
        <v>-1.8720930232558139</v>
      </c>
      <c r="E210" s="30">
        <v>-1</v>
      </c>
      <c r="F210" s="30">
        <v>-4.3817266150267153E-2</v>
      </c>
      <c r="G210" s="30">
        <v>-1</v>
      </c>
      <c r="H210" s="30"/>
      <c r="I210" s="30">
        <v>0</v>
      </c>
    </row>
    <row r="211" spans="1:9" ht="15" thickBot="1" x14ac:dyDescent="0.35">
      <c r="A211" s="32" t="s">
        <v>105</v>
      </c>
      <c r="B211" s="36">
        <v>0.1</v>
      </c>
      <c r="C211" s="36">
        <v>0.06</v>
      </c>
      <c r="D211" s="36">
        <v>0.06</v>
      </c>
      <c r="E211" s="36">
        <v>0.06</v>
      </c>
      <c r="F211" s="36">
        <v>7.0000000000000007E-2</v>
      </c>
      <c r="G211" s="36">
        <v>-0.04</v>
      </c>
      <c r="H211" s="36">
        <v>0.19</v>
      </c>
      <c r="I211" s="36">
        <v>0.06</v>
      </c>
    </row>
    <row r="212" spans="1:9" ht="15" thickTop="1" x14ac:dyDescent="0.3"/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38A18-8459-4E47-805C-1CAFEF409D37}">
  <dimension ref="A1:O214"/>
  <sheetViews>
    <sheetView workbookViewId="0">
      <selection sqref="A1:XFD1048576"/>
    </sheetView>
  </sheetViews>
  <sheetFormatPr defaultRowHeight="14.4" x14ac:dyDescent="0.3"/>
  <cols>
    <col min="1" max="1" width="48.77734375" customWidth="1"/>
    <col min="2" max="8" width="11.77734375" customWidth="1"/>
    <col min="9" max="9" width="13" bestFit="1" customWidth="1"/>
    <col min="10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ht="15" thickBot="1" x14ac:dyDescent="0.35">
      <c r="A3" s="41" t="s">
        <v>139</v>
      </c>
      <c r="B3" s="7">
        <v>30601</v>
      </c>
      <c r="C3" s="7">
        <v>32376</v>
      </c>
      <c r="D3" s="7">
        <v>34350</v>
      </c>
      <c r="E3" s="7">
        <v>36397</v>
      </c>
      <c r="F3" s="7">
        <v>39117</v>
      </c>
      <c r="G3" s="7">
        <v>37403</v>
      </c>
      <c r="H3" s="7">
        <v>44538</v>
      </c>
      <c r="I3" s="7">
        <v>46710</v>
      </c>
      <c r="J3" s="75">
        <f>J21+J52+J83+J113+J143+J167</f>
        <v>50704.500599999992</v>
      </c>
      <c r="K3" s="75">
        <f t="shared" ref="K3:L3" si="2">K21+K52+K83+K113+K143+K167</f>
        <v>54981.754454679998</v>
      </c>
      <c r="L3" s="75">
        <f t="shared" si="2"/>
        <v>59707.020591682107</v>
      </c>
      <c r="M3" s="75">
        <f>M21+M52+M83+M113+M143+M167</f>
        <v>64934.971697428249</v>
      </c>
      <c r="N3" s="75">
        <f>N21+N52+N83+N113+N143+N167</f>
        <v>70727.592759607956</v>
      </c>
      <c r="O3" t="s">
        <v>142</v>
      </c>
    </row>
    <row r="4" spans="1:15" ht="15" thickTop="1" x14ac:dyDescent="0.3">
      <c r="A4" s="42" t="s">
        <v>129</v>
      </c>
      <c r="B4" s="66"/>
      <c r="C4" s="66">
        <f>C3/B3-1</f>
        <v>5.8004640371229765E-2</v>
      </c>
      <c r="D4" s="66">
        <f t="shared" ref="D4:N4" si="3">D3/C3-1</f>
        <v>6.0971089696071123E-2</v>
      </c>
      <c r="E4" s="66">
        <f t="shared" si="3"/>
        <v>5.95924308588065E-2</v>
      </c>
      <c r="F4" s="66">
        <f t="shared" si="3"/>
        <v>7.4731433909388079E-2</v>
      </c>
      <c r="G4" s="66">
        <f t="shared" si="3"/>
        <v>-4.3817266150267153E-2</v>
      </c>
      <c r="H4" s="66">
        <f t="shared" si="3"/>
        <v>0.19076009945726269</v>
      </c>
      <c r="I4" s="66">
        <f t="shared" si="3"/>
        <v>4.8767344739323759E-2</v>
      </c>
      <c r="J4" s="66">
        <f t="shared" si="3"/>
        <v>8.5517032755298539E-2</v>
      </c>
      <c r="K4" s="66">
        <f t="shared" si="3"/>
        <v>8.4356493093632912E-2</v>
      </c>
      <c r="L4" s="66">
        <f t="shared" si="3"/>
        <v>8.5942440067041215E-2</v>
      </c>
      <c r="M4" s="66">
        <f t="shared" si="3"/>
        <v>8.7560073404072236E-2</v>
      </c>
      <c r="N4" s="66">
        <f t="shared" si="3"/>
        <v>8.9206492445566443E-2</v>
      </c>
    </row>
    <row r="5" spans="1:15" x14ac:dyDescent="0.3">
      <c r="A5" s="41" t="s">
        <v>130</v>
      </c>
      <c r="B5" s="63">
        <f>B17+B8</f>
        <v>4839</v>
      </c>
      <c r="C5" s="63">
        <f>C17+C8</f>
        <v>5291</v>
      </c>
      <c r="D5" s="63">
        <f>D17+D8</f>
        <v>5651</v>
      </c>
      <c r="E5" s="63">
        <f t="shared" ref="E5:G5" si="4">E17+E8</f>
        <v>5126</v>
      </c>
      <c r="F5" s="63">
        <f>F17+F8</f>
        <v>5505</v>
      </c>
      <c r="G5" s="63">
        <f t="shared" si="4"/>
        <v>3697</v>
      </c>
      <c r="H5" s="63">
        <f>H35+H66+H97+H127+H146+H196</f>
        <v>5909</v>
      </c>
      <c r="I5" s="63">
        <f>I35+I66+I97+I127+I146+I196</f>
        <v>4979</v>
      </c>
      <c r="J5" s="63">
        <v>6977</v>
      </c>
      <c r="K5" s="63">
        <f t="shared" ref="K5" si="5">K35+K66+K97+K127+K146+K196</f>
        <v>7513.1465560000015</v>
      </c>
      <c r="L5" s="63">
        <f>L35+L66+L97+L127+L146+L196</f>
        <v>8169.3194214029991</v>
      </c>
      <c r="M5" s="63">
        <f>M35+M66+M97+M127+M146+M196</f>
        <v>8853.0749543905549</v>
      </c>
      <c r="N5" s="63">
        <f>N35+N66+N97+N127+N146+N196</f>
        <v>9577.9366824109566</v>
      </c>
      <c r="O5" t="s">
        <v>143</v>
      </c>
    </row>
    <row r="6" spans="1:15" x14ac:dyDescent="0.3">
      <c r="A6" s="42" t="s">
        <v>129</v>
      </c>
      <c r="B6" s="47"/>
      <c r="C6" s="47">
        <v>9.3407728869601137E-2</v>
      </c>
      <c r="D6" s="47">
        <v>6.8040068040068125E-2</v>
      </c>
      <c r="E6" s="47">
        <v>-9.2903910812245583E-2</v>
      </c>
      <c r="F6" s="47">
        <v>8.7202497073741725E-2</v>
      </c>
      <c r="G6" s="47">
        <v>-0.33662300376816801</v>
      </c>
      <c r="H6" s="47">
        <v>1.0738436570192049</v>
      </c>
      <c r="I6" s="47">
        <v>-1.2260336507108338E-2</v>
      </c>
      <c r="J6" s="47">
        <v>0.12999999999999989</v>
      </c>
      <c r="K6" s="47">
        <v>0.12999999999999989</v>
      </c>
      <c r="L6" s="47">
        <v>0.12999999999999989</v>
      </c>
      <c r="M6" s="47">
        <v>0.12999999999999989</v>
      </c>
      <c r="N6" s="47">
        <v>0.12999999999999989</v>
      </c>
    </row>
    <row r="7" spans="1:15" x14ac:dyDescent="0.3">
      <c r="A7" s="42" t="s">
        <v>131</v>
      </c>
      <c r="B7" s="47">
        <v>0.15813208718669325</v>
      </c>
      <c r="C7" s="47">
        <v>0.16342352359772672</v>
      </c>
      <c r="D7" s="47">
        <v>0.16451237263464338</v>
      </c>
      <c r="E7" s="47">
        <v>0.14083578316894249</v>
      </c>
      <c r="F7" s="47">
        <v>0.14247002581997598</v>
      </c>
      <c r="G7" s="47">
        <v>9.8842338849824879E-2</v>
      </c>
      <c r="H7" s="47">
        <v>0.17214513449189456</v>
      </c>
      <c r="I7" s="47">
        <v>0.16212802397773496</v>
      </c>
      <c r="J7" s="47">
        <v>0.1728345915989061</v>
      </c>
      <c r="K7" s="47">
        <v>0.18424819670449422</v>
      </c>
      <c r="L7" s="47">
        <v>0.1964155304491306</v>
      </c>
      <c r="M7" s="47">
        <v>0.20938636736558261</v>
      </c>
      <c r="N7" s="47">
        <v>0.22321376898406445</v>
      </c>
    </row>
    <row r="8" spans="1:15" x14ac:dyDescent="0.3">
      <c r="A8" s="41" t="s">
        <v>134</v>
      </c>
      <c r="B8" s="63">
        <v>4233</v>
      </c>
      <c r="C8" s="63">
        <v>4642</v>
      </c>
      <c r="D8" s="63">
        <v>4945</v>
      </c>
      <c r="E8" s="63">
        <v>4379</v>
      </c>
      <c r="F8" s="63">
        <v>4850</v>
      </c>
      <c r="G8" s="63">
        <v>2976</v>
      </c>
      <c r="H8" s="63">
        <v>5165</v>
      </c>
      <c r="I8" s="63">
        <v>4262</v>
      </c>
      <c r="J8" s="63">
        <v>6238.0123333333304</v>
      </c>
      <c r="K8" s="63">
        <v>6752.4812560000018</v>
      </c>
      <c r="L8" s="63">
        <v>7385.8303813369994</v>
      </c>
      <c r="M8" s="63">
        <v>8046.0897994096349</v>
      </c>
      <c r="N8" s="63">
        <v>8746.7371599465969</v>
      </c>
      <c r="O8" t="s">
        <v>144</v>
      </c>
    </row>
    <row r="9" spans="1:15" x14ac:dyDescent="0.3">
      <c r="A9" s="42" t="s">
        <v>129</v>
      </c>
      <c r="B9" s="47"/>
      <c r="C9" s="47">
        <v>9.6621781242617555E-2</v>
      </c>
      <c r="D9" s="47">
        <v>6.5273588970271357E-2</v>
      </c>
      <c r="E9" s="47">
        <v>-0.11445904954499497</v>
      </c>
      <c r="F9" s="47">
        <v>0.10755880337976698</v>
      </c>
      <c r="G9" s="47">
        <v>-0.38639175257731961</v>
      </c>
      <c r="H9" s="47">
        <v>1.32627688172043</v>
      </c>
      <c r="I9" s="47">
        <v>-9.67788530983682E-3</v>
      </c>
      <c r="J9" s="47">
        <v>0.14045799299883299</v>
      </c>
      <c r="K9" s="47">
        <v>0.1394450938613474</v>
      </c>
      <c r="L9" s="47">
        <v>0.13853788105245179</v>
      </c>
      <c r="M9" s="47">
        <v>0.13772395686641214</v>
      </c>
      <c r="N9" s="47">
        <v>0.13699262375938392</v>
      </c>
    </row>
    <row r="10" spans="1:15" x14ac:dyDescent="0.3">
      <c r="A10" s="42" t="s">
        <v>131</v>
      </c>
      <c r="B10" s="47">
        <v>1.9803274402797295E-2</v>
      </c>
      <c r="C10" s="47">
        <v>0.14337781072399308</v>
      </c>
      <c r="D10" s="47">
        <v>0.14395924308588065</v>
      </c>
      <c r="E10" s="47">
        <v>0.12031211363573921</v>
      </c>
      <c r="F10" s="47">
        <v>0.12398701331901731</v>
      </c>
      <c r="G10" s="47">
        <v>7.9565810229126011E-2</v>
      </c>
      <c r="H10" s="47">
        <v>0.1554402981723472</v>
      </c>
      <c r="I10" s="47">
        <v>0.14677799186469706</v>
      </c>
      <c r="J10" s="47">
        <v>0.15791899435699194</v>
      </c>
      <c r="K10" s="47">
        <v>0.16975473900716251</v>
      </c>
      <c r="L10" s="47">
        <v>0.18233226495078</v>
      </c>
      <c r="M10" s="47">
        <v>0.19570168485303438</v>
      </c>
      <c r="N10" s="47">
        <v>0.20991638880677702</v>
      </c>
    </row>
    <row r="11" spans="1:15" x14ac:dyDescent="0.3">
      <c r="A11" s="41" t="s">
        <v>135</v>
      </c>
      <c r="B11" s="63">
        <v>1003</v>
      </c>
      <c r="C11" s="63">
        <v>1191</v>
      </c>
      <c r="D11" s="63">
        <v>1201</v>
      </c>
      <c r="E11" s="63">
        <v>1194</v>
      </c>
      <c r="F11" s="63">
        <v>1075</v>
      </c>
      <c r="G11" s="63">
        <v>1124</v>
      </c>
      <c r="H11" s="63">
        <v>695</v>
      </c>
      <c r="I11" s="63">
        <v>758</v>
      </c>
      <c r="J11" s="63">
        <f>J45+J78+J109+J136+J159+J208</f>
        <v>1875.6680000000001</v>
      </c>
      <c r="K11" s="63">
        <f t="shared" ref="K11:N11" si="6">K45+K78+K109+K136+K159+K208</f>
        <v>2131.285488</v>
      </c>
      <c r="L11" s="63">
        <f t="shared" si="6"/>
        <v>2561.1399155000004</v>
      </c>
      <c r="M11" s="63">
        <f t="shared" si="6"/>
        <v>3353.2525838387046</v>
      </c>
      <c r="N11" s="63">
        <f t="shared" si="6"/>
        <v>4908.9864305227165</v>
      </c>
      <c r="O11" t="s">
        <v>145</v>
      </c>
    </row>
    <row r="12" spans="1:15" x14ac:dyDescent="0.3">
      <c r="A12" s="42" t="s">
        <v>129</v>
      </c>
      <c r="B12" s="47"/>
      <c r="C12" s="47">
        <v>3.6786508524833207E-2</v>
      </c>
      <c r="D12" s="47">
        <v>3.4963609898107713E-2</v>
      </c>
      <c r="E12" s="47">
        <v>3.2804901502871117E-2</v>
      </c>
      <c r="F12" s="47">
        <v>2.7481657591328579E-2</v>
      </c>
      <c r="G12" s="47">
        <v>3.0051065422559687E-2</v>
      </c>
      <c r="H12" s="47">
        <v>1.5604652207104046E-2</v>
      </c>
      <c r="I12" s="47">
        <v>1.6227788482123744E-2</v>
      </c>
      <c r="J12" s="47">
        <v>1.5768511449610806E-2</v>
      </c>
      <c r="K12" s="47">
        <v>1.5322232823678422E-2</v>
      </c>
      <c r="L12" s="47">
        <v>1.4888584724895071E-2</v>
      </c>
      <c r="M12" s="47">
        <v>1.4467209685511248E-2</v>
      </c>
      <c r="N12" s="47">
        <v>1.405776035478923E-2</v>
      </c>
    </row>
    <row r="13" spans="1:15" x14ac:dyDescent="0.3">
      <c r="A13" s="42" t="s">
        <v>133</v>
      </c>
      <c r="B13" s="47">
        <v>3.2776706643573739E-2</v>
      </c>
      <c r="C13" s="47">
        <v>3.6786508524833207E-2</v>
      </c>
      <c r="D13" s="47">
        <v>3.4963609898107713E-2</v>
      </c>
      <c r="E13" s="47">
        <v>3.2804901502871117E-2</v>
      </c>
      <c r="F13" s="47">
        <v>2.7481657591328579E-2</v>
      </c>
      <c r="G13" s="47">
        <v>3.0051065422559687E-2</v>
      </c>
      <c r="H13" s="47">
        <v>1.5604652207104046E-2</v>
      </c>
      <c r="I13" s="47">
        <v>1.6227788482123744E-2</v>
      </c>
      <c r="J13" s="47">
        <v>1.5768511449610806E-2</v>
      </c>
      <c r="K13" s="47">
        <v>1.5322232823678422E-2</v>
      </c>
      <c r="L13" s="47">
        <v>1.4888584724895071E-2</v>
      </c>
      <c r="M13" s="47">
        <v>1.4467209685511248E-2</v>
      </c>
      <c r="N13" s="47">
        <v>1.405776035478923E-2</v>
      </c>
    </row>
    <row r="14" spans="1:15" x14ac:dyDescent="0.3">
      <c r="A14" s="9" t="s">
        <v>209</v>
      </c>
      <c r="B14" s="76">
        <v>3011</v>
      </c>
      <c r="C14" s="77">
        <v>3989</v>
      </c>
      <c r="D14" s="77">
        <v>3520</v>
      </c>
      <c r="E14" s="76">
        <v>4744</v>
      </c>
      <c r="F14" s="76">
        <v>4454</v>
      </c>
      <c r="G14" s="76">
        <v>4866</v>
      </c>
      <c r="H14" s="76">
        <v>4904</v>
      </c>
      <c r="I14" s="76">
        <v>4791</v>
      </c>
      <c r="J14" s="76">
        <f>J48+J78+J109+J139+J163+J212</f>
        <v>5246.8809999999994</v>
      </c>
      <c r="K14" s="76">
        <f t="shared" ref="K14:N14" si="7">K48+K78+K109+K139+K163+K212</f>
        <v>5761.5771129999994</v>
      </c>
      <c r="L14" s="76">
        <f t="shared" si="7"/>
        <v>6342.9036190930001</v>
      </c>
      <c r="M14" s="76">
        <f t="shared" si="7"/>
        <v>6999.7434610288337</v>
      </c>
      <c r="N14" s="76">
        <f t="shared" si="7"/>
        <v>7742.1957849119517</v>
      </c>
      <c r="O14" t="s">
        <v>146</v>
      </c>
    </row>
    <row r="15" spans="1:15" x14ac:dyDescent="0.3">
      <c r="A15" s="42" t="s">
        <v>129</v>
      </c>
      <c r="B15" s="47" t="str">
        <f t="shared" ref="B15:H15" si="8">+IFERROR(B14/A14-1,"nm")</f>
        <v>nm</v>
      </c>
      <c r="C15" s="47">
        <f t="shared" si="8"/>
        <v>0.3248090335436733</v>
      </c>
      <c r="D15" s="47">
        <f t="shared" si="8"/>
        <v>-0.11757332664828279</v>
      </c>
      <c r="E15" s="47">
        <f t="shared" si="8"/>
        <v>0.34772727272727266</v>
      </c>
      <c r="F15" s="47">
        <f t="shared" si="8"/>
        <v>-6.112984822934231E-2</v>
      </c>
      <c r="G15" s="47">
        <f t="shared" si="8"/>
        <v>9.2501122586439166E-2</v>
      </c>
      <c r="H15" s="47">
        <f t="shared" si="8"/>
        <v>7.8092889436909285E-3</v>
      </c>
      <c r="I15" s="47">
        <f>+IFERROR(I14/H14-1,"nm")</f>
        <v>-2.3042414355628038E-2</v>
      </c>
      <c r="J15" s="47">
        <f t="shared" ref="J15:N15" si="9">+IFERROR(J14/I14-1,"nm")</f>
        <v>9.5153621373408326E-2</v>
      </c>
      <c r="K15" s="47">
        <f t="shared" si="9"/>
        <v>9.8095633005589322E-2</v>
      </c>
      <c r="L15" s="47">
        <f t="shared" si="9"/>
        <v>0.10089711457325423</v>
      </c>
      <c r="M15" s="47">
        <f t="shared" si="9"/>
        <v>0.10355507215317861</v>
      </c>
      <c r="N15" s="47">
        <f t="shared" si="9"/>
        <v>0.10606850494117848</v>
      </c>
    </row>
    <row r="16" spans="1:15" x14ac:dyDescent="0.3">
      <c r="A16" s="42" t="s">
        <v>133</v>
      </c>
      <c r="B16" s="47">
        <f>+IFERROR(B14/B$3,"nm")</f>
        <v>9.8395477271984569E-2</v>
      </c>
      <c r="C16" s="47">
        <f t="shared" ref="C16:N16" si="10">+IFERROR(C14/C$3,"nm")</f>
        <v>0.12320854954287126</v>
      </c>
      <c r="D16" s="47">
        <f t="shared" si="10"/>
        <v>0.1024745269286754</v>
      </c>
      <c r="E16" s="47">
        <f t="shared" si="10"/>
        <v>0.130340412671374</v>
      </c>
      <c r="F16" s="47">
        <f t="shared" si="10"/>
        <v>0.11386353759235116</v>
      </c>
      <c r="G16" s="47">
        <f t="shared" si="10"/>
        <v>0.13009651632222013</v>
      </c>
      <c r="H16" s="47">
        <f t="shared" si="10"/>
        <v>0.11010822219228523</v>
      </c>
      <c r="I16" s="47">
        <f t="shared" si="10"/>
        <v>0.10256904303147078</v>
      </c>
      <c r="J16" s="47">
        <f t="shared" si="10"/>
        <v>0.10347959131659409</v>
      </c>
      <c r="K16" s="47">
        <f t="shared" si="10"/>
        <v>0.1047907104846775</v>
      </c>
      <c r="L16" s="47">
        <f t="shared" si="10"/>
        <v>0.10623379891068692</v>
      </c>
      <c r="M16" s="47">
        <f t="shared" si="10"/>
        <v>0.10779620408005905</v>
      </c>
      <c r="N16" s="47">
        <f t="shared" si="10"/>
        <v>0.10946499778702304</v>
      </c>
    </row>
    <row r="17" spans="1:14" ht="15" thickBot="1" x14ac:dyDescent="0.35">
      <c r="A17" s="41" t="s">
        <v>132</v>
      </c>
      <c r="B17" s="7">
        <v>606</v>
      </c>
      <c r="C17" s="7">
        <v>649</v>
      </c>
      <c r="D17" s="7">
        <v>706</v>
      </c>
      <c r="E17" s="7">
        <v>747</v>
      </c>
      <c r="F17" s="7">
        <f>F38+F69+F130+F151+F200</f>
        <v>655</v>
      </c>
      <c r="G17" s="7">
        <v>721</v>
      </c>
      <c r="H17" s="7">
        <v>744</v>
      </c>
      <c r="I17" s="7">
        <v>717</v>
      </c>
      <c r="J17" s="68">
        <v>739</v>
      </c>
      <c r="K17" s="68">
        <v>761</v>
      </c>
      <c r="L17" s="68">
        <v>783</v>
      </c>
      <c r="M17" s="68">
        <v>807</v>
      </c>
      <c r="N17" s="68">
        <v>831</v>
      </c>
    </row>
    <row r="18" spans="1:14" ht="15" thickTop="1" x14ac:dyDescent="0.3">
      <c r="A18" s="42" t="s">
        <v>129</v>
      </c>
      <c r="C18" s="66">
        <v>7.0957095709570872E-2</v>
      </c>
      <c r="D18" s="66">
        <v>8.7827426810477727E-2</v>
      </c>
      <c r="E18" s="66">
        <v>5.8073654390934815E-2</v>
      </c>
      <c r="F18" s="66">
        <v>-5.6224899598393607E-2</v>
      </c>
      <c r="G18" s="66">
        <v>2.2695035460992941E-2</v>
      </c>
      <c r="H18" s="66">
        <v>3.1900138696255187E-2</v>
      </c>
      <c r="I18" s="66">
        <v>-3.6290322580645129E-2</v>
      </c>
      <c r="J18" s="66">
        <v>3.0000000000000027E-2</v>
      </c>
      <c r="K18" s="66">
        <v>3.0000000000000027E-2</v>
      </c>
      <c r="L18" s="66">
        <v>3.0000000000000027E-2</v>
      </c>
      <c r="M18" s="66">
        <v>3.0000000000000027E-2</v>
      </c>
      <c r="N18" s="66">
        <v>3.0000000000000027E-2</v>
      </c>
    </row>
    <row r="19" spans="1:14" x14ac:dyDescent="0.3">
      <c r="A19" s="42" t="s">
        <v>133</v>
      </c>
      <c r="B19" s="65">
        <v>1.9803274402797295E-2</v>
      </c>
      <c r="C19" s="65">
        <v>2.0045712873733631E-2</v>
      </c>
      <c r="D19" s="65">
        <v>2.0553129548762736E-2</v>
      </c>
      <c r="E19" s="65">
        <v>2.0523669533203285E-2</v>
      </c>
      <c r="F19" s="65">
        <v>1.8022854513382928E-2</v>
      </c>
      <c r="G19" s="65">
        <v>1.9276528620698875E-2</v>
      </c>
      <c r="H19" s="65">
        <v>1.6704836319547355E-2</v>
      </c>
      <c r="I19" s="65">
        <v>1.5350032113037893E-2</v>
      </c>
      <c r="J19" s="65">
        <v>1.4915597241914177E-2</v>
      </c>
      <c r="K19" s="65">
        <v>1.4493457697331701E-2</v>
      </c>
      <c r="L19" s="65">
        <v>1.4083265498350615E-2</v>
      </c>
      <c r="M19" s="78">
        <v>1.368468251254824E-2</v>
      </c>
      <c r="N19" s="78">
        <v>1.3297380177287439E-2</v>
      </c>
    </row>
    <row r="20" spans="1:14" x14ac:dyDescent="0.3">
      <c r="A20" s="43" t="str">
        <f>+[1]Historicals!A115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4" ht="15" thickBot="1" x14ac:dyDescent="0.35">
      <c r="A21" s="9" t="s">
        <v>136</v>
      </c>
      <c r="B21" s="9">
        <f>+[1]Historicals!B115</f>
        <v>13740</v>
      </c>
      <c r="C21" s="9">
        <f>+[1]Historicals!C115</f>
        <v>14764</v>
      </c>
      <c r="D21" s="9">
        <f>+[1]Historicals!D115</f>
        <v>15216</v>
      </c>
      <c r="E21" s="9">
        <f>+[1]Historicals!E115</f>
        <v>14855</v>
      </c>
      <c r="F21" s="9">
        <f>+[1]Historicals!F115</f>
        <v>15902</v>
      </c>
      <c r="G21" s="9">
        <f>+[1]Historicals!G115</f>
        <v>14484</v>
      </c>
      <c r="H21" s="9">
        <f>+[1]Historicals!H115</f>
        <v>17179</v>
      </c>
      <c r="I21" s="9">
        <f>+[1]Historicals!I115</f>
        <v>18353</v>
      </c>
      <c r="J21" s="75">
        <f>J23+J27+J31</f>
        <v>19660.999</v>
      </c>
      <c r="K21" s="75">
        <f>K23+K27+K31</f>
        <v>21063.814841000003</v>
      </c>
      <c r="L21" s="75">
        <f t="shared" ref="L21:M21" si="11">L23+L27+L31</f>
        <v>22568.429595007001</v>
      </c>
      <c r="M21" s="75">
        <f t="shared" si="11"/>
        <v>24182.34699515779</v>
      </c>
      <c r="N21" s="75">
        <f>N23+N27+N31</f>
        <v>25913.631942867934</v>
      </c>
    </row>
    <row r="22" spans="1:14" ht="15" thickTop="1" x14ac:dyDescent="0.3">
      <c r="A22" s="44" t="s">
        <v>129</v>
      </c>
      <c r="B22" s="47" t="str">
        <f t="shared" ref="B22:H22" si="12">+IFERROR(B21/A21-1,"nm")</f>
        <v>nm</v>
      </c>
      <c r="C22" s="47">
        <f t="shared" si="12"/>
        <v>7.4526928675400228E-2</v>
      </c>
      <c r="D22" s="47">
        <f t="shared" si="12"/>
        <v>3.0615009482525046E-2</v>
      </c>
      <c r="E22" s="47">
        <f t="shared" si="12"/>
        <v>-2.372502628811779E-2</v>
      </c>
      <c r="F22" s="47">
        <f t="shared" si="12"/>
        <v>7.0481319421070276E-2</v>
      </c>
      <c r="G22" s="47">
        <f t="shared" si="12"/>
        <v>-8.9171173437303519E-2</v>
      </c>
      <c r="H22" s="47">
        <f t="shared" si="12"/>
        <v>0.18606738470035911</v>
      </c>
      <c r="I22" s="47">
        <f>+IFERROR(I21/H21-1,"nm")</f>
        <v>6.8339251411607238E-2</v>
      </c>
      <c r="J22" s="47">
        <f t="shared" ref="J22:N22" si="13">+IFERROR(J21/I21-1,"nm")</f>
        <v>7.1268947855936293E-2</v>
      </c>
      <c r="K22" s="47">
        <f t="shared" si="13"/>
        <v>7.1350181188656991E-2</v>
      </c>
      <c r="L22" s="47">
        <f t="shared" si="13"/>
        <v>7.1431256178644098E-2</v>
      </c>
      <c r="M22" s="47">
        <f t="shared" si="13"/>
        <v>7.1512171166213889E-2</v>
      </c>
      <c r="N22" s="47">
        <f t="shared" si="13"/>
        <v>7.1592924708954619E-2</v>
      </c>
    </row>
    <row r="23" spans="1:14" ht="15" thickBot="1" x14ac:dyDescent="0.35">
      <c r="A23" s="45" t="s">
        <v>113</v>
      </c>
      <c r="B23" s="3">
        <f>+[1]Historicals!B116</f>
        <v>0</v>
      </c>
      <c r="C23" s="3">
        <f>+[1]Historicals!C116</f>
        <v>0</v>
      </c>
      <c r="D23" s="3">
        <f>+[1]Historicals!D116</f>
        <v>0</v>
      </c>
      <c r="E23" s="3">
        <f>+[1]Historicals!E116</f>
        <v>0</v>
      </c>
      <c r="F23" s="9">
        <f>+[1]Historicals!F116</f>
        <v>10045</v>
      </c>
      <c r="G23" s="9">
        <f>+[1]Historicals!G116</f>
        <v>9329</v>
      </c>
      <c r="H23" s="9">
        <f>+[1]Historicals!H116</f>
        <v>11644</v>
      </c>
      <c r="I23" s="9">
        <f>+[1]Historicals!I116</f>
        <v>12228</v>
      </c>
      <c r="J23" s="75">
        <f>I23*1.076</f>
        <v>13157.328000000001</v>
      </c>
      <c r="K23" s="75">
        <f t="shared" ref="K23:N23" si="14">J23*1.076</f>
        <v>14157.284928000003</v>
      </c>
      <c r="L23" s="75">
        <f t="shared" si="14"/>
        <v>15233.238582528003</v>
      </c>
      <c r="M23" s="75">
        <f t="shared" si="14"/>
        <v>16390.964714800131</v>
      </c>
      <c r="N23" s="75">
        <f t="shared" si="14"/>
        <v>17636.678033124943</v>
      </c>
    </row>
    <row r="24" spans="1:14" ht="15" thickTop="1" x14ac:dyDescent="0.3">
      <c r="A24" s="44" t="s">
        <v>129</v>
      </c>
      <c r="B24" s="47" t="str">
        <f t="shared" ref="B24:H24" si="15">+IFERROR(B23/A23-1,"nm")</f>
        <v>nm</v>
      </c>
      <c r="C24" s="47" t="str">
        <f t="shared" si="15"/>
        <v>nm</v>
      </c>
      <c r="D24" s="47" t="str">
        <f t="shared" si="15"/>
        <v>nm</v>
      </c>
      <c r="E24" s="47" t="str">
        <f t="shared" si="15"/>
        <v>nm</v>
      </c>
      <c r="F24" s="47" t="str">
        <f t="shared" si="15"/>
        <v>nm</v>
      </c>
      <c r="G24" s="47">
        <f t="shared" si="15"/>
        <v>-7.1279243404678949E-2</v>
      </c>
      <c r="H24" s="47">
        <f t="shared" si="15"/>
        <v>0.24815092721620746</v>
      </c>
      <c r="I24" s="47">
        <f>+IFERROR(I23/H23-1,"nm")</f>
        <v>5.0154586052902683E-2</v>
      </c>
      <c r="J24" s="47">
        <f t="shared" ref="J24:N24" si="16">+IFERROR(J23/I23-1,"nm")</f>
        <v>7.6000000000000068E-2</v>
      </c>
      <c r="K24" s="47">
        <f t="shared" si="16"/>
        <v>7.6000000000000068E-2</v>
      </c>
      <c r="L24" s="47">
        <f t="shared" si="16"/>
        <v>7.6000000000000068E-2</v>
      </c>
      <c r="M24" s="47">
        <f t="shared" si="16"/>
        <v>7.6000000000000068E-2</v>
      </c>
      <c r="N24" s="47">
        <f t="shared" si="16"/>
        <v>7.6000000000000068E-2</v>
      </c>
    </row>
    <row r="25" spans="1:14" x14ac:dyDescent="0.3">
      <c r="A25" s="44" t="s">
        <v>137</v>
      </c>
      <c r="B25" s="47">
        <f>+[1]Historicals!B188</f>
        <v>0</v>
      </c>
      <c r="C25" s="47">
        <f>+[1]Historicals!C188</f>
        <v>0</v>
      </c>
      <c r="D25" s="47">
        <f>+[1]Historicals!D188</f>
        <v>0</v>
      </c>
      <c r="E25" s="47">
        <f>+[1]Historicals!E188</f>
        <v>0</v>
      </c>
      <c r="F25" s="47">
        <f>+[1]Historicals!F188</f>
        <v>0</v>
      </c>
      <c r="G25" s="47">
        <f>+[1]Historicals!G188</f>
        <v>-7.1279243404678949E-2</v>
      </c>
      <c r="H25" s="47">
        <f>+[1]Historicals!H188</f>
        <v>0</v>
      </c>
      <c r="I25" s="47">
        <f>+[1]Historicals!I188</f>
        <v>0.05</v>
      </c>
      <c r="J25" s="47">
        <f>+[2]Historicals!J193</f>
        <v>0</v>
      </c>
      <c r="K25" s="47">
        <f>+[2]Historicals!K193</f>
        <v>0</v>
      </c>
      <c r="L25" s="47">
        <f>+[2]Historicals!L193</f>
        <v>0</v>
      </c>
      <c r="M25" s="47">
        <f>+[2]Historicals!M193</f>
        <v>0</v>
      </c>
      <c r="N25" s="47">
        <f>+[2]Historicals!N193</f>
        <v>0</v>
      </c>
    </row>
    <row r="26" spans="1:14" x14ac:dyDescent="0.3">
      <c r="A26" s="44" t="s">
        <v>138</v>
      </c>
      <c r="B26" s="47" t="str">
        <f t="shared" ref="B26:H26" si="17">+IFERROR(B24-B25,"nm")</f>
        <v>nm</v>
      </c>
      <c r="C26" s="47" t="str">
        <f t="shared" si="17"/>
        <v>nm</v>
      </c>
      <c r="D26" s="47" t="str">
        <f t="shared" si="17"/>
        <v>nm</v>
      </c>
      <c r="E26" s="47" t="str">
        <f t="shared" si="17"/>
        <v>nm</v>
      </c>
      <c r="F26" s="47" t="str">
        <f t="shared" si="17"/>
        <v>nm</v>
      </c>
      <c r="G26" s="47">
        <f t="shared" si="17"/>
        <v>0</v>
      </c>
      <c r="H26" s="47">
        <f t="shared" si="17"/>
        <v>0.24815092721620746</v>
      </c>
      <c r="I26" s="47">
        <f>+IFERROR(I24-I25,"nm")</f>
        <v>1.5458605290268046E-4</v>
      </c>
      <c r="J26" s="47">
        <f t="shared" ref="J26:N26" si="18">+IFERROR(J24-J25,"nm")</f>
        <v>7.6000000000000068E-2</v>
      </c>
      <c r="K26" s="47">
        <f t="shared" si="18"/>
        <v>7.6000000000000068E-2</v>
      </c>
      <c r="L26" s="47">
        <f t="shared" si="18"/>
        <v>7.6000000000000068E-2</v>
      </c>
      <c r="M26" s="47">
        <f t="shared" si="18"/>
        <v>7.6000000000000068E-2</v>
      </c>
      <c r="N26" s="47">
        <f t="shared" si="18"/>
        <v>7.6000000000000068E-2</v>
      </c>
    </row>
    <row r="27" spans="1:14" ht="15" thickBot="1" x14ac:dyDescent="0.35">
      <c r="A27" s="45" t="s">
        <v>114</v>
      </c>
      <c r="B27" s="3">
        <f>+[1]Historicals!B117</f>
        <v>0</v>
      </c>
      <c r="C27" s="3">
        <f>+[1]Historicals!C117</f>
        <v>0</v>
      </c>
      <c r="D27" s="3">
        <f>+[1]Historicals!D117</f>
        <v>0</v>
      </c>
      <c r="E27" s="3">
        <f>+[1]Historicals!E117</f>
        <v>0</v>
      </c>
      <c r="F27" s="9">
        <f>+[1]Historicals!F117</f>
        <v>5260</v>
      </c>
      <c r="G27" s="9">
        <f>+[1]Historicals!G117</f>
        <v>4639</v>
      </c>
      <c r="H27" s="9">
        <f>+[1]Historicals!H117</f>
        <v>5028</v>
      </c>
      <c r="I27" s="9">
        <f>+[1]Historicals!I117</f>
        <v>5492</v>
      </c>
      <c r="J27" s="75">
        <f>I27*1.058</f>
        <v>5810.5360000000001</v>
      </c>
      <c r="K27" s="75">
        <f t="shared" ref="K27:N27" si="19">J27*1.058</f>
        <v>6147.5470880000003</v>
      </c>
      <c r="L27" s="75">
        <f t="shared" si="19"/>
        <v>6504.1048191040009</v>
      </c>
      <c r="M27" s="75">
        <f t="shared" si="19"/>
        <v>6881.3428986120334</v>
      </c>
      <c r="N27" s="75">
        <f t="shared" si="19"/>
        <v>7280.4607867315317</v>
      </c>
    </row>
    <row r="28" spans="1:14" ht="15" thickTop="1" x14ac:dyDescent="0.3">
      <c r="A28" s="44" t="s">
        <v>129</v>
      </c>
      <c r="B28" s="47" t="str">
        <f t="shared" ref="B28:H28" si="20">+IFERROR(B27/A27-1,"nm")</f>
        <v>nm</v>
      </c>
      <c r="C28" s="47" t="str">
        <f t="shared" si="20"/>
        <v>nm</v>
      </c>
      <c r="D28" s="47" t="str">
        <f t="shared" si="20"/>
        <v>nm</v>
      </c>
      <c r="E28" s="47" t="str">
        <f t="shared" si="20"/>
        <v>nm</v>
      </c>
      <c r="F28" s="47" t="str">
        <f t="shared" si="20"/>
        <v>nm</v>
      </c>
      <c r="G28" s="47">
        <f t="shared" si="20"/>
        <v>-0.11806083650190113</v>
      </c>
      <c r="H28" s="47">
        <f t="shared" si="20"/>
        <v>8.3854278939426541E-2</v>
      </c>
      <c r="I28" s="47">
        <f>+IFERROR(I27/H27-1,"nm")</f>
        <v>9.2283214001591007E-2</v>
      </c>
      <c r="J28" s="47">
        <f t="shared" ref="J28:N28" si="21">+IFERROR(J27/I27-1,"nm")</f>
        <v>5.8000000000000052E-2</v>
      </c>
      <c r="K28" s="47">
        <f t="shared" si="21"/>
        <v>5.8000000000000052E-2</v>
      </c>
      <c r="L28" s="47">
        <f t="shared" si="21"/>
        <v>5.8000000000000052E-2</v>
      </c>
      <c r="M28" s="47">
        <f t="shared" si="21"/>
        <v>5.8000000000000052E-2</v>
      </c>
      <c r="N28" s="47">
        <f t="shared" si="21"/>
        <v>5.8000000000000052E-2</v>
      </c>
    </row>
    <row r="29" spans="1:14" x14ac:dyDescent="0.3">
      <c r="A29" s="44" t="s">
        <v>137</v>
      </c>
      <c r="B29" s="47">
        <f>+[1]Historicals!B192</f>
        <v>0</v>
      </c>
      <c r="C29" s="47">
        <f>+[1]Historicals!C192</f>
        <v>0</v>
      </c>
      <c r="D29" s="47">
        <f>+[1]Historicals!D192</f>
        <v>0</v>
      </c>
      <c r="E29" s="47">
        <f>+[1]Historicals!E192</f>
        <v>0</v>
      </c>
      <c r="F29" s="47">
        <f>+[1]Historicals!F192</f>
        <v>0</v>
      </c>
      <c r="G29" s="47">
        <f>+[1]Historicals!G192</f>
        <v>-6.3721595423486432E-2</v>
      </c>
      <c r="H29" s="47">
        <f>+[1]Historicals!H192</f>
        <v>0</v>
      </c>
      <c r="I29" s="47">
        <f>+[1]Historicals!I192</f>
        <v>0.09</v>
      </c>
      <c r="J29" s="47">
        <f>+[2]Historicals!J197</f>
        <v>0</v>
      </c>
      <c r="K29" s="47">
        <f>+[2]Historicals!K197</f>
        <v>0</v>
      </c>
      <c r="L29" s="47">
        <f>+[2]Historicals!L197</f>
        <v>0</v>
      </c>
      <c r="M29" s="47">
        <f>+[2]Historicals!M197</f>
        <v>0</v>
      </c>
      <c r="N29" s="47">
        <f>+[2]Historicals!N197</f>
        <v>0</v>
      </c>
    </row>
    <row r="30" spans="1:14" x14ac:dyDescent="0.3">
      <c r="A30" s="44" t="s">
        <v>138</v>
      </c>
      <c r="B30" s="47" t="str">
        <f t="shared" ref="B30:H30" si="22">+IFERROR(B28-B29,"nm")</f>
        <v>nm</v>
      </c>
      <c r="C30" s="47" t="str">
        <f t="shared" si="22"/>
        <v>nm</v>
      </c>
      <c r="D30" s="47" t="str">
        <f t="shared" si="22"/>
        <v>nm</v>
      </c>
      <c r="E30" s="47" t="str">
        <f t="shared" si="22"/>
        <v>nm</v>
      </c>
      <c r="F30" s="47" t="str">
        <f t="shared" si="22"/>
        <v>nm</v>
      </c>
      <c r="G30" s="47">
        <f t="shared" si="22"/>
        <v>-5.4339241078414702E-2</v>
      </c>
      <c r="H30" s="47">
        <f t="shared" si="22"/>
        <v>8.3854278939426541E-2</v>
      </c>
      <c r="I30" s="47">
        <f>+IFERROR(I28-I29,"nm")</f>
        <v>2.2832140015910107E-3</v>
      </c>
      <c r="J30" s="65">
        <v>-1E-4</v>
      </c>
      <c r="K30" s="65">
        <v>-1E-4</v>
      </c>
      <c r="L30" s="65">
        <v>-1E-4</v>
      </c>
      <c r="M30" s="65">
        <v>-1E-4</v>
      </c>
      <c r="N30" s="65">
        <v>-1E-4</v>
      </c>
    </row>
    <row r="31" spans="1:14" ht="15" thickBot="1" x14ac:dyDescent="0.35">
      <c r="A31" s="45" t="s">
        <v>115</v>
      </c>
      <c r="B31" s="3">
        <f>+[1]Historicals!B118</f>
        <v>0</v>
      </c>
      <c r="C31" s="3">
        <f>+[1]Historicals!C118</f>
        <v>0</v>
      </c>
      <c r="D31" s="3">
        <f>+[1]Historicals!D118</f>
        <v>0</v>
      </c>
      <c r="E31" s="3">
        <f>+[1]Historicals!E118</f>
        <v>0</v>
      </c>
      <c r="F31" s="9">
        <f>+[1]Historicals!F118</f>
        <v>597</v>
      </c>
      <c r="G31" s="9">
        <f>+[1]Historicals!G118</f>
        <v>516</v>
      </c>
      <c r="H31" s="9">
        <f>+[1]Historicals!H118</f>
        <v>507</v>
      </c>
      <c r="I31" s="9">
        <f>+[1]Historicals!I118</f>
        <v>633</v>
      </c>
      <c r="J31" s="75">
        <f>I31*1.095</f>
        <v>693.13499999999999</v>
      </c>
      <c r="K31" s="75">
        <f t="shared" ref="K31:N31" si="23">J31*1.095</f>
        <v>758.98282499999993</v>
      </c>
      <c r="L31" s="75">
        <f t="shared" si="23"/>
        <v>831.08619337499988</v>
      </c>
      <c r="M31" s="75">
        <f t="shared" si="23"/>
        <v>910.03938174562484</v>
      </c>
      <c r="N31" s="75">
        <f t="shared" si="23"/>
        <v>996.49312301145915</v>
      </c>
    </row>
    <row r="32" spans="1:14" ht="15" thickTop="1" x14ac:dyDescent="0.3">
      <c r="A32" s="44" t="s">
        <v>129</v>
      </c>
      <c r="B32" s="47" t="str">
        <f t="shared" ref="B32:H32" si="24">+IFERROR(B31/A31-1,"nm")</f>
        <v>nm</v>
      </c>
      <c r="C32" s="47" t="str">
        <f t="shared" si="24"/>
        <v>nm</v>
      </c>
      <c r="D32" s="47" t="str">
        <f t="shared" si="24"/>
        <v>nm</v>
      </c>
      <c r="E32" s="47" t="str">
        <f t="shared" si="24"/>
        <v>nm</v>
      </c>
      <c r="F32" s="47" t="str">
        <f t="shared" si="24"/>
        <v>nm</v>
      </c>
      <c r="G32" s="47">
        <f t="shared" si="24"/>
        <v>-0.13567839195979903</v>
      </c>
      <c r="H32" s="47">
        <f t="shared" si="24"/>
        <v>-1.744186046511631E-2</v>
      </c>
      <c r="I32" s="47">
        <f>+IFERROR(I31/H31-1,"nm")</f>
        <v>0.24852071005917153</v>
      </c>
      <c r="J32" s="47">
        <f t="shared" ref="J32:N32" si="25">+IFERROR(J31/I31-1,"nm")</f>
        <v>9.4999999999999973E-2</v>
      </c>
      <c r="K32" s="47">
        <f t="shared" si="25"/>
        <v>9.4999999999999973E-2</v>
      </c>
      <c r="L32" s="47">
        <f t="shared" si="25"/>
        <v>9.4999999999999973E-2</v>
      </c>
      <c r="M32" s="47">
        <f t="shared" si="25"/>
        <v>9.4999999999999973E-2</v>
      </c>
      <c r="N32" s="47">
        <f t="shared" si="25"/>
        <v>9.4999999999999973E-2</v>
      </c>
    </row>
    <row r="33" spans="1:14" x14ac:dyDescent="0.3">
      <c r="A33" s="44" t="s">
        <v>137</v>
      </c>
      <c r="B33" s="47">
        <f>+[1]Historicals!B190</f>
        <v>0</v>
      </c>
      <c r="C33" s="47">
        <f>+[1]Historicals!C190</f>
        <v>0</v>
      </c>
      <c r="D33" s="47">
        <f>+[1]Historicals!D190</f>
        <v>0</v>
      </c>
      <c r="E33" s="47">
        <f>+[1]Historicals!E190</f>
        <v>0</v>
      </c>
      <c r="F33" s="47">
        <f>+[1]Historicals!F190</f>
        <v>0</v>
      </c>
      <c r="G33" s="47">
        <f>+[1]Historicals!G190</f>
        <v>-0.13567839195979903</v>
      </c>
      <c r="H33" s="47">
        <f>+[1]Historicals!H190</f>
        <v>0</v>
      </c>
      <c r="I33" s="47">
        <f>+[1]Historicals!I190</f>
        <v>0.25</v>
      </c>
      <c r="J33" s="47">
        <f>+[2]Historicals!J195</f>
        <v>0</v>
      </c>
      <c r="K33" s="47">
        <f>+[2]Historicals!K195</f>
        <v>0</v>
      </c>
      <c r="L33" s="47">
        <f>+[2]Historicals!L195</f>
        <v>0</v>
      </c>
      <c r="M33" s="47">
        <f>+[2]Historicals!M195</f>
        <v>0</v>
      </c>
      <c r="N33" s="47">
        <f>+[2]Historicals!N195</f>
        <v>0</v>
      </c>
    </row>
    <row r="34" spans="1:14" x14ac:dyDescent="0.3">
      <c r="A34" s="44" t="s">
        <v>138</v>
      </c>
      <c r="B34" s="47" t="str">
        <f t="shared" ref="B34:H34" si="26">+IFERROR(B32-B33,"nm")</f>
        <v>nm</v>
      </c>
      <c r="C34" s="47" t="str">
        <f t="shared" si="26"/>
        <v>nm</v>
      </c>
      <c r="D34" s="47" t="str">
        <f t="shared" si="26"/>
        <v>nm</v>
      </c>
      <c r="E34" s="47" t="str">
        <f t="shared" si="26"/>
        <v>nm</v>
      </c>
      <c r="F34" s="47" t="str">
        <f t="shared" si="26"/>
        <v>nm</v>
      </c>
      <c r="G34" s="47">
        <f t="shared" si="26"/>
        <v>0</v>
      </c>
      <c r="H34" s="47">
        <f t="shared" si="26"/>
        <v>-1.744186046511631E-2</v>
      </c>
      <c r="I34" s="47">
        <f>+IFERROR(I32-I33,"nm")</f>
        <v>-1.4792899408284654E-3</v>
      </c>
      <c r="J34" s="65">
        <v>-5.1999999999999998E-2</v>
      </c>
      <c r="K34" s="65">
        <v>-5.1999999999999998E-2</v>
      </c>
      <c r="L34" s="65">
        <v>-5.1999999999999998E-2</v>
      </c>
      <c r="M34" s="65">
        <v>-5.1999999999999998E-2</v>
      </c>
      <c r="N34" s="65">
        <v>-5.1999999999999998E-2</v>
      </c>
    </row>
    <row r="35" spans="1:14" ht="15" thickBot="1" x14ac:dyDescent="0.35">
      <c r="A35" s="9" t="s">
        <v>130</v>
      </c>
      <c r="B35" s="48">
        <f>+B42+B38</f>
        <v>3766</v>
      </c>
      <c r="C35" s="48">
        <f t="shared" ref="C35:G35" si="27">+C42+C38</f>
        <v>3896</v>
      </c>
      <c r="D35" s="48">
        <f t="shared" si="27"/>
        <v>4015</v>
      </c>
      <c r="E35" s="48">
        <f t="shared" si="27"/>
        <v>3760</v>
      </c>
      <c r="F35" s="48">
        <f t="shared" si="27"/>
        <v>4074</v>
      </c>
      <c r="G35" s="48">
        <f t="shared" si="27"/>
        <v>3047</v>
      </c>
      <c r="H35" s="48">
        <f>+H42+H38</f>
        <v>5219</v>
      </c>
      <c r="I35" s="48">
        <f>+I42+I38</f>
        <v>5238</v>
      </c>
      <c r="J35" s="75">
        <f>I35*1.078</f>
        <v>5646.5640000000003</v>
      </c>
      <c r="K35" s="75">
        <f>J35*1.078</f>
        <v>6086.995992000001</v>
      </c>
      <c r="L35" s="75">
        <f t="shared" ref="L35:M35" si="28">K35*1.078</f>
        <v>6561.7816793760012</v>
      </c>
      <c r="M35" s="75">
        <f t="shared" si="28"/>
        <v>7073.6006503673298</v>
      </c>
      <c r="N35" s="75">
        <f>M35*1.078</f>
        <v>7625.3415010959816</v>
      </c>
    </row>
    <row r="36" spans="1:14" ht="15" thickTop="1" x14ac:dyDescent="0.3">
      <c r="A36" s="46" t="s">
        <v>129</v>
      </c>
      <c r="B36" s="47" t="str">
        <f t="shared" ref="B36:H36" si="29">+IFERROR(B35/A35-1,"nm")</f>
        <v>nm</v>
      </c>
      <c r="C36" s="47">
        <f t="shared" si="29"/>
        <v>3.4519383961763239E-2</v>
      </c>
      <c r="D36" s="47">
        <f t="shared" si="29"/>
        <v>3.0544147843942548E-2</v>
      </c>
      <c r="E36" s="47">
        <f t="shared" si="29"/>
        <v>-6.3511830635118338E-2</v>
      </c>
      <c r="F36" s="47">
        <f t="shared" si="29"/>
        <v>8.3510638297872308E-2</v>
      </c>
      <c r="G36" s="47">
        <f t="shared" si="29"/>
        <v>-0.25208640157093765</v>
      </c>
      <c r="H36" s="47">
        <f t="shared" si="29"/>
        <v>0.71283229405973092</v>
      </c>
      <c r="I36" s="47">
        <f>+IFERROR(I35/H35-1,"nm")</f>
        <v>3.6405441655489312E-3</v>
      </c>
      <c r="J36" s="47">
        <f t="shared" ref="J36:N36" si="30">+IFERROR(J35/I35-1,"nm")</f>
        <v>7.8000000000000069E-2</v>
      </c>
      <c r="K36" s="47">
        <f t="shared" si="30"/>
        <v>7.8000000000000069E-2</v>
      </c>
      <c r="L36" s="47">
        <f t="shared" si="30"/>
        <v>7.8000000000000069E-2</v>
      </c>
      <c r="M36" s="47">
        <f t="shared" si="30"/>
        <v>7.8000000000000069E-2</v>
      </c>
      <c r="N36" s="47">
        <f t="shared" si="30"/>
        <v>7.8000000000000069E-2</v>
      </c>
    </row>
    <row r="37" spans="1:14" x14ac:dyDescent="0.3">
      <c r="A37" s="46" t="s">
        <v>131</v>
      </c>
      <c r="B37" s="47">
        <f t="shared" ref="B37:I37" si="31">+IFERROR(B35/B$21,"nm")</f>
        <v>0.27409024745269289</v>
      </c>
      <c r="C37" s="47">
        <f t="shared" si="31"/>
        <v>0.26388512598211866</v>
      </c>
      <c r="D37" s="47">
        <f t="shared" si="31"/>
        <v>0.26386698212407994</v>
      </c>
      <c r="E37" s="47">
        <f t="shared" si="31"/>
        <v>0.25311342982160889</v>
      </c>
      <c r="F37" s="47">
        <f t="shared" si="31"/>
        <v>0.25619418941013711</v>
      </c>
      <c r="G37" s="47">
        <f t="shared" si="31"/>
        <v>0.2103700635183651</v>
      </c>
      <c r="H37" s="47">
        <f t="shared" si="31"/>
        <v>0.30380115256999823</v>
      </c>
      <c r="I37" s="47">
        <f t="shared" si="31"/>
        <v>0.28540293140086087</v>
      </c>
      <c r="J37" s="47">
        <f t="shared" ref="J37:N37" si="32">+IFERROR(J35/J$18,"nm")</f>
        <v>188218.79999999984</v>
      </c>
      <c r="K37" s="47">
        <f t="shared" si="32"/>
        <v>202899.86639999985</v>
      </c>
      <c r="L37" s="47">
        <f>+IFERROR(L35/L$18,"nm")</f>
        <v>218726.05597919985</v>
      </c>
      <c r="M37" s="47">
        <f t="shared" si="32"/>
        <v>235786.68834557745</v>
      </c>
      <c r="N37" s="47">
        <f t="shared" si="32"/>
        <v>254178.05003653248</v>
      </c>
    </row>
    <row r="38" spans="1:14" ht="15" thickBot="1" x14ac:dyDescent="0.35">
      <c r="A38" s="9" t="s">
        <v>132</v>
      </c>
      <c r="B38" s="9">
        <f>+[1]Historicals!B175</f>
        <v>121</v>
      </c>
      <c r="C38" s="9">
        <f>+[1]Historicals!C175</f>
        <v>133</v>
      </c>
      <c r="D38" s="9">
        <f>+[1]Historicals!D175</f>
        <v>140</v>
      </c>
      <c r="E38" s="9">
        <f>+[1]Historicals!E175</f>
        <v>160</v>
      </c>
      <c r="F38" s="9">
        <f>+[1]Historicals!F175</f>
        <v>149</v>
      </c>
      <c r="G38" s="9">
        <f>+[1]Historicals!G175</f>
        <v>148</v>
      </c>
      <c r="H38" s="9">
        <f>+[1]Historicals!H175</f>
        <v>130</v>
      </c>
      <c r="I38" s="9">
        <f>+[1]Historicals!I175</f>
        <v>124</v>
      </c>
      <c r="J38" s="79">
        <f>I38*1.007</f>
        <v>124.86799999999998</v>
      </c>
      <c r="K38" s="79">
        <f t="shared" ref="K38:N38" si="33">J38*1.007</f>
        <v>125.74207599999997</v>
      </c>
      <c r="L38" s="79">
        <f t="shared" si="33"/>
        <v>126.62227053199996</v>
      </c>
      <c r="M38" s="79">
        <f t="shared" si="33"/>
        <v>127.50862642572395</v>
      </c>
      <c r="N38" s="79">
        <f t="shared" si="33"/>
        <v>128.40118681070399</v>
      </c>
    </row>
    <row r="39" spans="1:14" ht="15" thickTop="1" x14ac:dyDescent="0.3">
      <c r="A39" s="46" t="s">
        <v>129</v>
      </c>
      <c r="B39" s="47" t="str">
        <f t="shared" ref="B39:H39" si="34">+IFERROR(B38/A38-1,"nm")</f>
        <v>nm</v>
      </c>
      <c r="C39" s="47">
        <f t="shared" si="34"/>
        <v>9.9173553719008156E-2</v>
      </c>
      <c r="D39" s="47">
        <f t="shared" si="34"/>
        <v>5.2631578947368363E-2</v>
      </c>
      <c r="E39" s="47">
        <f t="shared" si="34"/>
        <v>0.14285714285714279</v>
      </c>
      <c r="F39" s="47">
        <f t="shared" si="34"/>
        <v>-6.8749999999999978E-2</v>
      </c>
      <c r="G39" s="47">
        <f t="shared" si="34"/>
        <v>-6.7114093959731447E-3</v>
      </c>
      <c r="H39" s="47">
        <f t="shared" si="34"/>
        <v>-0.1216216216216216</v>
      </c>
      <c r="I39" s="47">
        <f>+IFERROR(I38/H38-1,"nm")</f>
        <v>-4.6153846153846101E-2</v>
      </c>
      <c r="J39" s="47">
        <f t="shared" ref="J39:N39" si="35">+IFERROR(J38/I38-1,"nm")</f>
        <v>6.9999999999998952E-3</v>
      </c>
      <c r="K39" s="47">
        <f t="shared" si="35"/>
        <v>6.9999999999998952E-3</v>
      </c>
      <c r="L39" s="47">
        <f t="shared" si="35"/>
        <v>6.9999999999998952E-3</v>
      </c>
      <c r="M39" s="47">
        <f t="shared" si="35"/>
        <v>6.9999999999998952E-3</v>
      </c>
      <c r="N39" s="47">
        <f t="shared" si="35"/>
        <v>6.9999999999998952E-3</v>
      </c>
    </row>
    <row r="40" spans="1:14" x14ac:dyDescent="0.3">
      <c r="A40" s="46" t="s">
        <v>133</v>
      </c>
      <c r="B40" s="47">
        <f t="shared" ref="B40:I40" si="36">+IFERROR(B38/B$21,"nm")</f>
        <v>8.8064046579330417E-3</v>
      </c>
      <c r="C40" s="47">
        <f t="shared" si="36"/>
        <v>9.0083988079111346E-3</v>
      </c>
      <c r="D40" s="47">
        <f t="shared" si="36"/>
        <v>9.2008412197686646E-3</v>
      </c>
      <c r="E40" s="47">
        <f t="shared" si="36"/>
        <v>1.0770784247728038E-2</v>
      </c>
      <c r="F40" s="47">
        <f t="shared" si="36"/>
        <v>9.3698905798012821E-3</v>
      </c>
      <c r="G40" s="47">
        <f t="shared" si="36"/>
        <v>1.0218171775752554E-2</v>
      </c>
      <c r="H40" s="47">
        <f t="shared" si="36"/>
        <v>7.5673787764130628E-3</v>
      </c>
      <c r="I40" s="47">
        <f t="shared" si="36"/>
        <v>6.7563886013185855E-3</v>
      </c>
      <c r="J40" s="47">
        <f t="shared" ref="J40:N40" si="37">+IFERROR(J38/J$18,"nm")</f>
        <v>4162.2666666666619</v>
      </c>
      <c r="K40" s="47">
        <f t="shared" si="37"/>
        <v>4191.4025333333284</v>
      </c>
      <c r="L40" s="47">
        <f t="shared" si="37"/>
        <v>4220.7423510666613</v>
      </c>
      <c r="M40" s="47">
        <f t="shared" si="37"/>
        <v>4250.2875475241281</v>
      </c>
      <c r="N40" s="47">
        <f t="shared" si="37"/>
        <v>4280.0395603567958</v>
      </c>
    </row>
    <row r="41" spans="1:14" ht="15" thickBot="1" x14ac:dyDescent="0.35">
      <c r="A41" s="46" t="s">
        <v>140</v>
      </c>
      <c r="B41" s="47">
        <f t="shared" ref="B41:H41" si="38">+IFERROR(B38/B48,"nm")</f>
        <v>0.19145569620253164</v>
      </c>
      <c r="C41" s="47">
        <f t="shared" si="38"/>
        <v>0.17924528301886791</v>
      </c>
      <c r="D41" s="47">
        <f t="shared" si="38"/>
        <v>0.17094017094017094</v>
      </c>
      <c r="E41" s="47">
        <f t="shared" si="38"/>
        <v>0.18867924528301888</v>
      </c>
      <c r="F41" s="47">
        <f t="shared" si="38"/>
        <v>0.18304668304668303</v>
      </c>
      <c r="G41" s="47">
        <f t="shared" si="38"/>
        <v>0.22945736434108527</v>
      </c>
      <c r="H41" s="47">
        <f t="shared" si="38"/>
        <v>0.21069692058346839</v>
      </c>
      <c r="I41" s="47">
        <f>+IFERROR(I38/I48,"nm")</f>
        <v>0.19405320813771518</v>
      </c>
      <c r="J41" s="75">
        <f>I41*1.083</f>
        <v>0.21015962441314553</v>
      </c>
      <c r="K41" s="75">
        <f t="shared" ref="K41:N42" si="39">J41*1.083</f>
        <v>0.22760287323943659</v>
      </c>
      <c r="L41" s="75">
        <f t="shared" si="39"/>
        <v>0.24649391171830981</v>
      </c>
      <c r="M41" s="75">
        <f t="shared" si="39"/>
        <v>0.2669529063909295</v>
      </c>
      <c r="N41" s="75">
        <f t="shared" si="39"/>
        <v>0.28910999762137662</v>
      </c>
    </row>
    <row r="42" spans="1:14" ht="15" thickTop="1" x14ac:dyDescent="0.3">
      <c r="A42" s="9" t="s">
        <v>134</v>
      </c>
      <c r="B42" s="9">
        <f>+[1]Historicals!B142</f>
        <v>3645</v>
      </c>
      <c r="C42" s="9">
        <f>+[1]Historicals!C142</f>
        <v>3763</v>
      </c>
      <c r="D42" s="9">
        <f>+[1]Historicals!D142</f>
        <v>3875</v>
      </c>
      <c r="E42" s="9">
        <f>+[1]Historicals!E142</f>
        <v>3600</v>
      </c>
      <c r="F42" s="9">
        <f>+[1]Historicals!F142</f>
        <v>3925</v>
      </c>
      <c r="G42" s="9">
        <f>+[1]Historicals!G142</f>
        <v>2899</v>
      </c>
      <c r="H42" s="9">
        <f>+[1]Historicals!H142</f>
        <v>5089</v>
      </c>
      <c r="I42" s="9">
        <f>+[1]Historicals!I142</f>
        <v>5114</v>
      </c>
      <c r="J42" s="80">
        <f>I42*1.083</f>
        <v>5538.4619999999995</v>
      </c>
      <c r="K42" s="80">
        <f t="shared" si="39"/>
        <v>5998.1543459999994</v>
      </c>
      <c r="L42" s="80">
        <f t="shared" si="39"/>
        <v>6496.001156717999</v>
      </c>
      <c r="M42" s="80">
        <f t="shared" si="39"/>
        <v>7035.1692527255927</v>
      </c>
      <c r="N42" s="80">
        <f t="shared" si="39"/>
        <v>7619.0883007018165</v>
      </c>
    </row>
    <row r="43" spans="1:14" x14ac:dyDescent="0.3">
      <c r="A43" s="46" t="s">
        <v>129</v>
      </c>
      <c r="B43" s="47" t="str">
        <f t="shared" ref="B43:H43" si="40">+IFERROR(B42/A42-1,"nm")</f>
        <v>nm</v>
      </c>
      <c r="C43" s="47">
        <f t="shared" si="40"/>
        <v>3.2373113854595292E-2</v>
      </c>
      <c r="D43" s="47">
        <f t="shared" si="40"/>
        <v>2.9763486579856391E-2</v>
      </c>
      <c r="E43" s="47">
        <f t="shared" si="40"/>
        <v>-7.096774193548383E-2</v>
      </c>
      <c r="F43" s="47">
        <f t="shared" si="40"/>
        <v>9.0277777777777679E-2</v>
      </c>
      <c r="G43" s="47">
        <f t="shared" si="40"/>
        <v>-0.26140127388535028</v>
      </c>
      <c r="H43" s="47">
        <f t="shared" si="40"/>
        <v>0.75543290789927564</v>
      </c>
      <c r="I43" s="47">
        <f>+IFERROR(I42/H42-1,"nm")</f>
        <v>4.9125564943997002E-3</v>
      </c>
      <c r="J43" s="47">
        <f t="shared" ref="J43:N43" si="41">+IFERROR(J41/J$18,"nm")</f>
        <v>7.0053208137715117</v>
      </c>
      <c r="K43" s="47">
        <f t="shared" si="41"/>
        <v>7.586762441314546</v>
      </c>
      <c r="L43" s="47">
        <f t="shared" si="41"/>
        <v>8.2164637239436527</v>
      </c>
      <c r="M43" s="47">
        <f t="shared" si="41"/>
        <v>8.8984302130309754</v>
      </c>
      <c r="N43" s="47">
        <f t="shared" si="41"/>
        <v>9.6369999207125456</v>
      </c>
    </row>
    <row r="44" spans="1:14" ht="15" thickBot="1" x14ac:dyDescent="0.35">
      <c r="A44" s="46" t="s">
        <v>131</v>
      </c>
      <c r="B44" s="47">
        <f t="shared" ref="B44:I44" si="42">+IFERROR(B42/B$21,"nm")</f>
        <v>0.26528384279475981</v>
      </c>
      <c r="C44" s="47">
        <f t="shared" si="42"/>
        <v>0.25487672717420751</v>
      </c>
      <c r="D44" s="47">
        <f t="shared" si="42"/>
        <v>0.25466614090431128</v>
      </c>
      <c r="E44" s="47">
        <f t="shared" si="42"/>
        <v>0.24234264557388085</v>
      </c>
      <c r="F44" s="47">
        <f t="shared" si="42"/>
        <v>0.2468242988303358</v>
      </c>
      <c r="G44" s="47">
        <f t="shared" si="42"/>
        <v>0.20015189174261253</v>
      </c>
      <c r="H44" s="47">
        <f t="shared" si="42"/>
        <v>0.29623377379358518</v>
      </c>
      <c r="I44" s="47">
        <f t="shared" si="42"/>
        <v>0.27864654279954232</v>
      </c>
      <c r="J44" s="75">
        <f>I44*0.97</f>
        <v>0.27028714651555602</v>
      </c>
      <c r="K44" s="75">
        <f t="shared" ref="K44:N44" si="43">J44*0.97</f>
        <v>0.26217853212008935</v>
      </c>
      <c r="L44" s="75">
        <f t="shared" si="43"/>
        <v>0.25431317615648669</v>
      </c>
      <c r="M44" s="75">
        <f t="shared" si="43"/>
        <v>0.24668378087179207</v>
      </c>
      <c r="N44" s="75">
        <f t="shared" si="43"/>
        <v>0.2392832674456383</v>
      </c>
    </row>
    <row r="45" spans="1:14" ht="15" thickTop="1" x14ac:dyDescent="0.3">
      <c r="A45" s="9" t="s">
        <v>135</v>
      </c>
      <c r="B45" s="9">
        <f>+[1]Historicals!B164</f>
        <v>208</v>
      </c>
      <c r="C45" s="9">
        <f>+[1]Historicals!C164</f>
        <v>242</v>
      </c>
      <c r="D45" s="9">
        <f>+[1]Historicals!D164</f>
        <v>223</v>
      </c>
      <c r="E45" s="9">
        <f>+[1]Historicals!E164</f>
        <v>196</v>
      </c>
      <c r="F45" s="9">
        <f>+[1]Historicals!F164</f>
        <v>117</v>
      </c>
      <c r="G45" s="9">
        <f>+[1]Historicals!G164</f>
        <v>110</v>
      </c>
      <c r="H45" s="9">
        <f>+[1]Historicals!H164</f>
        <v>98</v>
      </c>
      <c r="I45" s="9">
        <f>+[1]Historicals!I164</f>
        <v>146</v>
      </c>
      <c r="J45" s="80">
        <f>I45*0.983</f>
        <v>143.518</v>
      </c>
      <c r="K45" s="80">
        <f t="shared" ref="K45:N45" si="44">J45*0.983</f>
        <v>141.078194</v>
      </c>
      <c r="L45" s="80">
        <f t="shared" si="44"/>
        <v>138.679864702</v>
      </c>
      <c r="M45" s="80">
        <f t="shared" si="44"/>
        <v>136.322307002066</v>
      </c>
      <c r="N45" s="80">
        <f t="shared" si="44"/>
        <v>134.00482778303086</v>
      </c>
    </row>
    <row r="46" spans="1:14" x14ac:dyDescent="0.3">
      <c r="A46" s="46" t="s">
        <v>129</v>
      </c>
      <c r="B46" s="47" t="str">
        <f t="shared" ref="B46:H46" si="45">+IFERROR(B45/A45-1,"nm")</f>
        <v>nm</v>
      </c>
      <c r="C46" s="47">
        <f t="shared" si="45"/>
        <v>0.16346153846153855</v>
      </c>
      <c r="D46" s="47">
        <f t="shared" si="45"/>
        <v>-7.8512396694214837E-2</v>
      </c>
      <c r="E46" s="47">
        <f t="shared" si="45"/>
        <v>-0.12107623318385652</v>
      </c>
      <c r="F46" s="47">
        <f t="shared" si="45"/>
        <v>-0.40306122448979587</v>
      </c>
      <c r="G46" s="47">
        <f t="shared" si="45"/>
        <v>-5.9829059829059839E-2</v>
      </c>
      <c r="H46" s="47">
        <f t="shared" si="45"/>
        <v>-0.10909090909090913</v>
      </c>
      <c r="I46" s="47">
        <f>+IFERROR(I45/H45-1,"nm")</f>
        <v>0.48979591836734704</v>
      </c>
      <c r="J46" s="47">
        <f t="shared" ref="J46:N46" si="46">+IFERROR(J44/J$18,"nm")</f>
        <v>9.0095715505185261</v>
      </c>
      <c r="K46" s="47">
        <f t="shared" si="46"/>
        <v>8.7392844040029711</v>
      </c>
      <c r="L46" s="47">
        <f t="shared" si="46"/>
        <v>8.4771058718828822</v>
      </c>
      <c r="M46" s="47">
        <f t="shared" si="46"/>
        <v>8.2227926957263957</v>
      </c>
      <c r="N46" s="47">
        <f t="shared" si="46"/>
        <v>7.9761089148546027</v>
      </c>
    </row>
    <row r="47" spans="1:14" x14ac:dyDescent="0.3">
      <c r="A47" s="46" t="s">
        <v>133</v>
      </c>
      <c r="B47" s="47">
        <f t="shared" ref="B47:I47" si="47">+IFERROR(B45/B$21,"nm")</f>
        <v>1.5138282387190683E-2</v>
      </c>
      <c r="C47" s="47">
        <f t="shared" si="47"/>
        <v>1.6391221891086428E-2</v>
      </c>
      <c r="D47" s="47">
        <f t="shared" si="47"/>
        <v>1.4655625657202945E-2</v>
      </c>
      <c r="E47" s="47">
        <f t="shared" si="47"/>
        <v>1.3194210703466847E-2</v>
      </c>
      <c r="F47" s="47">
        <f t="shared" si="47"/>
        <v>7.3575650861526856E-3</v>
      </c>
      <c r="G47" s="47">
        <f t="shared" si="47"/>
        <v>7.5945871306268989E-3</v>
      </c>
      <c r="H47" s="47">
        <f t="shared" si="47"/>
        <v>5.7046393852960009E-3</v>
      </c>
      <c r="I47" s="47">
        <f t="shared" si="47"/>
        <v>7.9551027080041418E-3</v>
      </c>
      <c r="J47" s="49"/>
      <c r="K47" s="49"/>
      <c r="L47" s="49"/>
      <c r="M47" s="49"/>
      <c r="N47" s="49"/>
    </row>
    <row r="48" spans="1:14" x14ac:dyDescent="0.3">
      <c r="A48" s="9" t="s">
        <v>141</v>
      </c>
      <c r="B48" s="9">
        <f>+[1]Historicals!B153</f>
        <v>632</v>
      </c>
      <c r="C48" s="9">
        <f>+[1]Historicals!C153</f>
        <v>742</v>
      </c>
      <c r="D48" s="9">
        <f>+[1]Historicals!D153</f>
        <v>819</v>
      </c>
      <c r="E48" s="9">
        <f>+[1]Historicals!E153</f>
        <v>848</v>
      </c>
      <c r="F48" s="9">
        <f>+[1]Historicals!F153</f>
        <v>814</v>
      </c>
      <c r="G48" s="9">
        <f>+[1]Historicals!G153</f>
        <v>645</v>
      </c>
      <c r="H48" s="9">
        <f>+[1]Historicals!H153</f>
        <v>617</v>
      </c>
      <c r="I48" s="9">
        <f>+[1]Historicals!I153</f>
        <v>639</v>
      </c>
      <c r="J48" s="48">
        <f>I48*1.008</f>
        <v>644.11199999999997</v>
      </c>
      <c r="K48" s="48">
        <f t="shared" ref="K48:N48" si="48">J48*1.008</f>
        <v>649.26489600000002</v>
      </c>
      <c r="L48" s="48">
        <f t="shared" si="48"/>
        <v>654.45901516800006</v>
      </c>
      <c r="M48" s="48">
        <f t="shared" si="48"/>
        <v>659.69468728934407</v>
      </c>
      <c r="N48" s="48">
        <f t="shared" si="48"/>
        <v>664.97224478765884</v>
      </c>
    </row>
    <row r="49" spans="1:14" x14ac:dyDescent="0.3">
      <c r="A49" s="46" t="s">
        <v>129</v>
      </c>
      <c r="B49" s="47" t="str">
        <f t="shared" ref="B49:H49" si="49">+IFERROR(B48/A48-1,"nm")</f>
        <v>nm</v>
      </c>
      <c r="C49" s="47">
        <f t="shared" si="49"/>
        <v>0.17405063291139244</v>
      </c>
      <c r="D49" s="47">
        <f t="shared" si="49"/>
        <v>0.10377358490566047</v>
      </c>
      <c r="E49" s="47">
        <f t="shared" si="49"/>
        <v>3.5409035409035505E-2</v>
      </c>
      <c r="F49" s="47">
        <f t="shared" si="49"/>
        <v>-4.0094339622641528E-2</v>
      </c>
      <c r="G49" s="47">
        <f t="shared" si="49"/>
        <v>-0.20761670761670759</v>
      </c>
      <c r="H49" s="47">
        <f t="shared" si="49"/>
        <v>-4.3410852713178349E-2</v>
      </c>
      <c r="I49" s="47">
        <f>+IFERROR(I48/H48-1,"nm")</f>
        <v>3.5656401944894611E-2</v>
      </c>
      <c r="J49" s="47">
        <f t="shared" ref="J49:N49" si="50">+IFERROR(J48/I48-1,"nm")</f>
        <v>8.0000000000000071E-3</v>
      </c>
      <c r="K49" s="47">
        <f t="shared" si="50"/>
        <v>8.0000000000000071E-3</v>
      </c>
      <c r="L49" s="47">
        <f t="shared" si="50"/>
        <v>8.0000000000000071E-3</v>
      </c>
      <c r="M49" s="47">
        <f t="shared" si="50"/>
        <v>8.0000000000000071E-3</v>
      </c>
      <c r="N49" s="47">
        <f t="shared" si="50"/>
        <v>8.0000000000000071E-3</v>
      </c>
    </row>
    <row r="50" spans="1:14" x14ac:dyDescent="0.3">
      <c r="A50" s="46" t="s">
        <v>133</v>
      </c>
      <c r="B50" s="47">
        <f t="shared" ref="B50:N50" si="51">+IFERROR(B48/B$21,"nm")</f>
        <v>4.599708879184862E-2</v>
      </c>
      <c r="C50" s="47">
        <f t="shared" si="51"/>
        <v>5.0257382823083174E-2</v>
      </c>
      <c r="D50" s="47">
        <f t="shared" si="51"/>
        <v>5.3824921135646686E-2</v>
      </c>
      <c r="E50" s="47">
        <f t="shared" si="51"/>
        <v>5.7085156512958597E-2</v>
      </c>
      <c r="F50" s="47">
        <f t="shared" si="51"/>
        <v>5.1188529744686205E-2</v>
      </c>
      <c r="G50" s="47">
        <f t="shared" si="51"/>
        <v>4.4531897265948632E-2</v>
      </c>
      <c r="H50" s="47">
        <f t="shared" si="51"/>
        <v>3.5915943884975841E-2</v>
      </c>
      <c r="I50" s="47">
        <f t="shared" si="51"/>
        <v>3.4817196098730456E-2</v>
      </c>
      <c r="J50" s="47">
        <f t="shared" si="51"/>
        <v>3.2760898873958541E-2</v>
      </c>
      <c r="K50" s="47">
        <f t="shared" si="51"/>
        <v>3.0823708853356793E-2</v>
      </c>
      <c r="L50" s="47">
        <f t="shared" si="51"/>
        <v>2.8998872624827712E-2</v>
      </c>
      <c r="M50" s="47">
        <f t="shared" si="51"/>
        <v>2.7280010803808232E-2</v>
      </c>
      <c r="N50" s="47">
        <f t="shared" si="51"/>
        <v>2.5661097844321103E-2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ht="15" thickBot="1" x14ac:dyDescent="0.35">
      <c r="A52" s="9" t="s">
        <v>136</v>
      </c>
      <c r="B52" s="7">
        <v>7126</v>
      </c>
      <c r="C52" s="7">
        <v>7315</v>
      </c>
      <c r="D52" s="7">
        <v>7698</v>
      </c>
      <c r="E52" s="7">
        <v>9242</v>
      </c>
      <c r="F52" s="7">
        <v>9812</v>
      </c>
      <c r="G52" s="7">
        <v>9347</v>
      </c>
      <c r="H52" s="7">
        <v>11456</v>
      </c>
      <c r="I52" s="7">
        <f t="shared" ref="I52:L52" si="52">I54+I58+I62</f>
        <v>12524</v>
      </c>
      <c r="J52" s="75">
        <f t="shared" si="52"/>
        <v>13727.768</v>
      </c>
      <c r="K52" s="75">
        <f t="shared" si="52"/>
        <v>15072.202352</v>
      </c>
      <c r="L52" s="75">
        <f t="shared" si="52"/>
        <v>16576.161015008001</v>
      </c>
      <c r="M52" s="75">
        <f>M54+M58+M62</f>
        <v>18261.225611767233</v>
      </c>
      <c r="N52" s="75">
        <f>N54+N58+N62</f>
        <v>20152.108827014265</v>
      </c>
    </row>
    <row r="53" spans="1:14" ht="15" thickTop="1" x14ac:dyDescent="0.3">
      <c r="A53" s="44" t="s">
        <v>129</v>
      </c>
      <c r="B53" s="47" t="str">
        <f t="shared" ref="B53:H53" si="53">+IFERROR(B52/A52-1,"nm")</f>
        <v>nm</v>
      </c>
      <c r="C53" s="47">
        <f t="shared" si="53"/>
        <v>2.6522593320235766E-2</v>
      </c>
      <c r="D53" s="47">
        <f t="shared" si="53"/>
        <v>5.2358168147641937E-2</v>
      </c>
      <c r="E53" s="47">
        <f t="shared" si="53"/>
        <v>0.20057157703299566</v>
      </c>
      <c r="F53" s="47">
        <f t="shared" si="53"/>
        <v>6.1674962129409261E-2</v>
      </c>
      <c r="G53" s="47">
        <f t="shared" si="53"/>
        <v>-4.7390949857317621E-2</v>
      </c>
      <c r="H53" s="47">
        <f t="shared" si="53"/>
        <v>0.22563389322777372</v>
      </c>
      <c r="I53" s="47">
        <f>+IFERROR(I52/H52-1,"nm")</f>
        <v>9.3226256983240274E-2</v>
      </c>
      <c r="J53" s="47">
        <f t="shared" ref="J53:M53" si="54">+IFERROR(J52/I52-1,"nm")</f>
        <v>9.611689556052383E-2</v>
      </c>
      <c r="K53" s="47">
        <f t="shared" si="54"/>
        <v>9.7935392847548153E-2</v>
      </c>
      <c r="L53" s="47">
        <f t="shared" si="54"/>
        <v>9.978360347639792E-2</v>
      </c>
      <c r="M53" s="47">
        <f t="shared" si="54"/>
        <v>0.10165590182392537</v>
      </c>
      <c r="N53" s="47">
        <f>+IFERROR(N52/M52-1,"nm")</f>
        <v>0.10354634762458526</v>
      </c>
    </row>
    <row r="54" spans="1:14" ht="15" thickBot="1" x14ac:dyDescent="0.35">
      <c r="A54" s="45" t="s">
        <v>113</v>
      </c>
      <c r="B54" s="7"/>
      <c r="C54" s="7"/>
      <c r="D54" s="7"/>
      <c r="E54" s="7"/>
      <c r="F54" s="6">
        <v>6293</v>
      </c>
      <c r="G54" s="6">
        <v>5892</v>
      </c>
      <c r="H54" s="7">
        <v>6970</v>
      </c>
      <c r="I54" s="7">
        <v>7388</v>
      </c>
      <c r="J54" s="79">
        <f>I54*1.06</f>
        <v>7831.2800000000007</v>
      </c>
      <c r="K54" s="79">
        <f t="shared" ref="K54:M54" si="55">J54*1.06</f>
        <v>8301.1568000000007</v>
      </c>
      <c r="L54" s="79">
        <f t="shared" si="55"/>
        <v>8799.2262080000019</v>
      </c>
      <c r="M54" s="79">
        <f t="shared" si="55"/>
        <v>9327.1797804800026</v>
      </c>
      <c r="N54" s="79">
        <f>M54*1.06</f>
        <v>9886.810567308803</v>
      </c>
    </row>
    <row r="55" spans="1:14" ht="15" thickTop="1" x14ac:dyDescent="0.3">
      <c r="A55" s="44" t="s">
        <v>129</v>
      </c>
      <c r="B55" s="47" t="str">
        <f t="shared" ref="B55:H55" si="56">+IFERROR(B54/A54-1,"nm")</f>
        <v>nm</v>
      </c>
      <c r="C55" s="47" t="str">
        <f t="shared" si="56"/>
        <v>nm</v>
      </c>
      <c r="D55" s="47" t="str">
        <f t="shared" si="56"/>
        <v>nm</v>
      </c>
      <c r="E55" s="47" t="str">
        <f t="shared" si="56"/>
        <v>nm</v>
      </c>
      <c r="F55" s="47" t="str">
        <f t="shared" si="56"/>
        <v>nm</v>
      </c>
      <c r="G55" s="47">
        <f t="shared" si="56"/>
        <v>-6.3721595423486432E-2</v>
      </c>
      <c r="H55" s="47">
        <f t="shared" si="56"/>
        <v>0.18295994568907004</v>
      </c>
      <c r="I55" s="47">
        <f>+IFERROR(I54/H54-1,"nm")</f>
        <v>5.9971305595408975E-2</v>
      </c>
      <c r="J55" s="47">
        <f>+IFERROR(J54/I54-1,"nm")</f>
        <v>6.0000000000000053E-2</v>
      </c>
      <c r="K55" s="47">
        <f t="shared" ref="K55:M55" si="57">+IFERROR(K54/J54-1,"nm")</f>
        <v>6.0000000000000053E-2</v>
      </c>
      <c r="L55" s="47">
        <f t="shared" si="57"/>
        <v>6.0000000000000053E-2</v>
      </c>
      <c r="M55" s="47">
        <f t="shared" si="57"/>
        <v>6.0000000000000053E-2</v>
      </c>
      <c r="N55" s="47">
        <f>+IFERROR(N54/M54-1,"nm")</f>
        <v>6.0000000000000053E-2</v>
      </c>
    </row>
    <row r="56" spans="1:14" x14ac:dyDescent="0.3">
      <c r="A56" s="44" t="s">
        <v>137</v>
      </c>
      <c r="B56" s="47">
        <f>+[2]Historicals!B224</f>
        <v>0</v>
      </c>
      <c r="C56" s="47">
        <f>+[2]Historicals!C224</f>
        <v>0</v>
      </c>
      <c r="D56" s="47">
        <f>+[2]Historicals!D224</f>
        <v>0</v>
      </c>
      <c r="E56" s="47">
        <f>+[2]Historicals!E224</f>
        <v>0</v>
      </c>
      <c r="F56" s="47">
        <f>+[2]Historicals!F224</f>
        <v>0</v>
      </c>
      <c r="G56" s="47">
        <f>+[2]Historicals!G224</f>
        <v>0</v>
      </c>
      <c r="H56" s="47">
        <f>+[2]Historicals!H224</f>
        <v>0</v>
      </c>
      <c r="I56" s="47">
        <f>+[2]Historicals!I224</f>
        <v>0</v>
      </c>
      <c r="J56" s="47">
        <f>+[2]Historicals!J224</f>
        <v>0</v>
      </c>
      <c r="K56" s="47">
        <f>+[2]Historicals!K224</f>
        <v>0</v>
      </c>
      <c r="L56" s="47">
        <f>+[2]Historicals!L224</f>
        <v>0</v>
      </c>
      <c r="M56" s="47">
        <f>+[2]Historicals!M224</f>
        <v>0</v>
      </c>
      <c r="N56" s="47">
        <f>+[2]Historicals!N224</f>
        <v>0</v>
      </c>
    </row>
    <row r="57" spans="1:14" x14ac:dyDescent="0.3">
      <c r="A57" s="44" t="s">
        <v>138</v>
      </c>
      <c r="B57" s="47" t="str">
        <f t="shared" ref="B57:G57" si="58">+IFERROR(B55-B56,"nm")</f>
        <v>nm</v>
      </c>
      <c r="C57" s="47" t="str">
        <f t="shared" si="58"/>
        <v>nm</v>
      </c>
      <c r="D57" s="47" t="str">
        <f t="shared" si="58"/>
        <v>nm</v>
      </c>
      <c r="E57" s="47" t="str">
        <f t="shared" si="58"/>
        <v>nm</v>
      </c>
      <c r="F57" s="47" t="str">
        <f t="shared" si="58"/>
        <v>nm</v>
      </c>
      <c r="G57" s="47">
        <f t="shared" si="58"/>
        <v>-6.3721595423486432E-2</v>
      </c>
      <c r="H57" s="47">
        <f>+IFERROR(H55-H56,"nm")</f>
        <v>0.18295994568907004</v>
      </c>
      <c r="I57" s="47">
        <f>+IFERROR(I55-I56,"nm")</f>
        <v>5.9971305595408975E-2</v>
      </c>
      <c r="J57" s="66">
        <v>-0.09</v>
      </c>
      <c r="K57" s="66">
        <v>-0.09</v>
      </c>
      <c r="L57" s="66">
        <v>-0.09</v>
      </c>
      <c r="M57" s="66">
        <v>-0.09</v>
      </c>
      <c r="N57" s="66">
        <v>-0.09</v>
      </c>
    </row>
    <row r="58" spans="1:14" ht="15" thickBot="1" x14ac:dyDescent="0.35">
      <c r="A58" s="45" t="s">
        <v>114</v>
      </c>
      <c r="B58" s="7"/>
      <c r="C58" s="7"/>
      <c r="D58" s="7"/>
      <c r="E58" s="7"/>
      <c r="F58" s="6">
        <v>3087</v>
      </c>
      <c r="G58" s="6">
        <v>3053</v>
      </c>
      <c r="H58" s="7">
        <f>+[2]Historicals!H151</f>
        <v>0</v>
      </c>
      <c r="I58" s="7">
        <v>4572</v>
      </c>
      <c r="J58" s="79">
        <f>I58*1.154</f>
        <v>5276.0879999999997</v>
      </c>
      <c r="K58" s="79">
        <f t="shared" ref="K58:M58" si="59">J58*1.154</f>
        <v>6088.6055519999991</v>
      </c>
      <c r="L58" s="79">
        <f t="shared" si="59"/>
        <v>7026.2508070079984</v>
      </c>
      <c r="M58" s="79">
        <f t="shared" si="59"/>
        <v>8108.2934312872294</v>
      </c>
      <c r="N58" s="79">
        <f>M58*1.154</f>
        <v>9356.970619705462</v>
      </c>
    </row>
    <row r="59" spans="1:14" ht="15" thickTop="1" x14ac:dyDescent="0.3">
      <c r="A59" s="44" t="s">
        <v>129</v>
      </c>
      <c r="B59" s="47" t="str">
        <f t="shared" ref="B59:H59" si="60">+IFERROR(B58/A58-1,"nm")</f>
        <v>nm</v>
      </c>
      <c r="C59" s="47" t="str">
        <f t="shared" si="60"/>
        <v>nm</v>
      </c>
      <c r="D59" s="47" t="str">
        <f t="shared" si="60"/>
        <v>nm</v>
      </c>
      <c r="E59" s="47" t="str">
        <f t="shared" si="60"/>
        <v>nm</v>
      </c>
      <c r="F59" s="47" t="str">
        <f t="shared" si="60"/>
        <v>nm</v>
      </c>
      <c r="G59" s="47">
        <f t="shared" si="60"/>
        <v>-1.1013929381276322E-2</v>
      </c>
      <c r="H59" s="47">
        <f t="shared" si="60"/>
        <v>-1</v>
      </c>
      <c r="I59" s="47" t="str">
        <f>+IFERROR(I58/H58-1,"nm")</f>
        <v>nm</v>
      </c>
      <c r="J59" s="47">
        <f>+IFERROR(J58/I58-1,"nm")</f>
        <v>0.15399999999999991</v>
      </c>
      <c r="K59" s="47">
        <f t="shared" ref="K59:M59" si="61">+IFERROR(K58/J58-1,"nm")</f>
        <v>0.15399999999999991</v>
      </c>
      <c r="L59" s="47">
        <f t="shared" si="61"/>
        <v>0.15399999999999991</v>
      </c>
      <c r="M59" s="47">
        <f t="shared" si="61"/>
        <v>0.15399999999999991</v>
      </c>
      <c r="N59" s="47">
        <f>+IFERROR(N58/M58-1,"nm")</f>
        <v>0.15399999999999991</v>
      </c>
    </row>
    <row r="60" spans="1:14" x14ac:dyDescent="0.3">
      <c r="A60" s="44" t="s">
        <v>137</v>
      </c>
      <c r="B60" s="47">
        <f>+[2]Historicals!B228</f>
        <v>0</v>
      </c>
      <c r="C60" s="47">
        <f>+[2]Historicals!C228</f>
        <v>0</v>
      </c>
      <c r="D60" s="47">
        <f>+[2]Historicals!D228</f>
        <v>0</v>
      </c>
      <c r="E60" s="47">
        <f>+[2]Historicals!E228</f>
        <v>0</v>
      </c>
      <c r="F60" s="47">
        <f>+[2]Historicals!F228</f>
        <v>0</v>
      </c>
      <c r="G60" s="47">
        <f>+[2]Historicals!G228</f>
        <v>0</v>
      </c>
      <c r="H60" s="47">
        <f>+[2]Historicals!H228</f>
        <v>0</v>
      </c>
      <c r="I60" s="47">
        <f>+[2]Historicals!I228</f>
        <v>0</v>
      </c>
      <c r="J60" s="47">
        <f>+[2]Historicals!J228</f>
        <v>0</v>
      </c>
      <c r="K60" s="47">
        <f>+[2]Historicals!K228</f>
        <v>0</v>
      </c>
      <c r="L60" s="47">
        <f>+[2]Historicals!L228</f>
        <v>0</v>
      </c>
      <c r="M60" s="47">
        <f>+[2]Historicals!M228</f>
        <v>0</v>
      </c>
      <c r="N60" s="47">
        <f>+[2]Historicals!N228</f>
        <v>0</v>
      </c>
    </row>
    <row r="61" spans="1:14" x14ac:dyDescent="0.3">
      <c r="A61" s="44" t="s">
        <v>138</v>
      </c>
      <c r="B61" s="47" t="str">
        <f t="shared" ref="B61:H61" si="62">+IFERROR(B59-B60,"nm")</f>
        <v>nm</v>
      </c>
      <c r="C61" s="47" t="str">
        <f t="shared" si="62"/>
        <v>nm</v>
      </c>
      <c r="D61" s="47" t="str">
        <f t="shared" si="62"/>
        <v>nm</v>
      </c>
      <c r="E61" s="47" t="str">
        <f t="shared" si="62"/>
        <v>nm</v>
      </c>
      <c r="F61" s="47" t="str">
        <f t="shared" si="62"/>
        <v>nm</v>
      </c>
      <c r="G61" s="47">
        <f t="shared" si="62"/>
        <v>-1.1013929381276322E-2</v>
      </c>
      <c r="H61" s="47">
        <f t="shared" si="62"/>
        <v>-1</v>
      </c>
      <c r="I61" s="47" t="str">
        <f>+IFERROR(I59-I60,"nm")</f>
        <v>nm</v>
      </c>
      <c r="J61" s="66">
        <v>-7.2999999999999995E-2</v>
      </c>
      <c r="K61" s="66">
        <v>-7.2999999999999995E-2</v>
      </c>
      <c r="L61" s="66">
        <v>-7.2999999999999995E-2</v>
      </c>
      <c r="M61" s="66">
        <v>-7.2999999999999995E-2</v>
      </c>
      <c r="N61" s="66">
        <v>-7.2999999999999995E-2</v>
      </c>
    </row>
    <row r="62" spans="1:14" ht="15" thickBot="1" x14ac:dyDescent="0.35">
      <c r="A62" s="45" t="s">
        <v>115</v>
      </c>
      <c r="B62" s="7"/>
      <c r="C62" s="7"/>
      <c r="D62" s="7"/>
      <c r="E62" s="7"/>
      <c r="F62" s="6">
        <v>432</v>
      </c>
      <c r="G62" s="6">
        <v>402</v>
      </c>
      <c r="H62" s="7">
        <v>490</v>
      </c>
      <c r="I62" s="7">
        <v>564</v>
      </c>
      <c r="J62" s="79">
        <f>I62*1.1</f>
        <v>620.40000000000009</v>
      </c>
      <c r="K62" s="79">
        <f t="shared" ref="K62:M62" si="63">J62*1.1</f>
        <v>682.44000000000017</v>
      </c>
      <c r="L62" s="79">
        <f t="shared" si="63"/>
        <v>750.6840000000002</v>
      </c>
      <c r="M62" s="79">
        <f t="shared" si="63"/>
        <v>825.75240000000031</v>
      </c>
      <c r="N62" s="79">
        <f>M62*1.1</f>
        <v>908.32764000000043</v>
      </c>
    </row>
    <row r="63" spans="1:14" ht="15" thickTop="1" x14ac:dyDescent="0.3">
      <c r="A63" s="44" t="s">
        <v>129</v>
      </c>
      <c r="B63" s="47" t="str">
        <f t="shared" ref="B63:H63" si="64">+IFERROR(B62/A62-1,"nm")</f>
        <v>nm</v>
      </c>
      <c r="C63" s="47" t="str">
        <f t="shared" si="64"/>
        <v>nm</v>
      </c>
      <c r="D63" s="47" t="str">
        <f t="shared" si="64"/>
        <v>nm</v>
      </c>
      <c r="E63" s="47" t="str">
        <f t="shared" si="64"/>
        <v>nm</v>
      </c>
      <c r="F63" s="47" t="str">
        <f t="shared" si="64"/>
        <v>nm</v>
      </c>
      <c r="G63" s="47">
        <f t="shared" si="64"/>
        <v>-6.944444444444442E-2</v>
      </c>
      <c r="H63" s="47">
        <f t="shared" si="64"/>
        <v>0.21890547263681581</v>
      </c>
      <c r="I63" s="47">
        <f>+IFERROR(I62/H62-1,"nm")</f>
        <v>0.15102040816326534</v>
      </c>
      <c r="J63" s="47">
        <f t="shared" ref="J63:M63" si="65">+IFERROR(J62/I62-1,"nm")</f>
        <v>0.10000000000000009</v>
      </c>
      <c r="K63" s="47">
        <f t="shared" si="65"/>
        <v>0.10000000000000009</v>
      </c>
      <c r="L63" s="47">
        <f t="shared" si="65"/>
        <v>0.10000000000000009</v>
      </c>
      <c r="M63" s="47">
        <f t="shared" si="65"/>
        <v>0.10000000000000009</v>
      </c>
      <c r="N63" s="47">
        <f>+IFERROR(N62/M62-1,"nm")</f>
        <v>0.10000000000000009</v>
      </c>
    </row>
    <row r="64" spans="1:14" x14ac:dyDescent="0.3">
      <c r="A64" s="44" t="s">
        <v>137</v>
      </c>
      <c r="B64" s="47">
        <f>+[2]Historicals!B226</f>
        <v>0</v>
      </c>
      <c r="C64" s="47">
        <f>+[2]Historicals!C226</f>
        <v>0</v>
      </c>
      <c r="D64" s="47">
        <f>+[2]Historicals!D226</f>
        <v>0</v>
      </c>
      <c r="E64" s="47">
        <f>+[2]Historicals!E226</f>
        <v>0</v>
      </c>
      <c r="F64" s="47">
        <f>+[2]Historicals!F226</f>
        <v>0</v>
      </c>
      <c r="G64" s="47">
        <f>+[2]Historicals!G226</f>
        <v>0</v>
      </c>
      <c r="H64" s="47">
        <f>+[2]Historicals!H226</f>
        <v>0</v>
      </c>
      <c r="I64" s="47">
        <f>+[2]Historicals!I226</f>
        <v>0</v>
      </c>
      <c r="J64" s="47">
        <f>+[2]Historicals!J226</f>
        <v>0</v>
      </c>
      <c r="K64" s="47">
        <f>+[2]Historicals!K226</f>
        <v>0</v>
      </c>
      <c r="L64" s="47">
        <f>+[2]Historicals!L226</f>
        <v>0</v>
      </c>
      <c r="M64" s="47">
        <f>+[2]Historicals!M226</f>
        <v>0</v>
      </c>
      <c r="N64" s="47">
        <f>+[2]Historicals!N226</f>
        <v>0</v>
      </c>
    </row>
    <row r="65" spans="1:14" x14ac:dyDescent="0.3">
      <c r="A65" s="44" t="s">
        <v>138</v>
      </c>
      <c r="B65" s="47" t="str">
        <f t="shared" ref="B65:H65" si="66">+IFERROR(B63-B64,"nm")</f>
        <v>nm</v>
      </c>
      <c r="C65" s="47" t="str">
        <f t="shared" si="66"/>
        <v>nm</v>
      </c>
      <c r="D65" s="47" t="str">
        <f t="shared" si="66"/>
        <v>nm</v>
      </c>
      <c r="E65" s="47" t="str">
        <f t="shared" si="66"/>
        <v>nm</v>
      </c>
      <c r="F65" s="47" t="str">
        <f t="shared" si="66"/>
        <v>nm</v>
      </c>
      <c r="G65" s="47">
        <f t="shared" si="66"/>
        <v>-6.944444444444442E-2</v>
      </c>
      <c r="H65" s="47">
        <f t="shared" si="66"/>
        <v>0.21890547263681581</v>
      </c>
      <c r="I65" s="47">
        <f>+IFERROR(I63-I64,"nm")</f>
        <v>0.15102040816326534</v>
      </c>
      <c r="J65" s="66">
        <v>-0.99199999999999999</v>
      </c>
      <c r="K65" s="66">
        <v>-0.99199999999999999</v>
      </c>
      <c r="L65" s="66">
        <v>-0.99199999999999999</v>
      </c>
      <c r="M65" s="66">
        <v>-0.99199999999999999</v>
      </c>
      <c r="N65" s="66">
        <v>-0.99199999999999999</v>
      </c>
    </row>
    <row r="66" spans="1:14" ht="15" thickBot="1" x14ac:dyDescent="0.35">
      <c r="A66" s="9" t="s">
        <v>130</v>
      </c>
      <c r="B66" s="81">
        <f>+B72+B69</f>
        <v>1611</v>
      </c>
      <c r="C66" s="81">
        <f>+C72+C69</f>
        <v>1808</v>
      </c>
      <c r="D66" s="81">
        <f t="shared" ref="D66:F66" si="67">+D72+D69</f>
        <v>1613</v>
      </c>
      <c r="E66" s="81">
        <f>+E72+E69</f>
        <v>1703</v>
      </c>
      <c r="F66" s="81">
        <f t="shared" si="67"/>
        <v>2106</v>
      </c>
      <c r="G66" s="81">
        <f>+G72+G69</f>
        <v>1673</v>
      </c>
      <c r="H66" s="81">
        <v>813</v>
      </c>
      <c r="I66" s="81">
        <v>833</v>
      </c>
      <c r="J66" s="79">
        <f>0.945*I66</f>
        <v>787.18499999999995</v>
      </c>
      <c r="K66" s="79">
        <f t="shared" ref="K66" si="68">0.945*J66</f>
        <v>743.88982499999986</v>
      </c>
      <c r="L66" s="79">
        <v>740.58</v>
      </c>
      <c r="M66" s="79">
        <v>716.1</v>
      </c>
      <c r="N66" s="79">
        <v>694.63</v>
      </c>
    </row>
    <row r="67" spans="1:14" ht="15" thickTop="1" x14ac:dyDescent="0.3">
      <c r="A67" s="46" t="s">
        <v>129</v>
      </c>
      <c r="B67" s="47" t="str">
        <f t="shared" ref="B67:H67" si="69">+IFERROR(B66/A66-1,"nm")</f>
        <v>nm</v>
      </c>
      <c r="C67" s="47">
        <f t="shared" si="69"/>
        <v>0.12228429546865294</v>
      </c>
      <c r="D67" s="47">
        <f t="shared" si="69"/>
        <v>-0.10785398230088494</v>
      </c>
      <c r="E67" s="47">
        <f t="shared" si="69"/>
        <v>5.5796652200867936E-2</v>
      </c>
      <c r="F67" s="47">
        <f t="shared" si="69"/>
        <v>0.23664122137404586</v>
      </c>
      <c r="G67" s="47">
        <f t="shared" si="69"/>
        <v>-0.20560303893637222</v>
      </c>
      <c r="H67" s="47">
        <f t="shared" si="69"/>
        <v>-0.51404662283323366</v>
      </c>
      <c r="I67" s="47">
        <f>+IFERROR(I66/H66-1,"nm")</f>
        <v>2.4600246002460135E-2</v>
      </c>
      <c r="J67" s="47">
        <f>+IFERROR(J66/I66-1,"nm")</f>
        <v>-5.5000000000000049E-2</v>
      </c>
      <c r="K67" s="47">
        <f t="shared" ref="K67:M67" si="70">+IFERROR(K66/J66-1,"nm")</f>
        <v>-5.500000000000016E-2</v>
      </c>
      <c r="L67" s="47">
        <f t="shared" si="70"/>
        <v>-4.4493483964508362E-3</v>
      </c>
      <c r="M67" s="47">
        <f t="shared" si="70"/>
        <v>-3.3055172972535019E-2</v>
      </c>
      <c r="N67" s="47">
        <f>+IFERROR(N66/M66-1,"nm")</f>
        <v>-2.9981846110878396E-2</v>
      </c>
    </row>
    <row r="68" spans="1:14" x14ac:dyDescent="0.3">
      <c r="A68" s="46" t="s">
        <v>131</v>
      </c>
      <c r="B68" s="47" t="str">
        <f t="shared" ref="B68:H68" si="71">+IFERROR(B66/B$15,"nm")</f>
        <v>nm</v>
      </c>
      <c r="C68" s="47">
        <f t="shared" si="71"/>
        <v>5566.3476482617571</v>
      </c>
      <c r="D68" s="47">
        <f t="shared" si="71"/>
        <v>-13719.098081023452</v>
      </c>
      <c r="E68" s="47">
        <f t="shared" si="71"/>
        <v>4897.5163398692821</v>
      </c>
      <c r="F68" s="47">
        <f t="shared" si="71"/>
        <v>-34451.255172413803</v>
      </c>
      <c r="G68" s="47">
        <f t="shared" si="71"/>
        <v>18086.26699029126</v>
      </c>
      <c r="H68" s="47">
        <f t="shared" si="71"/>
        <v>104106.78947368405</v>
      </c>
      <c r="I68" s="47">
        <f>+IFERROR(I66/I$15,"nm")</f>
        <v>-36150.725663716847</v>
      </c>
      <c r="J68" s="47">
        <f t="shared" ref="J68:N68" si="72">+IFERROR(J66/J$15,"nm")</f>
        <v>8272.7802540575412</v>
      </c>
      <c r="K68" s="47">
        <f t="shared" si="72"/>
        <v>7583.3123474274771</v>
      </c>
      <c r="L68" s="47">
        <f t="shared" si="72"/>
        <v>7339.9522189736899</v>
      </c>
      <c r="M68" s="47">
        <f t="shared" si="72"/>
        <v>6915.1610356733208</v>
      </c>
      <c r="N68" s="47">
        <f t="shared" si="72"/>
        <v>6548.8808424820836</v>
      </c>
    </row>
    <row r="69" spans="1:14" ht="15" thickBot="1" x14ac:dyDescent="0.35">
      <c r="A69" s="9" t="s">
        <v>132</v>
      </c>
      <c r="B69" s="7">
        <v>87</v>
      </c>
      <c r="C69" s="7">
        <v>85</v>
      </c>
      <c r="D69" s="7">
        <v>106</v>
      </c>
      <c r="E69" s="7">
        <v>116</v>
      </c>
      <c r="F69" s="7">
        <v>111</v>
      </c>
      <c r="G69" s="7">
        <v>132</v>
      </c>
      <c r="H69" s="7">
        <v>136</v>
      </c>
      <c r="I69" s="7">
        <v>134</v>
      </c>
      <c r="J69" s="79">
        <f>1.069*I69</f>
        <v>143.24599999999998</v>
      </c>
      <c r="K69" s="79">
        <f t="shared" ref="K69:M69" si="73">1.069*J69</f>
        <v>153.12997399999998</v>
      </c>
      <c r="L69" s="79">
        <f t="shared" si="73"/>
        <v>163.69594220599996</v>
      </c>
      <c r="M69" s="79">
        <f t="shared" si="73"/>
        <v>174.99096221821395</v>
      </c>
      <c r="N69" s="79">
        <f>1.069*M69</f>
        <v>187.0653386112707</v>
      </c>
    </row>
    <row r="70" spans="1:14" ht="15" thickTop="1" x14ac:dyDescent="0.3">
      <c r="A70" s="46" t="s">
        <v>129</v>
      </c>
      <c r="B70" s="47" t="str">
        <f t="shared" ref="B70:H70" si="74">+IFERROR(B69/A69-1,"nm")</f>
        <v>nm</v>
      </c>
      <c r="C70" s="47">
        <f t="shared" si="74"/>
        <v>-2.2988505747126409E-2</v>
      </c>
      <c r="D70" s="47">
        <f t="shared" si="74"/>
        <v>0.24705882352941178</v>
      </c>
      <c r="E70" s="47">
        <f t="shared" si="74"/>
        <v>9.4339622641509413E-2</v>
      </c>
      <c r="F70" s="47">
        <f t="shared" si="74"/>
        <v>-4.31034482758621E-2</v>
      </c>
      <c r="G70" s="47">
        <f t="shared" si="74"/>
        <v>0.18918918918918926</v>
      </c>
      <c r="H70" s="47">
        <f t="shared" si="74"/>
        <v>3.0303030303030276E-2</v>
      </c>
      <c r="I70" s="47">
        <f>+IFERROR(I69/H69-1,"nm")</f>
        <v>-1.4705882352941124E-2</v>
      </c>
      <c r="J70" s="47">
        <f t="shared" ref="J70:M70" si="75">+IFERROR(J69/I69-1,"nm")</f>
        <v>6.899999999999995E-2</v>
      </c>
      <c r="K70" s="47">
        <f t="shared" si="75"/>
        <v>6.899999999999995E-2</v>
      </c>
      <c r="L70" s="47">
        <f t="shared" si="75"/>
        <v>6.899999999999995E-2</v>
      </c>
      <c r="M70" s="47">
        <f t="shared" si="75"/>
        <v>6.899999999999995E-2</v>
      </c>
      <c r="N70" s="47">
        <f>+IFERROR(N69/M69-1,"nm")</f>
        <v>6.899999999999995E-2</v>
      </c>
    </row>
    <row r="71" spans="1:14" x14ac:dyDescent="0.3">
      <c r="A71" s="46" t="s">
        <v>133</v>
      </c>
      <c r="B71" s="47" t="str">
        <f t="shared" ref="B71:H71" si="76">+IFERROR(B69/B$15,"nm")</f>
        <v>nm</v>
      </c>
      <c r="C71" s="47">
        <f t="shared" si="76"/>
        <v>261.69222903885475</v>
      </c>
      <c r="D71" s="47">
        <f t="shared" si="76"/>
        <v>-901.56503198294229</v>
      </c>
      <c r="E71" s="47">
        <f t="shared" si="76"/>
        <v>333.59477124183013</v>
      </c>
      <c r="F71" s="47">
        <f t="shared" si="76"/>
        <v>-1815.8068965517245</v>
      </c>
      <c r="G71" s="47">
        <f t="shared" si="76"/>
        <v>1427.009708737864</v>
      </c>
      <c r="H71" s="47">
        <f t="shared" si="76"/>
        <v>17415.157894736814</v>
      </c>
      <c r="I71" s="47">
        <f>+IFERROR(I69/I$15,"nm")</f>
        <v>-5815.3628318584124</v>
      </c>
      <c r="J71" s="47">
        <f>+IFERROR(J69/J$15,"nm")</f>
        <v>1505.4182692413174</v>
      </c>
      <c r="K71" s="47">
        <f t="shared" ref="K71:N71" si="77">+IFERROR(K69/K$15,"nm")</f>
        <v>1561.0274311729543</v>
      </c>
      <c r="L71" s="47">
        <f t="shared" si="77"/>
        <v>1622.4045940099898</v>
      </c>
      <c r="M71" s="47">
        <f t="shared" si="77"/>
        <v>1689.8347766043503</v>
      </c>
      <c r="N71" s="47">
        <f t="shared" si="77"/>
        <v>1763.6275604620803</v>
      </c>
    </row>
    <row r="72" spans="1:14" ht="15" thickBot="1" x14ac:dyDescent="0.35">
      <c r="A72" s="9" t="s">
        <v>134</v>
      </c>
      <c r="B72" s="7">
        <v>1524</v>
      </c>
      <c r="C72" s="7">
        <v>1723</v>
      </c>
      <c r="D72" s="7">
        <v>1507</v>
      </c>
      <c r="E72" s="7">
        <v>1587</v>
      </c>
      <c r="F72" s="7">
        <v>1995</v>
      </c>
      <c r="G72" s="7">
        <v>1541</v>
      </c>
      <c r="H72" s="7">
        <f>+[2]Historicals!H178</f>
        <v>136</v>
      </c>
      <c r="I72" s="7">
        <f>+[2]Historicals!I178</f>
        <v>134</v>
      </c>
      <c r="J72" s="79">
        <v>655.66</v>
      </c>
      <c r="K72" s="79">
        <f t="shared" ref="K72:M72" si="78">0.938*J72</f>
        <v>615.00907999999993</v>
      </c>
      <c r="L72" s="79">
        <f t="shared" si="78"/>
        <v>576.87851703999991</v>
      </c>
      <c r="M72" s="79">
        <f t="shared" si="78"/>
        <v>541.11204898351991</v>
      </c>
      <c r="N72" s="79">
        <f>0.938*M72</f>
        <v>507.56310194654162</v>
      </c>
    </row>
    <row r="73" spans="1:14" ht="15" thickTop="1" x14ac:dyDescent="0.3">
      <c r="A73" s="46" t="s">
        <v>129</v>
      </c>
      <c r="B73" s="47" t="str">
        <f t="shared" ref="B73:H73" si="79">+IFERROR(B72/A72-1,"nm")</f>
        <v>nm</v>
      </c>
      <c r="C73" s="47">
        <f t="shared" si="79"/>
        <v>0.13057742782152237</v>
      </c>
      <c r="D73" s="47">
        <f t="shared" si="79"/>
        <v>-0.12536273940800924</v>
      </c>
      <c r="E73" s="47">
        <f t="shared" si="79"/>
        <v>5.3085600530855981E-2</v>
      </c>
      <c r="F73" s="47">
        <f t="shared" si="79"/>
        <v>0.25708884688090738</v>
      </c>
      <c r="G73" s="47">
        <f t="shared" si="79"/>
        <v>-0.22756892230576442</v>
      </c>
      <c r="H73" s="47">
        <f t="shared" si="79"/>
        <v>-0.91174561972744972</v>
      </c>
      <c r="I73" s="47">
        <f>+IFERROR(I72/H72-1,"nm")</f>
        <v>-1.4705882352941124E-2</v>
      </c>
      <c r="J73" s="47">
        <f>+IFERROR(J72/I72-1,"nm")</f>
        <v>3.892985074626865</v>
      </c>
      <c r="K73" s="47">
        <f t="shared" ref="K73:M73" si="80">+IFERROR(K72/J72-1,"nm")</f>
        <v>-6.2000000000000055E-2</v>
      </c>
      <c r="L73" s="47">
        <f t="shared" si="80"/>
        <v>-6.2000000000000055E-2</v>
      </c>
      <c r="M73" s="47">
        <f t="shared" si="80"/>
        <v>-6.1999999999999944E-2</v>
      </c>
      <c r="N73" s="47">
        <f>+IFERROR(N72/M72-1,"nm")</f>
        <v>-6.2000000000000055E-2</v>
      </c>
    </row>
    <row r="74" spans="1:14" x14ac:dyDescent="0.3">
      <c r="A74" s="46" t="s">
        <v>131</v>
      </c>
      <c r="B74" s="47" t="str">
        <f t="shared" ref="B74:H74" si="81">+IFERROR(B72/B$15,"nm")</f>
        <v>nm</v>
      </c>
      <c r="C74" s="47">
        <f t="shared" si="81"/>
        <v>5304.6554192229023</v>
      </c>
      <c r="D74" s="47">
        <f t="shared" si="81"/>
        <v>-12817.53304904051</v>
      </c>
      <c r="E74" s="47">
        <f t="shared" si="81"/>
        <v>4563.921568627452</v>
      </c>
      <c r="F74" s="47">
        <f t="shared" si="81"/>
        <v>-32635.44827586208</v>
      </c>
      <c r="G74" s="47">
        <f t="shared" si="81"/>
        <v>16659.257281553397</v>
      </c>
      <c r="H74" s="47">
        <f t="shared" si="81"/>
        <v>17415.157894736814</v>
      </c>
      <c r="I74" s="47">
        <f>+IFERROR(I72/I$15,"nm")</f>
        <v>-5815.3628318584124</v>
      </c>
      <c r="J74" s="47">
        <f t="shared" ref="J74:N74" si="82">+IFERROR(J72/J$15,"nm")</f>
        <v>6890.5417422529226</v>
      </c>
      <c r="K74" s="47">
        <f t="shared" si="82"/>
        <v>6269.4847992362493</v>
      </c>
      <c r="L74" s="47">
        <f t="shared" si="82"/>
        <v>5717.4927100731838</v>
      </c>
      <c r="M74" s="47">
        <f t="shared" si="82"/>
        <v>5225.3553373330406</v>
      </c>
      <c r="N74" s="47">
        <f t="shared" si="82"/>
        <v>4785.2385798028981</v>
      </c>
    </row>
    <row r="75" spans="1:14" ht="15" thickBot="1" x14ac:dyDescent="0.35">
      <c r="A75" s="9" t="s">
        <v>135</v>
      </c>
      <c r="B75" s="7">
        <v>236</v>
      </c>
      <c r="C75" s="7">
        <v>232</v>
      </c>
      <c r="D75" s="7">
        <v>173</v>
      </c>
      <c r="E75" s="7">
        <v>240</v>
      </c>
      <c r="F75" s="7">
        <v>233</v>
      </c>
      <c r="G75" s="7">
        <v>139</v>
      </c>
      <c r="H75" s="7">
        <v>153</v>
      </c>
      <c r="I75" s="7">
        <v>197</v>
      </c>
      <c r="J75" s="79">
        <f>I75*1.01</f>
        <v>198.97</v>
      </c>
      <c r="K75" s="79">
        <f t="shared" ref="K75:M75" si="83">J75*1.01</f>
        <v>200.9597</v>
      </c>
      <c r="L75" s="79">
        <f t="shared" si="83"/>
        <v>202.96929700000001</v>
      </c>
      <c r="M75" s="79">
        <f t="shared" si="83"/>
        <v>204.99898997000003</v>
      </c>
      <c r="N75" s="79">
        <f>M75*1.01</f>
        <v>207.04897986970002</v>
      </c>
    </row>
    <row r="76" spans="1:14" ht="15" thickTop="1" x14ac:dyDescent="0.3">
      <c r="A76" s="46" t="s">
        <v>129</v>
      </c>
      <c r="B76" s="47" t="str">
        <f t="shared" ref="B76:H76" si="84">+IFERROR(B75/A75-1,"nm")</f>
        <v>nm</v>
      </c>
      <c r="C76" s="47">
        <f t="shared" si="84"/>
        <v>-1.6949152542372836E-2</v>
      </c>
      <c r="D76" s="47">
        <f t="shared" si="84"/>
        <v>-0.25431034482758619</v>
      </c>
      <c r="E76" s="47">
        <f t="shared" si="84"/>
        <v>0.38728323699421963</v>
      </c>
      <c r="F76" s="47">
        <f t="shared" si="84"/>
        <v>-2.9166666666666674E-2</v>
      </c>
      <c r="G76" s="47">
        <f t="shared" si="84"/>
        <v>-0.40343347639484983</v>
      </c>
      <c r="H76" s="47">
        <f t="shared" si="84"/>
        <v>0.10071942446043169</v>
      </c>
      <c r="I76" s="47">
        <f>+IFERROR(I75/H75-1,"nm")</f>
        <v>0.28758169934640532</v>
      </c>
      <c r="J76" s="47">
        <f t="shared" ref="J76:M76" si="85">+IFERROR(J75/I75-1,"nm")</f>
        <v>1.0000000000000009E-2</v>
      </c>
      <c r="K76" s="47">
        <f t="shared" si="85"/>
        <v>1.0000000000000009E-2</v>
      </c>
      <c r="L76" s="47">
        <f t="shared" si="85"/>
        <v>1.0000000000000009E-2</v>
      </c>
      <c r="M76" s="47">
        <f t="shared" si="85"/>
        <v>1.0000000000000009E-2</v>
      </c>
      <c r="N76" s="47">
        <f>+IFERROR(N75/M75-1,"nm")</f>
        <v>1.0000000000000009E-2</v>
      </c>
    </row>
    <row r="77" spans="1:14" x14ac:dyDescent="0.3">
      <c r="A77" s="46" t="s">
        <v>133</v>
      </c>
      <c r="B77" s="47" t="str">
        <f t="shared" ref="B77:H77" si="86">+IFERROR(B75/B$15,"nm")</f>
        <v>nm</v>
      </c>
      <c r="C77" s="47">
        <f t="shared" si="86"/>
        <v>714.26584867075644</v>
      </c>
      <c r="D77" s="47">
        <f t="shared" si="86"/>
        <v>-1471.4221748400851</v>
      </c>
      <c r="E77" s="47">
        <f t="shared" si="86"/>
        <v>690.19607843137271</v>
      </c>
      <c r="F77" s="47">
        <f t="shared" si="86"/>
        <v>-3811.5586206896564</v>
      </c>
      <c r="G77" s="47">
        <f t="shared" si="86"/>
        <v>1502.6844660194174</v>
      </c>
      <c r="H77" s="47">
        <f t="shared" si="86"/>
        <v>19592.052631578917</v>
      </c>
      <c r="I77" s="82">
        <f>+IFERROR(I75/I$15,"nm")</f>
        <v>-8549.4513274336368</v>
      </c>
      <c r="J77" s="82">
        <f t="shared" ref="J77:N77" si="87">+IFERROR(J75/J$15,"nm")</f>
        <v>2091.0397011500841</v>
      </c>
      <c r="K77" s="82">
        <f t="shared" si="87"/>
        <v>2048.6100537069747</v>
      </c>
      <c r="L77" s="82">
        <f t="shared" si="87"/>
        <v>2011.6461987883549</v>
      </c>
      <c r="M77" s="82">
        <f t="shared" si="87"/>
        <v>1979.6132213279291</v>
      </c>
      <c r="N77" s="82">
        <f t="shared" si="87"/>
        <v>1952.0307181148771</v>
      </c>
    </row>
    <row r="78" spans="1:14" x14ac:dyDescent="0.3">
      <c r="A78" s="9" t="s">
        <v>141</v>
      </c>
      <c r="B78" s="9">
        <v>498</v>
      </c>
      <c r="C78" s="9">
        <v>639</v>
      </c>
      <c r="D78" s="9">
        <v>709</v>
      </c>
      <c r="E78" s="9">
        <v>849</v>
      </c>
      <c r="F78" s="9">
        <v>929</v>
      </c>
      <c r="G78" s="9">
        <v>885</v>
      </c>
      <c r="H78" s="9">
        <v>982</v>
      </c>
      <c r="I78" s="9">
        <v>920</v>
      </c>
      <c r="J78" s="48">
        <f>I78*1.098</f>
        <v>1010.1600000000001</v>
      </c>
      <c r="K78" s="48">
        <f t="shared" ref="K78:N78" si="88">J78*1.098</f>
        <v>1109.1556800000001</v>
      </c>
      <c r="L78" s="48">
        <f t="shared" si="88"/>
        <v>1217.8529366400003</v>
      </c>
      <c r="M78" s="48">
        <f t="shared" si="88"/>
        <v>1337.2025244307204</v>
      </c>
      <c r="N78" s="48">
        <f t="shared" si="88"/>
        <v>1468.2483718249312</v>
      </c>
    </row>
    <row r="79" spans="1:14" x14ac:dyDescent="0.3">
      <c r="A79" s="46" t="s">
        <v>129</v>
      </c>
      <c r="B79" s="47" t="str">
        <f t="shared" ref="B79:H79" si="89">+IFERROR(B78/A78-1,"nm")</f>
        <v>nm</v>
      </c>
      <c r="C79" s="47">
        <f t="shared" si="89"/>
        <v>0.2831325301204819</v>
      </c>
      <c r="D79" s="47">
        <f t="shared" si="89"/>
        <v>0.10954616588419408</v>
      </c>
      <c r="E79" s="47">
        <f t="shared" si="89"/>
        <v>0.19746121297602248</v>
      </c>
      <c r="F79" s="47">
        <f t="shared" si="89"/>
        <v>9.4228504122497059E-2</v>
      </c>
      <c r="G79" s="47">
        <f t="shared" si="89"/>
        <v>-4.7362755651237931E-2</v>
      </c>
      <c r="H79" s="47">
        <f t="shared" si="89"/>
        <v>0.1096045197740112</v>
      </c>
      <c r="I79" s="47">
        <f>+IFERROR(I78/H78-1,"nm")</f>
        <v>-6.313645621181263E-2</v>
      </c>
      <c r="J79" s="47" t="e">
        <f>+J80+#REF!</f>
        <v>#REF!</v>
      </c>
      <c r="K79" s="47" t="e">
        <f>+K80+#REF!</f>
        <v>#REF!</v>
      </c>
      <c r="L79" s="47" t="e">
        <f>+L80+#REF!</f>
        <v>#REF!</v>
      </c>
      <c r="M79" s="47" t="e">
        <f>+M80+#REF!</f>
        <v>#REF!</v>
      </c>
      <c r="N79" s="47" t="e">
        <f>+N80+#REF!</f>
        <v>#REF!</v>
      </c>
    </row>
    <row r="80" spans="1:14" x14ac:dyDescent="0.3">
      <c r="A80" s="46" t="s">
        <v>133</v>
      </c>
      <c r="B80" s="47">
        <f t="shared" ref="B80:I80" si="90">+IFERROR(B78/B$21,"nm")</f>
        <v>3.6244541484716154E-2</v>
      </c>
      <c r="C80" s="47">
        <f t="shared" si="90"/>
        <v>4.3280953671091846E-2</v>
      </c>
      <c r="D80" s="47">
        <f t="shared" si="90"/>
        <v>4.6595688748685596E-2</v>
      </c>
      <c r="E80" s="47">
        <f t="shared" si="90"/>
        <v>5.7152473914506903E-2</v>
      </c>
      <c r="F80" s="47">
        <f t="shared" si="90"/>
        <v>5.8420324487485853E-2</v>
      </c>
      <c r="G80" s="47">
        <f t="shared" si="90"/>
        <v>6.1101905550952774E-2</v>
      </c>
      <c r="H80" s="47">
        <f t="shared" si="90"/>
        <v>5.7162815064904823E-2</v>
      </c>
      <c r="I80" s="47">
        <f t="shared" si="90"/>
        <v>5.012804446139596E-2</v>
      </c>
      <c r="J80" s="49">
        <f>+I80</f>
        <v>5.012804446139596E-2</v>
      </c>
      <c r="K80" s="49">
        <f t="shared" ref="K80:M80" si="91">+J80</f>
        <v>5.012804446139596E-2</v>
      </c>
      <c r="L80" s="49">
        <f t="shared" si="91"/>
        <v>5.012804446139596E-2</v>
      </c>
      <c r="M80" s="49">
        <f t="shared" si="91"/>
        <v>5.012804446139596E-2</v>
      </c>
      <c r="N80" s="49">
        <f>+M80</f>
        <v>5.012804446139596E-2</v>
      </c>
    </row>
    <row r="81" spans="1:14" ht="15" thickBot="1" x14ac:dyDescent="0.35">
      <c r="B81" s="81"/>
      <c r="C81" s="81"/>
      <c r="D81" s="81"/>
      <c r="E81" s="81"/>
      <c r="F81" s="81"/>
      <c r="G81" s="81"/>
      <c r="H81" s="81"/>
      <c r="I81" s="81"/>
      <c r="J81" s="48"/>
      <c r="K81" s="48"/>
      <c r="L81" s="48"/>
      <c r="M81" s="48"/>
      <c r="N81" s="48"/>
    </row>
    <row r="82" spans="1:14" ht="15" thickTop="1" x14ac:dyDescent="0.3">
      <c r="A82" s="83" t="s">
        <v>102</v>
      </c>
    </row>
    <row r="83" spans="1:14" ht="15" thickBot="1" x14ac:dyDescent="0.35">
      <c r="A83" s="9" t="s">
        <v>136</v>
      </c>
      <c r="B83" s="7">
        <v>3067</v>
      </c>
      <c r="C83" s="7">
        <v>3785</v>
      </c>
      <c r="D83" s="7">
        <v>4237</v>
      </c>
      <c r="E83" s="7">
        <v>5134</v>
      </c>
      <c r="F83" s="7">
        <v>6208</v>
      </c>
      <c r="G83" s="7">
        <v>6679</v>
      </c>
      <c r="H83" s="7">
        <v>8290</v>
      </c>
      <c r="I83" s="7">
        <v>7547</v>
      </c>
      <c r="J83" s="84">
        <f>I83*1.143</f>
        <v>8626.2209999999995</v>
      </c>
      <c r="K83" s="84">
        <f t="shared" ref="K83:N83" si="92">J83*1.143</f>
        <v>9859.770602999999</v>
      </c>
      <c r="L83" s="84">
        <f t="shared" si="92"/>
        <v>11269.717799229</v>
      </c>
      <c r="M83" s="84">
        <f t="shared" si="92"/>
        <v>12881.287444518746</v>
      </c>
      <c r="N83" s="84">
        <f t="shared" si="92"/>
        <v>14723.311549084927</v>
      </c>
    </row>
    <row r="84" spans="1:14" ht="15" thickTop="1" x14ac:dyDescent="0.3">
      <c r="A84" s="44" t="s">
        <v>129</v>
      </c>
      <c r="B84" s="47" t="str">
        <f t="shared" ref="B84:H84" si="93">+IFERROR(B83/A83-1,"nm")</f>
        <v>nm</v>
      </c>
      <c r="C84" s="47">
        <f t="shared" si="93"/>
        <v>0.23410498858819695</v>
      </c>
      <c r="D84" s="47">
        <f t="shared" si="93"/>
        <v>0.11941875825627468</v>
      </c>
      <c r="E84" s="47">
        <f t="shared" si="93"/>
        <v>0.21170639603493036</v>
      </c>
      <c r="F84" s="47">
        <f t="shared" si="93"/>
        <v>0.20919361121932223</v>
      </c>
      <c r="G84" s="47">
        <f t="shared" si="93"/>
        <v>7.5869845360824639E-2</v>
      </c>
      <c r="H84" s="47">
        <f t="shared" si="93"/>
        <v>0.24120377301991325</v>
      </c>
      <c r="I84" s="47">
        <f>+IFERROR(I83/H83-1,"nm")</f>
        <v>-8.9626055488540413E-2</v>
      </c>
    </row>
    <row r="85" spans="1:14" ht="15" thickBot="1" x14ac:dyDescent="0.35">
      <c r="A85" s="45" t="s">
        <v>113</v>
      </c>
      <c r="B85" s="7"/>
      <c r="C85" s="7"/>
      <c r="D85" s="7"/>
      <c r="E85" s="7"/>
      <c r="F85" s="1">
        <v>4262</v>
      </c>
      <c r="G85" s="1">
        <v>4635</v>
      </c>
      <c r="H85" s="76">
        <v>5748</v>
      </c>
      <c r="I85" s="76">
        <v>5416</v>
      </c>
      <c r="J85" s="63">
        <f>I85*1.09</f>
        <v>5903.4400000000005</v>
      </c>
      <c r="K85" s="63">
        <f t="shared" ref="K85:N85" si="94">J85*1.09</f>
        <v>6434.749600000001</v>
      </c>
      <c r="L85" s="63">
        <f t="shared" si="94"/>
        <v>7013.8770640000021</v>
      </c>
      <c r="M85" s="63">
        <f t="shared" si="94"/>
        <v>7645.1259997600027</v>
      </c>
      <c r="N85" s="63">
        <f t="shared" si="94"/>
        <v>8333.1873397384043</v>
      </c>
    </row>
    <row r="86" spans="1:14" ht="15" thickTop="1" x14ac:dyDescent="0.3">
      <c r="A86" s="44" t="s">
        <v>129</v>
      </c>
      <c r="B86" s="47" t="str">
        <f t="shared" ref="B86:H86" si="95">+IFERROR(B85/A85-1,"nm")</f>
        <v>nm</v>
      </c>
      <c r="C86" s="47" t="str">
        <f t="shared" si="95"/>
        <v>nm</v>
      </c>
      <c r="D86" s="47" t="str">
        <f t="shared" si="95"/>
        <v>nm</v>
      </c>
      <c r="E86" s="47" t="str">
        <f t="shared" si="95"/>
        <v>nm</v>
      </c>
      <c r="F86" s="47" t="str">
        <f t="shared" si="95"/>
        <v>nm</v>
      </c>
      <c r="G86" s="47">
        <f t="shared" si="95"/>
        <v>8.7517597372125833E-2</v>
      </c>
      <c r="H86" s="47">
        <f t="shared" si="95"/>
        <v>0.24012944983818763</v>
      </c>
      <c r="I86" s="47">
        <f>+IFERROR(I85/H85-1,"nm")</f>
        <v>-5.7759220598469052E-2</v>
      </c>
    </row>
    <row r="87" spans="1:14" x14ac:dyDescent="0.3">
      <c r="A87" s="44" t="s">
        <v>137</v>
      </c>
      <c r="B87" s="47">
        <f>+[2]Historicals!B255</f>
        <v>0</v>
      </c>
      <c r="C87" s="47">
        <f>+[2]Historicals!C255</f>
        <v>0</v>
      </c>
      <c r="D87" s="47">
        <f>+[2]Historicals!D255</f>
        <v>0</v>
      </c>
      <c r="E87" s="47">
        <f>+[2]Historicals!E255</f>
        <v>0</v>
      </c>
      <c r="F87" s="47">
        <f>+[2]Historicals!F255</f>
        <v>0</v>
      </c>
      <c r="G87" s="47">
        <f>+[2]Historicals!G255</f>
        <v>0</v>
      </c>
      <c r="H87" s="47">
        <f>+[2]Historicals!H255</f>
        <v>0</v>
      </c>
      <c r="I87" s="47">
        <f>+[2]Historicals!I255</f>
        <v>0</v>
      </c>
    </row>
    <row r="88" spans="1:14" x14ac:dyDescent="0.3">
      <c r="A88" s="44" t="s">
        <v>138</v>
      </c>
      <c r="B88" s="47" t="str">
        <f t="shared" ref="B88:G88" si="96">+IFERROR(B86-B87,"nm")</f>
        <v>nm</v>
      </c>
      <c r="C88" s="47" t="str">
        <f t="shared" si="96"/>
        <v>nm</v>
      </c>
      <c r="D88" s="47" t="str">
        <f t="shared" si="96"/>
        <v>nm</v>
      </c>
      <c r="E88" s="47" t="str">
        <f t="shared" si="96"/>
        <v>nm</v>
      </c>
      <c r="F88" s="47" t="str">
        <f t="shared" si="96"/>
        <v>nm</v>
      </c>
      <c r="G88" s="47">
        <f t="shared" si="96"/>
        <v>8.7517597372125833E-2</v>
      </c>
      <c r="H88" s="47">
        <f>+IFERROR(H86-H87,"nm")</f>
        <v>0.24012944983818763</v>
      </c>
      <c r="I88" s="47">
        <f>+IFERROR(I86-I87,"nm")</f>
        <v>-5.7759220598469052E-2</v>
      </c>
    </row>
    <row r="89" spans="1:14" ht="15" thickBot="1" x14ac:dyDescent="0.35">
      <c r="A89" s="45" t="s">
        <v>114</v>
      </c>
      <c r="B89" s="7"/>
      <c r="C89" s="7"/>
      <c r="D89" s="7"/>
      <c r="E89" s="7"/>
      <c r="F89" s="1">
        <v>1808</v>
      </c>
      <c r="G89" s="1">
        <v>1896</v>
      </c>
      <c r="H89" s="76">
        <v>2347</v>
      </c>
      <c r="I89" s="76">
        <v>1938</v>
      </c>
      <c r="J89" s="63">
        <f>I89*1.037</f>
        <v>2009.7059999999999</v>
      </c>
      <c r="K89" s="63">
        <f t="shared" ref="K89:N89" si="97">J89*1.037</f>
        <v>2084.0651219999995</v>
      </c>
      <c r="L89" s="63">
        <f t="shared" si="97"/>
        <v>2161.1755315139994</v>
      </c>
      <c r="M89" s="63">
        <f t="shared" si="97"/>
        <v>2241.139026180017</v>
      </c>
      <c r="N89" s="63">
        <f t="shared" si="97"/>
        <v>2324.0611701486773</v>
      </c>
    </row>
    <row r="90" spans="1:14" ht="15" thickTop="1" x14ac:dyDescent="0.3">
      <c r="A90" s="44" t="s">
        <v>129</v>
      </c>
      <c r="B90" s="47" t="str">
        <f t="shared" ref="B90:H90" si="98">+IFERROR(B89/A89-1,"nm")</f>
        <v>nm</v>
      </c>
      <c r="C90" s="47" t="str">
        <f t="shared" si="98"/>
        <v>nm</v>
      </c>
      <c r="D90" s="47" t="str">
        <f t="shared" si="98"/>
        <v>nm</v>
      </c>
      <c r="E90" s="47" t="str">
        <f t="shared" si="98"/>
        <v>nm</v>
      </c>
      <c r="F90" s="47" t="str">
        <f t="shared" si="98"/>
        <v>nm</v>
      </c>
      <c r="G90" s="47">
        <f t="shared" si="98"/>
        <v>4.8672566371681381E-2</v>
      </c>
      <c r="H90" s="47">
        <f t="shared" si="98"/>
        <v>0.2378691983122363</v>
      </c>
      <c r="I90" s="47">
        <f>+IFERROR(I89/H89-1,"nm")</f>
        <v>-0.17426501917341286</v>
      </c>
    </row>
    <row r="91" spans="1:14" x14ac:dyDescent="0.3">
      <c r="A91" s="44" t="s">
        <v>137</v>
      </c>
      <c r="B91" s="47">
        <f>+[2]Historicals!B259</f>
        <v>0</v>
      </c>
      <c r="C91" s="47">
        <f>+[2]Historicals!C259</f>
        <v>0</v>
      </c>
      <c r="D91" s="47">
        <f>+[2]Historicals!D259</f>
        <v>0</v>
      </c>
      <c r="E91" s="47">
        <f>+[2]Historicals!E259</f>
        <v>0</v>
      </c>
      <c r="F91" s="47">
        <f>+[2]Historicals!F259</f>
        <v>0</v>
      </c>
      <c r="G91" s="47">
        <f>+[2]Historicals!G259</f>
        <v>0</v>
      </c>
      <c r="H91" s="47">
        <f>+[2]Historicals!H259</f>
        <v>0</v>
      </c>
      <c r="I91" s="47">
        <f>+[2]Historicals!I259</f>
        <v>0</v>
      </c>
    </row>
    <row r="92" spans="1:14" x14ac:dyDescent="0.3">
      <c r="A92" s="44" t="s">
        <v>138</v>
      </c>
      <c r="B92" s="47" t="str">
        <f t="shared" ref="B92:H92" si="99">+IFERROR(B90-B91,"nm")</f>
        <v>nm</v>
      </c>
      <c r="C92" s="47" t="str">
        <f t="shared" si="99"/>
        <v>nm</v>
      </c>
      <c r="D92" s="47" t="str">
        <f t="shared" si="99"/>
        <v>nm</v>
      </c>
      <c r="E92" s="47" t="str">
        <f t="shared" si="99"/>
        <v>nm</v>
      </c>
      <c r="F92" s="47" t="str">
        <f t="shared" si="99"/>
        <v>nm</v>
      </c>
      <c r="G92" s="47">
        <f t="shared" si="99"/>
        <v>4.8672566371681381E-2</v>
      </c>
      <c r="H92" s="47">
        <f t="shared" si="99"/>
        <v>0.2378691983122363</v>
      </c>
      <c r="I92" s="47">
        <f>+IFERROR(I90-I91,"nm")</f>
        <v>-0.17426501917341286</v>
      </c>
    </row>
    <row r="93" spans="1:14" ht="15" thickBot="1" x14ac:dyDescent="0.35">
      <c r="A93" s="45" t="s">
        <v>115</v>
      </c>
      <c r="B93" s="7"/>
      <c r="C93" s="7"/>
      <c r="D93" s="7"/>
      <c r="E93" s="7"/>
      <c r="F93" s="1">
        <v>138</v>
      </c>
      <c r="G93" s="1">
        <v>148</v>
      </c>
      <c r="H93" s="1">
        <v>195</v>
      </c>
      <c r="I93" s="1">
        <v>193</v>
      </c>
      <c r="J93" s="63">
        <f>I93*1.127</f>
        <v>217.511</v>
      </c>
      <c r="K93" s="63">
        <f t="shared" ref="K93:N93" si="100">J93*1.127</f>
        <v>245.134897</v>
      </c>
      <c r="L93" s="63">
        <f t="shared" si="100"/>
        <v>276.26702891899998</v>
      </c>
      <c r="M93" s="63">
        <f t="shared" si="100"/>
        <v>311.35294159171298</v>
      </c>
      <c r="N93" s="63">
        <f t="shared" si="100"/>
        <v>350.89476517386055</v>
      </c>
    </row>
    <row r="94" spans="1:14" ht="15" thickTop="1" x14ac:dyDescent="0.3">
      <c r="A94" s="44" t="s">
        <v>129</v>
      </c>
      <c r="B94" s="47" t="str">
        <f t="shared" ref="B94:H94" si="101">+IFERROR(B93/A93-1,"nm")</f>
        <v>nm</v>
      </c>
      <c r="C94" s="47" t="str">
        <f t="shared" si="101"/>
        <v>nm</v>
      </c>
      <c r="D94" s="47" t="str">
        <f t="shared" si="101"/>
        <v>nm</v>
      </c>
      <c r="E94" s="47" t="str">
        <f t="shared" si="101"/>
        <v>nm</v>
      </c>
      <c r="F94" s="47" t="str">
        <f t="shared" si="101"/>
        <v>nm</v>
      </c>
      <c r="G94" s="47">
        <f t="shared" si="101"/>
        <v>7.2463768115942129E-2</v>
      </c>
      <c r="H94" s="47">
        <f t="shared" si="101"/>
        <v>0.31756756756756754</v>
      </c>
      <c r="I94" s="47">
        <f>+IFERROR(I93/H93-1,"nm")</f>
        <v>-1.025641025641022E-2</v>
      </c>
    </row>
    <row r="95" spans="1:14" x14ac:dyDescent="0.3">
      <c r="A95" s="44" t="s">
        <v>137</v>
      </c>
      <c r="B95" s="47">
        <f>+[2]Historicals!B257</f>
        <v>0</v>
      </c>
      <c r="C95" s="47">
        <f>+[2]Historicals!C257</f>
        <v>0</v>
      </c>
      <c r="D95" s="47">
        <f>+[2]Historicals!D257</f>
        <v>0</v>
      </c>
      <c r="E95" s="47">
        <f>+[2]Historicals!E257</f>
        <v>0</v>
      </c>
      <c r="F95" s="47">
        <f>+[2]Historicals!F257</f>
        <v>0</v>
      </c>
      <c r="G95" s="47">
        <f>+[2]Historicals!G257</f>
        <v>0</v>
      </c>
      <c r="H95" s="47">
        <f>+[2]Historicals!H257</f>
        <v>0</v>
      </c>
      <c r="I95" s="47">
        <f>+[2]Historicals!I257</f>
        <v>0</v>
      </c>
    </row>
    <row r="96" spans="1:14" x14ac:dyDescent="0.3">
      <c r="A96" s="44" t="s">
        <v>138</v>
      </c>
      <c r="B96" s="47" t="str">
        <f t="shared" ref="B96:H96" si="102">+IFERROR(B94-B95,"nm")</f>
        <v>nm</v>
      </c>
      <c r="C96" s="47" t="str">
        <f t="shared" si="102"/>
        <v>nm</v>
      </c>
      <c r="D96" s="47" t="str">
        <f t="shared" si="102"/>
        <v>nm</v>
      </c>
      <c r="E96" s="47" t="str">
        <f t="shared" si="102"/>
        <v>nm</v>
      </c>
      <c r="F96" s="47" t="str">
        <f t="shared" si="102"/>
        <v>nm</v>
      </c>
      <c r="G96" s="47">
        <f t="shared" si="102"/>
        <v>7.2463768115942129E-2</v>
      </c>
      <c r="H96" s="47">
        <f t="shared" si="102"/>
        <v>0.31756756756756754</v>
      </c>
      <c r="I96" s="47">
        <f>+IFERROR(I94-I95,"nm")</f>
        <v>-1.025641025641022E-2</v>
      </c>
    </row>
    <row r="97" spans="1:14" ht="15" thickBot="1" x14ac:dyDescent="0.35">
      <c r="A97" s="9" t="s">
        <v>130</v>
      </c>
      <c r="B97" s="81">
        <f>B103+B100</f>
        <v>1039</v>
      </c>
      <c r="C97" s="81">
        <f t="shared" ref="C97:I97" si="103">C103+C100</f>
        <v>1420</v>
      </c>
      <c r="D97" s="81">
        <f t="shared" si="103"/>
        <v>1561</v>
      </c>
      <c r="E97" s="81">
        <f t="shared" si="103"/>
        <v>1863</v>
      </c>
      <c r="F97" s="81">
        <f t="shared" si="103"/>
        <v>2426</v>
      </c>
      <c r="G97" s="81">
        <f t="shared" si="103"/>
        <v>2534</v>
      </c>
      <c r="H97" s="81">
        <f t="shared" si="103"/>
        <v>3289</v>
      </c>
      <c r="I97" s="81">
        <f t="shared" si="103"/>
        <v>2406</v>
      </c>
      <c r="J97" s="84">
        <f>J103+J100</f>
        <v>2767.3530000000001</v>
      </c>
      <c r="K97" s="84">
        <f t="shared" ref="K97:N97" si="104">K103+K100</f>
        <v>3184.0741890000004</v>
      </c>
      <c r="L97" s="84">
        <f t="shared" si="104"/>
        <v>3664.6339257570003</v>
      </c>
      <c r="M97" s="84">
        <f t="shared" si="104"/>
        <v>4218.7985456077413</v>
      </c>
      <c r="N97" s="84">
        <f t="shared" si="104"/>
        <v>4857.8286447451273</v>
      </c>
    </row>
    <row r="98" spans="1:14" ht="15" thickTop="1" x14ac:dyDescent="0.3">
      <c r="A98" s="46" t="s">
        <v>129</v>
      </c>
      <c r="B98" s="47" t="str">
        <f t="shared" ref="B98:H98" si="105">+IFERROR(B97/A97-1,"nm")</f>
        <v>nm</v>
      </c>
      <c r="C98" s="47">
        <f t="shared" si="105"/>
        <v>0.36669874879692022</v>
      </c>
      <c r="D98" s="47">
        <f t="shared" si="105"/>
        <v>9.9295774647887303E-2</v>
      </c>
      <c r="E98" s="47">
        <f t="shared" si="105"/>
        <v>0.19346572709801402</v>
      </c>
      <c r="F98" s="47">
        <f t="shared" si="105"/>
        <v>0.3022007514761138</v>
      </c>
      <c r="G98" s="47">
        <f t="shared" si="105"/>
        <v>4.4517724649629109E-2</v>
      </c>
      <c r="H98" s="47">
        <f t="shared" si="105"/>
        <v>0.29794790844514596</v>
      </c>
      <c r="I98" s="47">
        <f>+IFERROR(I97/H97-1,"nm")</f>
        <v>-0.26847065977500761</v>
      </c>
    </row>
    <row r="99" spans="1:14" x14ac:dyDescent="0.3">
      <c r="A99" s="46" t="s">
        <v>131</v>
      </c>
      <c r="B99" s="47" t="str">
        <f t="shared" ref="B99:H99" si="106">+IFERROR(B97/B$18,"nm")</f>
        <v>nm</v>
      </c>
      <c r="C99" s="47">
        <f t="shared" si="106"/>
        <v>20012.093023255838</v>
      </c>
      <c r="D99" s="47">
        <f t="shared" si="106"/>
        <v>17773.491228070161</v>
      </c>
      <c r="E99" s="47">
        <f t="shared" si="106"/>
        <v>32079.951219512212</v>
      </c>
      <c r="F99" s="47">
        <f t="shared" si="106"/>
        <v>-43148.142857142833</v>
      </c>
      <c r="G99" s="47">
        <f t="shared" si="106"/>
        <v>111654.37499999984</v>
      </c>
      <c r="H99" s="47">
        <f t="shared" si="106"/>
        <v>103103.00000000004</v>
      </c>
      <c r="I99" s="47">
        <f>+IFERROR(I97/I$18,"nm")</f>
        <v>-66298.66666666673</v>
      </c>
    </row>
    <row r="100" spans="1:14" x14ac:dyDescent="0.3">
      <c r="A100" s="9" t="s">
        <v>132</v>
      </c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85">
        <f>I100*0.988</f>
        <v>40.508000000000003</v>
      </c>
      <c r="K100" s="85">
        <f t="shared" ref="K100:N100" si="107">J100*0.988</f>
        <v>40.021903999999999</v>
      </c>
      <c r="L100" s="85">
        <f t="shared" si="107"/>
        <v>39.541641151999997</v>
      </c>
      <c r="M100" s="85">
        <f t="shared" si="107"/>
        <v>39.067141458175996</v>
      </c>
      <c r="N100" s="85">
        <f t="shared" si="107"/>
        <v>38.598335760677884</v>
      </c>
    </row>
    <row r="101" spans="1:14" x14ac:dyDescent="0.3">
      <c r="A101" s="46" t="s">
        <v>129</v>
      </c>
      <c r="B101" s="47" t="str">
        <f t="shared" ref="B101:H101" si="108">+IFERROR(B100/A100-1,"nm")</f>
        <v>nm</v>
      </c>
      <c r="C101" s="47">
        <f t="shared" si="108"/>
        <v>4.3478260869565188E-2</v>
      </c>
      <c r="D101" s="47">
        <f t="shared" si="108"/>
        <v>0.125</v>
      </c>
      <c r="E101" s="47">
        <f t="shared" si="108"/>
        <v>3.7037037037036979E-2</v>
      </c>
      <c r="F101" s="47">
        <f t="shared" si="108"/>
        <v>-0.1071428571428571</v>
      </c>
      <c r="G101" s="47">
        <f t="shared" si="108"/>
        <v>-0.12</v>
      </c>
      <c r="H101" s="47">
        <f t="shared" si="108"/>
        <v>4.5454545454545414E-2</v>
      </c>
      <c r="I101" s="47">
        <f>+IFERROR(I100/H100-1,"nm")</f>
        <v>-0.10869565217391308</v>
      </c>
    </row>
    <row r="102" spans="1:14" x14ac:dyDescent="0.3">
      <c r="A102" s="46" t="s">
        <v>133</v>
      </c>
      <c r="B102" s="47" t="str">
        <f t="shared" ref="B102:H102" si="109">+IFERROR(B100/B$18,"nm")</f>
        <v>nm</v>
      </c>
      <c r="C102" s="47">
        <f t="shared" si="109"/>
        <v>676.46511627907057</v>
      </c>
      <c r="D102" s="47">
        <f t="shared" si="109"/>
        <v>614.84210526315746</v>
      </c>
      <c r="E102" s="47">
        <f t="shared" si="109"/>
        <v>964.2926829268298</v>
      </c>
      <c r="F102" s="47">
        <f t="shared" si="109"/>
        <v>-889.28571428571377</v>
      </c>
      <c r="G102" s="47">
        <f t="shared" si="109"/>
        <v>1938.7499999999973</v>
      </c>
      <c r="H102" s="47">
        <f t="shared" si="109"/>
        <v>1442.0000000000007</v>
      </c>
      <c r="I102" s="47">
        <f>+IFERROR(I100/I$18,"nm")</f>
        <v>-1129.7777777777787</v>
      </c>
    </row>
    <row r="103" spans="1:14" x14ac:dyDescent="0.3">
      <c r="A103" s="9" t="s">
        <v>134</v>
      </c>
      <c r="B103" s="9">
        <v>993</v>
      </c>
      <c r="C103" s="9">
        <v>1372</v>
      </c>
      <c r="D103" s="9">
        <v>1507</v>
      </c>
      <c r="E103" s="9">
        <v>1807</v>
      </c>
      <c r="F103" s="9">
        <v>2376</v>
      </c>
      <c r="G103" s="9">
        <v>2490</v>
      </c>
      <c r="H103" s="9">
        <v>3243</v>
      </c>
      <c r="I103" s="9">
        <v>2365</v>
      </c>
      <c r="J103" s="84">
        <f>I103*1.153</f>
        <v>2726.8450000000003</v>
      </c>
      <c r="K103" s="84">
        <f t="shared" ref="K103:N103" si="110">J103*1.153</f>
        <v>3144.0522850000002</v>
      </c>
      <c r="L103" s="84">
        <f t="shared" si="110"/>
        <v>3625.0922846050003</v>
      </c>
      <c r="M103" s="84">
        <f t="shared" si="110"/>
        <v>4179.7314041495656</v>
      </c>
      <c r="N103" s="84">
        <f t="shared" si="110"/>
        <v>4819.230308984449</v>
      </c>
    </row>
    <row r="104" spans="1:14" x14ac:dyDescent="0.3">
      <c r="A104" s="46" t="s">
        <v>129</v>
      </c>
      <c r="B104" s="47" t="str">
        <f t="shared" ref="B104:H104" si="111">+IFERROR(B103/A103-1,"nm")</f>
        <v>nm</v>
      </c>
      <c r="C104" s="47">
        <f t="shared" si="111"/>
        <v>0.38167170191339372</v>
      </c>
      <c r="D104" s="47">
        <f t="shared" si="111"/>
        <v>9.8396501457725938E-2</v>
      </c>
      <c r="E104" s="47">
        <f t="shared" si="111"/>
        <v>0.19907100199071004</v>
      </c>
      <c r="F104" s="47">
        <f t="shared" si="111"/>
        <v>0.31488655229662421</v>
      </c>
      <c r="G104" s="47">
        <f t="shared" si="111"/>
        <v>4.7979797979798011E-2</v>
      </c>
      <c r="H104" s="47">
        <f t="shared" si="111"/>
        <v>0.30240963855421676</v>
      </c>
      <c r="I104" s="47">
        <f>+IFERROR(I103/H103-1,"nm")</f>
        <v>-0.27073697193956214</v>
      </c>
    </row>
    <row r="105" spans="1:14" x14ac:dyDescent="0.3">
      <c r="A105" s="46" t="s">
        <v>131</v>
      </c>
      <c r="B105" s="47" t="str">
        <f t="shared" ref="B105:H105" si="112">+IFERROR(B103/B$18,"nm")</f>
        <v>nm</v>
      </c>
      <c r="C105" s="47">
        <f t="shared" si="112"/>
        <v>19335.627906976766</v>
      </c>
      <c r="D105" s="47">
        <f t="shared" si="112"/>
        <v>17158.649122807004</v>
      </c>
      <c r="E105" s="47">
        <f t="shared" si="112"/>
        <v>31115.658536585383</v>
      </c>
      <c r="F105" s="47">
        <f t="shared" si="112"/>
        <v>-42258.857142857116</v>
      </c>
      <c r="G105" s="47">
        <f t="shared" si="112"/>
        <v>109715.62499999984</v>
      </c>
      <c r="H105" s="47">
        <f t="shared" si="112"/>
        <v>101661.00000000004</v>
      </c>
      <c r="I105" s="47">
        <f>+IFERROR(I103/I$18,"nm")</f>
        <v>-65168.888888888949</v>
      </c>
    </row>
    <row r="106" spans="1:14" x14ac:dyDescent="0.3">
      <c r="A106" s="9" t="s">
        <v>135</v>
      </c>
      <c r="B106" s="9">
        <v>69</v>
      </c>
      <c r="C106" s="9">
        <v>44</v>
      </c>
      <c r="D106" s="9">
        <v>51</v>
      </c>
      <c r="E106" s="9">
        <v>76</v>
      </c>
      <c r="F106" s="9">
        <v>49</v>
      </c>
      <c r="G106" s="9">
        <v>28</v>
      </c>
      <c r="H106" s="9">
        <v>94</v>
      </c>
      <c r="I106" s="9">
        <v>78</v>
      </c>
      <c r="J106" s="84">
        <f>I106*1.241</f>
        <v>96.798000000000002</v>
      </c>
      <c r="K106" s="84">
        <f t="shared" ref="K106:N106" si="113">J106*1.241</f>
        <v>120.12631800000001</v>
      </c>
      <c r="L106" s="84">
        <f t="shared" si="113"/>
        <v>149.07676063800002</v>
      </c>
      <c r="M106" s="84">
        <f t="shared" si="113"/>
        <v>185.00425995175806</v>
      </c>
      <c r="N106" s="84">
        <f t="shared" si="113"/>
        <v>229.59028660013178</v>
      </c>
    </row>
    <row r="107" spans="1:14" x14ac:dyDescent="0.3">
      <c r="A107" s="46" t="s">
        <v>129</v>
      </c>
      <c r="B107" s="47" t="str">
        <f t="shared" ref="B107:H107" si="114">+IFERROR(B106/A106-1,"nm")</f>
        <v>nm</v>
      </c>
      <c r="C107" s="47">
        <f t="shared" si="114"/>
        <v>-0.3623188405797102</v>
      </c>
      <c r="D107" s="47">
        <f t="shared" si="114"/>
        <v>0.15909090909090917</v>
      </c>
      <c r="E107" s="47">
        <f t="shared" si="114"/>
        <v>0.49019607843137258</v>
      </c>
      <c r="F107" s="47">
        <f t="shared" si="114"/>
        <v>-0.35526315789473684</v>
      </c>
      <c r="G107" s="47">
        <f t="shared" si="114"/>
        <v>-0.4285714285714286</v>
      </c>
      <c r="H107" s="47">
        <f t="shared" si="114"/>
        <v>2.3571428571428572</v>
      </c>
      <c r="I107" s="47">
        <f>+IFERROR(I106/H106-1,"nm")</f>
        <v>-0.17021276595744683</v>
      </c>
    </row>
    <row r="108" spans="1:14" x14ac:dyDescent="0.3">
      <c r="A108" s="46" t="s">
        <v>133</v>
      </c>
      <c r="B108" s="47" t="str">
        <f t="shared" ref="B108:H108" si="115">+IFERROR(B106/B$18,"nm")</f>
        <v>nm</v>
      </c>
      <c r="C108" s="47">
        <f t="shared" si="115"/>
        <v>620.09302325581473</v>
      </c>
      <c r="D108" s="47">
        <f t="shared" si="115"/>
        <v>580.68421052631538</v>
      </c>
      <c r="E108" s="47">
        <f t="shared" si="115"/>
        <v>1308.682926829269</v>
      </c>
      <c r="F108" s="47">
        <f t="shared" si="115"/>
        <v>-871.49999999999955</v>
      </c>
      <c r="G108" s="47">
        <f>+IFERROR(G106/G$18,"nm")</f>
        <v>1233.7499999999982</v>
      </c>
      <c r="H108" s="47">
        <f t="shared" si="115"/>
        <v>2946.6956521739144</v>
      </c>
      <c r="I108" s="82">
        <f>+IFERROR(I106/I$18,"nm")</f>
        <v>-2149.3333333333353</v>
      </c>
    </row>
    <row r="109" spans="1:14" x14ac:dyDescent="0.3">
      <c r="A109" s="86" t="s">
        <v>210</v>
      </c>
      <c r="B109" s="9">
        <v>254</v>
      </c>
      <c r="C109" s="9">
        <v>234</v>
      </c>
      <c r="D109" s="9">
        <v>225</v>
      </c>
      <c r="E109" s="9">
        <v>256</v>
      </c>
      <c r="F109" s="9">
        <v>237</v>
      </c>
      <c r="G109" s="9">
        <v>214</v>
      </c>
      <c r="H109" s="9">
        <v>288</v>
      </c>
      <c r="I109" s="9">
        <v>303</v>
      </c>
      <c r="J109" s="48">
        <f>I109*1.02</f>
        <v>309.06</v>
      </c>
      <c r="K109" s="48">
        <f t="shared" ref="K109:N109" si="116">J109*1.02</f>
        <v>315.24119999999999</v>
      </c>
      <c r="L109" s="48">
        <f t="shared" si="116"/>
        <v>321.54602399999999</v>
      </c>
      <c r="M109" s="48">
        <f t="shared" si="116"/>
        <v>327.97694447999999</v>
      </c>
      <c r="N109" s="48">
        <f t="shared" si="116"/>
        <v>334.53648336959998</v>
      </c>
    </row>
    <row r="110" spans="1:14" x14ac:dyDescent="0.3">
      <c r="A110" s="46" t="s">
        <v>129</v>
      </c>
      <c r="B110" s="47" t="str">
        <f t="shared" ref="B110:F110" si="117">+IFERROR(B109/A109-1,"nm")</f>
        <v>nm</v>
      </c>
      <c r="C110" s="47">
        <f t="shared" si="117"/>
        <v>-7.8740157480314932E-2</v>
      </c>
      <c r="D110" s="47">
        <f t="shared" si="117"/>
        <v>-3.8461538461538436E-2</v>
      </c>
      <c r="E110" s="47">
        <f t="shared" si="117"/>
        <v>0.13777777777777778</v>
      </c>
      <c r="F110" s="47">
        <f t="shared" si="117"/>
        <v>-7.421875E-2</v>
      </c>
      <c r="G110" s="47">
        <f>+IFERROR(F109/E109-1,"nm")</f>
        <v>-7.421875E-2</v>
      </c>
      <c r="H110" s="47">
        <f>+IFERROR(H109/F109-1,"nm")</f>
        <v>0.21518987341772156</v>
      </c>
      <c r="I110" s="47">
        <f>+IFERROR(I109/H109-1,"nm")</f>
        <v>5.2083333333333259E-2</v>
      </c>
      <c r="J110" s="47" t="e">
        <f>+J111+#REF!</f>
        <v>#REF!</v>
      </c>
      <c r="K110" s="47" t="e">
        <f>+K111+#REF!</f>
        <v>#REF!</v>
      </c>
      <c r="L110" s="47" t="e">
        <f>+L111+#REF!</f>
        <v>#REF!</v>
      </c>
      <c r="M110" s="47" t="e">
        <f>+M111+#REF!</f>
        <v>#REF!</v>
      </c>
      <c r="N110" s="47" t="e">
        <f>+N111+#REF!</f>
        <v>#REF!</v>
      </c>
    </row>
    <row r="111" spans="1:14" x14ac:dyDescent="0.3">
      <c r="A111" s="46" t="s">
        <v>133</v>
      </c>
      <c r="B111" s="47">
        <f t="shared" ref="B111:I111" si="118">+IFERROR(B109/B$21,"nm")</f>
        <v>1.8486171761280933E-2</v>
      </c>
      <c r="C111" s="47">
        <f t="shared" si="118"/>
        <v>1.5849363316174477E-2</v>
      </c>
      <c r="D111" s="47">
        <f t="shared" si="118"/>
        <v>1.4787066246056782E-2</v>
      </c>
      <c r="E111" s="47" t="str">
        <f>+IFERROR(#REF!/E$21,"nm")</f>
        <v>nm</v>
      </c>
      <c r="F111" s="47">
        <f>+IFERROR(E109/F$21,"nm")</f>
        <v>1.6098603949188783E-2</v>
      </c>
      <c r="G111" s="47">
        <f>+IFERROR(F109/G$21,"nm")</f>
        <v>1.6362883181441589E-2</v>
      </c>
      <c r="H111" s="47">
        <f t="shared" si="118"/>
        <v>1.6764654520053553E-2</v>
      </c>
      <c r="I111" s="47">
        <f t="shared" si="118"/>
        <v>1.650956246935106E-2</v>
      </c>
      <c r="J111" s="49">
        <f>+I111</f>
        <v>1.650956246935106E-2</v>
      </c>
      <c r="K111" s="49">
        <f t="shared" ref="K111:M111" si="119">+J111</f>
        <v>1.650956246935106E-2</v>
      </c>
      <c r="L111" s="49">
        <f t="shared" si="119"/>
        <v>1.650956246935106E-2</v>
      </c>
      <c r="M111" s="49">
        <f t="shared" si="119"/>
        <v>1.650956246935106E-2</v>
      </c>
      <c r="N111" s="49">
        <f>+M111</f>
        <v>1.650956246935106E-2</v>
      </c>
    </row>
    <row r="112" spans="1:14" x14ac:dyDescent="0.3">
      <c r="A112" s="87" t="s">
        <v>211</v>
      </c>
    </row>
    <row r="113" spans="1:14" x14ac:dyDescent="0.3">
      <c r="A113" s="9" t="s">
        <v>136</v>
      </c>
      <c r="B113" s="9">
        <v>4653</v>
      </c>
      <c r="C113" s="9">
        <v>4570</v>
      </c>
      <c r="D113" s="9">
        <v>5009</v>
      </c>
      <c r="E113" s="9">
        <v>5166</v>
      </c>
      <c r="F113" s="9">
        <v>5254</v>
      </c>
      <c r="G113" s="9">
        <v>5028</v>
      </c>
      <c r="H113" s="9">
        <v>5343</v>
      </c>
      <c r="I113" s="9">
        <v>5955</v>
      </c>
      <c r="J113" s="84">
        <f>I113*1.037</f>
        <v>6175.3349999999991</v>
      </c>
      <c r="K113" s="84">
        <f t="shared" ref="K113:N113" si="120">J113*1.037</f>
        <v>6403.8223949999983</v>
      </c>
      <c r="L113" s="84">
        <f t="shared" si="120"/>
        <v>6640.7638236149978</v>
      </c>
      <c r="M113" s="84">
        <f t="shared" si="120"/>
        <v>6886.4720850887525</v>
      </c>
      <c r="N113" s="84">
        <f t="shared" si="120"/>
        <v>7141.2715522370354</v>
      </c>
    </row>
    <row r="114" spans="1:14" x14ac:dyDescent="0.3">
      <c r="A114" s="44" t="s">
        <v>129</v>
      </c>
      <c r="B114" s="47" t="str">
        <f t="shared" ref="B114:H114" si="121">+IFERROR(B113/A113-1,"nm")</f>
        <v>nm</v>
      </c>
      <c r="C114" s="47">
        <f t="shared" si="121"/>
        <v>-1.783795400816679E-2</v>
      </c>
      <c r="D114" s="47">
        <f t="shared" si="121"/>
        <v>9.6061269146608286E-2</v>
      </c>
      <c r="E114" s="47">
        <f t="shared" si="121"/>
        <v>3.1343581553204158E-2</v>
      </c>
      <c r="F114" s="47">
        <f t="shared" si="121"/>
        <v>1.7034456058846237E-2</v>
      </c>
      <c r="G114" s="47">
        <f t="shared" si="121"/>
        <v>-4.3014845831747195E-2</v>
      </c>
      <c r="H114" s="47">
        <f t="shared" si="121"/>
        <v>6.2649164677804237E-2</v>
      </c>
      <c r="I114" s="47">
        <f>+IFERROR(I113/H113-1,"nm")</f>
        <v>0.11454239191465465</v>
      </c>
    </row>
    <row r="115" spans="1:14" x14ac:dyDescent="0.3">
      <c r="A115" s="45" t="s">
        <v>113</v>
      </c>
      <c r="B115" s="3">
        <f>+[2]Historicals!B208</f>
        <v>0</v>
      </c>
      <c r="C115" s="3">
        <f>+[2]Historicals!C208</f>
        <v>0</v>
      </c>
      <c r="D115" s="3">
        <f>+[2]Historicals!D208</f>
        <v>0</v>
      </c>
      <c r="E115" s="3">
        <f>+[2]Historicals!E208</f>
        <v>0</v>
      </c>
      <c r="F115" s="1">
        <v>3622</v>
      </c>
      <c r="G115" s="1">
        <v>3449</v>
      </c>
      <c r="H115" s="76">
        <v>3659</v>
      </c>
      <c r="I115" s="76">
        <v>4111</v>
      </c>
      <c r="J115" s="63">
        <f>I115*1.046</f>
        <v>4300.1059999999998</v>
      </c>
      <c r="K115" s="63">
        <f t="shared" ref="K115:N115" si="122">J115*1.046</f>
        <v>4497.9108759999999</v>
      </c>
      <c r="L115" s="63">
        <f t="shared" si="122"/>
        <v>4704.8147762959998</v>
      </c>
      <c r="M115" s="63">
        <f t="shared" si="122"/>
        <v>4921.2362560056163</v>
      </c>
      <c r="N115" s="63">
        <f t="shared" si="122"/>
        <v>5147.6131237818745</v>
      </c>
    </row>
    <row r="116" spans="1:14" x14ac:dyDescent="0.3">
      <c r="A116" s="44" t="s">
        <v>129</v>
      </c>
      <c r="B116" s="47" t="str">
        <f t="shared" ref="B116:F116" si="123">+IFERROR(B115/A115-1,"nm")</f>
        <v>nm</v>
      </c>
      <c r="C116" s="47" t="str">
        <f t="shared" si="123"/>
        <v>nm</v>
      </c>
      <c r="D116" s="47" t="str">
        <f t="shared" si="123"/>
        <v>nm</v>
      </c>
      <c r="E116" s="47" t="str">
        <f t="shared" si="123"/>
        <v>nm</v>
      </c>
      <c r="F116" s="47" t="str">
        <f t="shared" si="123"/>
        <v>nm</v>
      </c>
      <c r="G116" s="47">
        <f>+IFERROR(G115/F115-1,"nm")</f>
        <v>-4.7763666482606326E-2</v>
      </c>
      <c r="H116" s="47">
        <f t="shared" ref="H116" si="124">+IFERROR(H115/G115-1,"nm")</f>
        <v>6.0887213685126174E-2</v>
      </c>
      <c r="I116" s="47">
        <f>+IFERROR(I115/H115-1,"nm")</f>
        <v>0.12353101940420874</v>
      </c>
    </row>
    <row r="117" spans="1:14" x14ac:dyDescent="0.3">
      <c r="A117" s="44" t="s">
        <v>137</v>
      </c>
      <c r="B117" s="47">
        <f>+[2]Historicals!B282</f>
        <v>0</v>
      </c>
      <c r="C117" s="47">
        <f>+[2]Historicals!C282</f>
        <v>0</v>
      </c>
      <c r="D117" s="47">
        <f>+[2]Historicals!D282</f>
        <v>0</v>
      </c>
      <c r="E117" s="47">
        <f>+[2]Historicals!E282</f>
        <v>0</v>
      </c>
      <c r="F117" s="47">
        <f>+[2]Historicals!F282</f>
        <v>0</v>
      </c>
      <c r="G117" s="47">
        <f>+[2]Historicals!G282</f>
        <v>0</v>
      </c>
      <c r="H117" s="47">
        <f>+[2]Historicals!H282</f>
        <v>0</v>
      </c>
      <c r="I117" s="47">
        <f>+[2]Historicals!I282</f>
        <v>0</v>
      </c>
    </row>
    <row r="118" spans="1:14" x14ac:dyDescent="0.3">
      <c r="A118" s="44" t="s">
        <v>138</v>
      </c>
      <c r="B118" s="47" t="str">
        <f t="shared" ref="B118:H118" si="125">+IFERROR(B116-B117,"nm")</f>
        <v>nm</v>
      </c>
      <c r="C118" s="47" t="str">
        <f t="shared" si="125"/>
        <v>nm</v>
      </c>
      <c r="D118" s="47" t="str">
        <f t="shared" si="125"/>
        <v>nm</v>
      </c>
      <c r="E118" s="47" t="str">
        <f t="shared" si="125"/>
        <v>nm</v>
      </c>
      <c r="F118" s="47" t="str">
        <f t="shared" si="125"/>
        <v>nm</v>
      </c>
      <c r="G118" s="47">
        <f t="shared" si="125"/>
        <v>-4.7763666482606326E-2</v>
      </c>
      <c r="H118" s="47">
        <f t="shared" si="125"/>
        <v>6.0887213685126174E-2</v>
      </c>
      <c r="I118" s="47">
        <f>+IFERROR(I116-I117,"nm")</f>
        <v>0.12353101940420874</v>
      </c>
    </row>
    <row r="119" spans="1:14" x14ac:dyDescent="0.3">
      <c r="A119" s="45" t="s">
        <v>114</v>
      </c>
      <c r="B119" s="3">
        <f>+[2]Historicals!B209</f>
        <v>0</v>
      </c>
      <c r="C119" s="3">
        <f>+[2]Historicals!C209</f>
        <v>0</v>
      </c>
      <c r="D119" s="3">
        <f>+[2]Historicals!D209</f>
        <v>0</v>
      </c>
      <c r="E119" s="3">
        <f>+[2]Historicals!E209</f>
        <v>0</v>
      </c>
      <c r="F119" s="1">
        <v>1395</v>
      </c>
      <c r="G119" s="1">
        <v>1365</v>
      </c>
      <c r="H119" s="76">
        <v>1494</v>
      </c>
      <c r="I119" s="76">
        <v>1610</v>
      </c>
      <c r="J119" s="63">
        <f>I119*1.05</f>
        <v>1690.5</v>
      </c>
      <c r="K119" s="63">
        <f t="shared" ref="K119:N119" si="126">J119*1.05</f>
        <v>1775.0250000000001</v>
      </c>
      <c r="L119" s="63">
        <f t="shared" si="126"/>
        <v>1863.7762500000001</v>
      </c>
      <c r="M119" s="63">
        <f t="shared" si="126"/>
        <v>1956.9650625000002</v>
      </c>
      <c r="N119" s="63">
        <f t="shared" si="126"/>
        <v>2054.8133156250001</v>
      </c>
    </row>
    <row r="120" spans="1:14" x14ac:dyDescent="0.3">
      <c r="A120" s="44" t="s">
        <v>129</v>
      </c>
      <c r="B120" s="47" t="str">
        <f t="shared" ref="B120:H120" si="127">+IFERROR(B119/A119-1,"nm")</f>
        <v>nm</v>
      </c>
      <c r="C120" s="47" t="str">
        <f t="shared" si="127"/>
        <v>nm</v>
      </c>
      <c r="D120" s="47" t="str">
        <f t="shared" si="127"/>
        <v>nm</v>
      </c>
      <c r="E120" s="47" t="str">
        <f t="shared" si="127"/>
        <v>nm</v>
      </c>
      <c r="F120" s="47" t="str">
        <f t="shared" si="127"/>
        <v>nm</v>
      </c>
      <c r="G120" s="47">
        <f t="shared" si="127"/>
        <v>-2.1505376344086002E-2</v>
      </c>
      <c r="H120" s="47">
        <f t="shared" si="127"/>
        <v>9.4505494505494614E-2</v>
      </c>
      <c r="I120" s="47">
        <f>+IFERROR(I119/H119-1,"nm")</f>
        <v>7.7643908969210251E-2</v>
      </c>
    </row>
    <row r="121" spans="1:14" x14ac:dyDescent="0.3">
      <c r="A121" s="44" t="s">
        <v>137</v>
      </c>
      <c r="B121" s="47">
        <f>+[2]Historicals!B286</f>
        <v>0</v>
      </c>
      <c r="C121" s="47">
        <f>+[2]Historicals!C286</f>
        <v>0</v>
      </c>
      <c r="D121" s="47">
        <f>+[2]Historicals!D286</f>
        <v>0</v>
      </c>
      <c r="E121" s="47">
        <f>+[2]Historicals!E286</f>
        <v>0</v>
      </c>
      <c r="F121" s="47">
        <f>+[2]Historicals!F286</f>
        <v>0</v>
      </c>
      <c r="G121" s="47">
        <f>+[2]Historicals!G286</f>
        <v>0</v>
      </c>
      <c r="H121" s="47">
        <f>+[2]Historicals!H286</f>
        <v>0</v>
      </c>
      <c r="I121" s="47">
        <f>+[2]Historicals!I286</f>
        <v>0</v>
      </c>
    </row>
    <row r="122" spans="1:14" x14ac:dyDescent="0.3">
      <c r="A122" s="44" t="s">
        <v>138</v>
      </c>
      <c r="B122" s="47" t="str">
        <f>+IFERROR(B120-B121,"nm")</f>
        <v>nm</v>
      </c>
      <c r="C122" s="47" t="str">
        <f t="shared" ref="C122:F122" si="128">+IFERROR(C120-C121,"nm")</f>
        <v>nm</v>
      </c>
      <c r="D122" s="47" t="str">
        <f t="shared" si="128"/>
        <v>nm</v>
      </c>
      <c r="E122" s="47" t="str">
        <f t="shared" si="128"/>
        <v>nm</v>
      </c>
      <c r="F122" s="47" t="str">
        <f t="shared" si="128"/>
        <v>nm</v>
      </c>
      <c r="G122" s="47">
        <f>+IFERROR(G120-G121,"nm")</f>
        <v>-2.1505376344086002E-2</v>
      </c>
      <c r="H122" s="47">
        <f t="shared" ref="H122" si="129">+IFERROR(H120-H121,"nm")</f>
        <v>9.4505494505494614E-2</v>
      </c>
      <c r="I122" s="47">
        <f>+IFERROR(I120-I121,"nm")</f>
        <v>7.7643908969210251E-2</v>
      </c>
    </row>
    <row r="123" spans="1:14" x14ac:dyDescent="0.3">
      <c r="A123" s="45" t="s">
        <v>115</v>
      </c>
      <c r="B123" s="3">
        <f>+[2]Historicals!B210</f>
        <v>0</v>
      </c>
      <c r="C123" s="3">
        <f>+[2]Historicals!C210</f>
        <v>0</v>
      </c>
      <c r="D123" s="3">
        <f>+[2]Historicals!D210</f>
        <v>0</v>
      </c>
      <c r="E123" s="3">
        <f>+[2]Historicals!E210</f>
        <v>0</v>
      </c>
      <c r="F123" s="1">
        <v>237</v>
      </c>
      <c r="G123" s="1">
        <v>214</v>
      </c>
      <c r="H123" s="1">
        <v>190</v>
      </c>
      <c r="I123" s="1">
        <v>234</v>
      </c>
      <c r="J123" s="88">
        <f>I123*1.007</f>
        <v>235.63799999999998</v>
      </c>
      <c r="K123" s="88">
        <f t="shared" ref="K123:N123" si="130">J123*1.007</f>
        <v>237.28746599999994</v>
      </c>
      <c r="L123" s="88">
        <f t="shared" si="130"/>
        <v>238.94847826199992</v>
      </c>
      <c r="M123" s="88">
        <f t="shared" si="130"/>
        <v>240.6211176098339</v>
      </c>
      <c r="N123" s="88">
        <f t="shared" si="130"/>
        <v>242.30546543310271</v>
      </c>
    </row>
    <row r="124" spans="1:14" x14ac:dyDescent="0.3">
      <c r="A124" s="44" t="s">
        <v>129</v>
      </c>
      <c r="B124" s="47" t="str">
        <f t="shared" ref="B124:H124" si="131">+IFERROR(B123/A123-1,"nm")</f>
        <v>nm</v>
      </c>
      <c r="C124" s="47" t="str">
        <f t="shared" si="131"/>
        <v>nm</v>
      </c>
      <c r="D124" s="47" t="str">
        <f t="shared" si="131"/>
        <v>nm</v>
      </c>
      <c r="E124" s="47" t="str">
        <f t="shared" si="131"/>
        <v>nm</v>
      </c>
      <c r="F124" s="47" t="str">
        <f t="shared" si="131"/>
        <v>nm</v>
      </c>
      <c r="G124" s="47">
        <f t="shared" si="131"/>
        <v>-9.7046413502109741E-2</v>
      </c>
      <c r="H124" s="47">
        <f t="shared" si="131"/>
        <v>-0.11214953271028039</v>
      </c>
      <c r="I124" s="47">
        <f>+IFERROR(I123/H123-1,"nm")</f>
        <v>0.23157894736842111</v>
      </c>
    </row>
    <row r="125" spans="1:14" x14ac:dyDescent="0.3">
      <c r="A125" s="44" t="s">
        <v>137</v>
      </c>
      <c r="B125" s="47">
        <f>+[2]Historicals!B284</f>
        <v>0</v>
      </c>
      <c r="C125" s="47">
        <f>+[2]Historicals!C284</f>
        <v>0</v>
      </c>
      <c r="D125" s="47">
        <f>+[2]Historicals!D284</f>
        <v>0</v>
      </c>
      <c r="E125" s="47">
        <f>+[2]Historicals!E284</f>
        <v>0</v>
      </c>
      <c r="F125" s="47">
        <f>+[2]Historicals!F284</f>
        <v>0</v>
      </c>
      <c r="G125" s="47">
        <f>+[2]Historicals!G284</f>
        <v>0</v>
      </c>
      <c r="H125" s="47">
        <f>+[2]Historicals!H284</f>
        <v>0</v>
      </c>
      <c r="I125" s="47">
        <f>+[2]Historicals!I284</f>
        <v>0</v>
      </c>
    </row>
    <row r="126" spans="1:14" x14ac:dyDescent="0.3">
      <c r="A126" s="44" t="s">
        <v>138</v>
      </c>
      <c r="B126" s="47" t="str">
        <f t="shared" ref="B126:F126" si="132">+IFERROR(B124-B125,"nm")</f>
        <v>nm</v>
      </c>
      <c r="C126" s="47" t="str">
        <f t="shared" si="132"/>
        <v>nm</v>
      </c>
      <c r="D126" s="47" t="str">
        <f t="shared" si="132"/>
        <v>nm</v>
      </c>
      <c r="E126" s="47" t="str">
        <f t="shared" si="132"/>
        <v>nm</v>
      </c>
      <c r="F126" s="47" t="str">
        <f t="shared" si="132"/>
        <v>nm</v>
      </c>
      <c r="G126" s="47">
        <f>+IFERROR(G124-G125,"nm")</f>
        <v>-9.7046413502109741E-2</v>
      </c>
      <c r="H126" s="47">
        <f>+IFERROR(H124-H125,"nm")</f>
        <v>-0.11214953271028039</v>
      </c>
      <c r="I126" s="47">
        <f>+IFERROR(I124-I125,"nm")</f>
        <v>0.23157894736842111</v>
      </c>
    </row>
    <row r="127" spans="1:14" ht="15" thickBot="1" x14ac:dyDescent="0.35">
      <c r="A127" s="9" t="s">
        <v>130</v>
      </c>
      <c r="B127" s="81">
        <f>B133+B130</f>
        <v>967</v>
      </c>
      <c r="C127" s="81">
        <f t="shared" ref="C127:G127" si="133">C133+C130</f>
        <v>1108</v>
      </c>
      <c r="D127" s="81">
        <f t="shared" si="133"/>
        <v>1034</v>
      </c>
      <c r="E127" s="81">
        <f t="shared" si="133"/>
        <v>1244</v>
      </c>
      <c r="F127" s="81">
        <f t="shared" si="133"/>
        <v>1376</v>
      </c>
      <c r="G127" s="81">
        <f t="shared" si="133"/>
        <v>1230</v>
      </c>
      <c r="H127" s="81">
        <f>H133+H130</f>
        <v>1573</v>
      </c>
      <c r="I127" s="81">
        <f>I133+I130</f>
        <v>1938</v>
      </c>
      <c r="J127" s="84">
        <f>J133+J130</f>
        <v>2163.0359999999996</v>
      </c>
      <c r="K127" s="84">
        <f t="shared" ref="K127:N127" si="134">K133+K130</f>
        <v>2414.9294879999998</v>
      </c>
      <c r="L127" s="84">
        <f t="shared" si="134"/>
        <v>2696.8754102159992</v>
      </c>
      <c r="M127" s="84">
        <f t="shared" si="134"/>
        <v>3012.4489267916874</v>
      </c>
      <c r="N127" s="84">
        <f t="shared" si="134"/>
        <v>3365.6506570412425</v>
      </c>
    </row>
    <row r="128" spans="1:14" ht="15" thickTop="1" x14ac:dyDescent="0.3">
      <c r="A128" s="46" t="s">
        <v>129</v>
      </c>
      <c r="B128" s="47" t="str">
        <f t="shared" ref="B128:H128" si="135">+IFERROR(B127/A127-1,"nm")</f>
        <v>nm</v>
      </c>
      <c r="C128" s="47">
        <f t="shared" si="135"/>
        <v>0.14581178903826264</v>
      </c>
      <c r="D128" s="47">
        <f t="shared" si="135"/>
        <v>-6.6787003610108253E-2</v>
      </c>
      <c r="E128" s="47">
        <f t="shared" si="135"/>
        <v>0.20309477756286265</v>
      </c>
      <c r="F128" s="47">
        <f t="shared" si="135"/>
        <v>0.10610932475884249</v>
      </c>
      <c r="G128" s="47">
        <f t="shared" si="135"/>
        <v>-0.10610465116279066</v>
      </c>
      <c r="H128" s="47">
        <f t="shared" si="135"/>
        <v>0.27886178861788613</v>
      </c>
      <c r="I128" s="47">
        <f>+IFERROR(I127/H127-1,"nm")</f>
        <v>0.23204068658614108</v>
      </c>
    </row>
    <row r="129" spans="1:14" x14ac:dyDescent="0.3">
      <c r="A129" s="46" t="s">
        <v>131</v>
      </c>
      <c r="B129" s="47" t="str">
        <f t="shared" ref="B129:G129" si="136">+IFERROR(B127/B$18,"nm")</f>
        <v>nm</v>
      </c>
      <c r="C129" s="47">
        <f t="shared" si="136"/>
        <v>15615.069767441879</v>
      </c>
      <c r="D129" s="47">
        <f t="shared" si="136"/>
        <v>11773.087719298237</v>
      </c>
      <c r="E129" s="47">
        <f t="shared" si="136"/>
        <v>21421.073170731717</v>
      </c>
      <c r="F129" s="47">
        <f t="shared" si="136"/>
        <v>-24473.142857142844</v>
      </c>
      <c r="G129" s="47">
        <f t="shared" si="136"/>
        <v>54196.87499999992</v>
      </c>
      <c r="H129" s="47">
        <f>+IFERROR(H127/H$18,"nm")</f>
        <v>49310.13043478263</v>
      </c>
      <c r="I129" s="47">
        <f>+IFERROR(I127/I$18,"nm")</f>
        <v>-53402.666666666715</v>
      </c>
    </row>
    <row r="130" spans="1:14" x14ac:dyDescent="0.3">
      <c r="A130" s="9" t="s">
        <v>132</v>
      </c>
      <c r="B130" s="9">
        <v>49</v>
      </c>
      <c r="C130" s="9">
        <v>42</v>
      </c>
      <c r="D130" s="9">
        <v>54</v>
      </c>
      <c r="E130" s="9">
        <v>55</v>
      </c>
      <c r="F130" s="9">
        <v>53</v>
      </c>
      <c r="G130" s="9">
        <v>46</v>
      </c>
      <c r="H130" s="9">
        <v>43</v>
      </c>
      <c r="I130" s="9">
        <v>42</v>
      </c>
      <c r="J130" s="85">
        <f>I130*0.986</f>
        <v>41.411999999999999</v>
      </c>
      <c r="K130" s="85">
        <f t="shared" ref="K130:N130" si="137">J130*0.986</f>
        <v>40.832231999999998</v>
      </c>
      <c r="L130" s="85">
        <f t="shared" si="137"/>
        <v>40.260580751999996</v>
      </c>
      <c r="M130" s="85">
        <f t="shared" si="137"/>
        <v>39.696932621471994</v>
      </c>
      <c r="N130" s="85">
        <f t="shared" si="137"/>
        <v>39.141175564771387</v>
      </c>
    </row>
    <row r="131" spans="1:14" x14ac:dyDescent="0.3">
      <c r="A131" s="46" t="s">
        <v>129</v>
      </c>
      <c r="B131" s="47" t="str">
        <f t="shared" ref="B131:H131" si="138">+IFERROR(B130/A130-1,"nm")</f>
        <v>nm</v>
      </c>
      <c r="C131" s="47">
        <f t="shared" si="138"/>
        <v>-0.1428571428571429</v>
      </c>
      <c r="D131" s="47">
        <f t="shared" si="138"/>
        <v>0.28571428571428581</v>
      </c>
      <c r="E131" s="47">
        <f t="shared" si="138"/>
        <v>1.8518518518518601E-2</v>
      </c>
      <c r="F131" s="47">
        <f t="shared" si="138"/>
        <v>-3.6363636363636376E-2</v>
      </c>
      <c r="G131" s="47">
        <f t="shared" si="138"/>
        <v>-0.13207547169811318</v>
      </c>
      <c r="H131" s="47">
        <f t="shared" si="138"/>
        <v>-6.5217391304347783E-2</v>
      </c>
      <c r="I131" s="47">
        <f>+IFERROR(I130/H130-1,"nm")</f>
        <v>-2.3255813953488413E-2</v>
      </c>
    </row>
    <row r="132" spans="1:14" x14ac:dyDescent="0.3">
      <c r="A132" s="46" t="s">
        <v>133</v>
      </c>
      <c r="B132" s="47" t="str">
        <f t="shared" ref="B132:H132" si="139">+IFERROR(B130/B$18,"nm")</f>
        <v>nm</v>
      </c>
      <c r="C132" s="47">
        <f t="shared" si="139"/>
        <v>591.90697674418675</v>
      </c>
      <c r="D132" s="47">
        <f t="shared" si="139"/>
        <v>614.84210526315746</v>
      </c>
      <c r="E132" s="47">
        <f t="shared" si="139"/>
        <v>947.07317073170782</v>
      </c>
      <c r="F132" s="47">
        <f t="shared" si="139"/>
        <v>-942.64285714285654</v>
      </c>
      <c r="G132" s="47">
        <f t="shared" si="139"/>
        <v>2026.874999999997</v>
      </c>
      <c r="H132" s="47">
        <f t="shared" si="139"/>
        <v>1347.9565217391309</v>
      </c>
      <c r="I132" s="47">
        <f>+IFERROR(I130/I$18,"nm")</f>
        <v>-1157.3333333333344</v>
      </c>
    </row>
    <row r="133" spans="1:14" x14ac:dyDescent="0.3">
      <c r="A133" s="9" t="s">
        <v>134</v>
      </c>
      <c r="B133" s="9">
        <v>918</v>
      </c>
      <c r="C133" s="9">
        <v>1066</v>
      </c>
      <c r="D133" s="9">
        <v>980</v>
      </c>
      <c r="E133" s="9">
        <v>1189</v>
      </c>
      <c r="F133" s="9">
        <v>1323</v>
      </c>
      <c r="G133" s="9">
        <v>1184</v>
      </c>
      <c r="H133" s="9">
        <v>1530</v>
      </c>
      <c r="I133" s="9">
        <v>1896</v>
      </c>
      <c r="J133" s="84">
        <f>I133*1.119</f>
        <v>2121.6239999999998</v>
      </c>
      <c r="K133" s="84">
        <f t="shared" ref="K133:N133" si="140">J133*1.119</f>
        <v>2374.0972559999996</v>
      </c>
      <c r="L133" s="84">
        <f t="shared" si="140"/>
        <v>2656.6148294639993</v>
      </c>
      <c r="M133" s="84">
        <f t="shared" si="140"/>
        <v>2972.7519941702153</v>
      </c>
      <c r="N133" s="84">
        <f t="shared" si="140"/>
        <v>3326.5094814764711</v>
      </c>
    </row>
    <row r="134" spans="1:14" x14ac:dyDescent="0.3">
      <c r="A134" s="46" t="s">
        <v>129</v>
      </c>
      <c r="B134" s="47" t="str">
        <f t="shared" ref="B134:H134" si="141">+IFERROR(B133/A133-1,"nm")</f>
        <v>nm</v>
      </c>
      <c r="C134" s="47">
        <f t="shared" si="141"/>
        <v>0.16122004357298469</v>
      </c>
      <c r="D134" s="47">
        <f t="shared" si="141"/>
        <v>-8.0675422138836828E-2</v>
      </c>
      <c r="E134" s="47">
        <f t="shared" si="141"/>
        <v>0.21326530612244898</v>
      </c>
      <c r="F134" s="47">
        <f t="shared" si="141"/>
        <v>0.11269974768713209</v>
      </c>
      <c r="G134" s="47">
        <f t="shared" si="141"/>
        <v>-0.1050642479213908</v>
      </c>
      <c r="H134" s="47">
        <f t="shared" si="141"/>
        <v>0.29222972972972983</v>
      </c>
      <c r="I134" s="47">
        <f>+IFERROR(I133/H133-1,"nm")</f>
        <v>0.23921568627450984</v>
      </c>
    </row>
    <row r="135" spans="1:14" x14ac:dyDescent="0.3">
      <c r="A135" s="46" t="s">
        <v>131</v>
      </c>
      <c r="B135" s="47" t="str">
        <f t="shared" ref="B135" si="142">+IFERROR(B133/B$18,"nm")</f>
        <v>nm</v>
      </c>
      <c r="C135" s="47">
        <f>+IFERROR(C133/C$18,"nm")</f>
        <v>15023.162790697692</v>
      </c>
      <c r="D135" s="47">
        <f t="shared" ref="D135:H135" si="143">+IFERROR(D133/D$18,"nm")</f>
        <v>11158.245614035079</v>
      </c>
      <c r="E135" s="47">
        <f t="shared" si="143"/>
        <v>20474.000000000011</v>
      </c>
      <c r="F135" s="47">
        <f t="shared" si="143"/>
        <v>-23530.499999999985</v>
      </c>
      <c r="G135" s="47">
        <f t="shared" si="143"/>
        <v>52169.999999999927</v>
      </c>
      <c r="H135" s="47">
        <f t="shared" si="143"/>
        <v>47962.173913043502</v>
      </c>
      <c r="I135" s="47">
        <f>+IFERROR(I133/I$18,"nm")</f>
        <v>-52245.333333333379</v>
      </c>
    </row>
    <row r="136" spans="1:14" x14ac:dyDescent="0.3">
      <c r="A136" s="9" t="s">
        <v>135</v>
      </c>
      <c r="B136" s="9">
        <v>52</v>
      </c>
      <c r="C136" s="9">
        <v>64</v>
      </c>
      <c r="D136" s="9">
        <v>59</v>
      </c>
      <c r="E136" s="9">
        <v>49</v>
      </c>
      <c r="F136" s="9">
        <v>47</v>
      </c>
      <c r="G136" s="9">
        <v>41</v>
      </c>
      <c r="H136" s="9">
        <v>54</v>
      </c>
      <c r="I136" s="9">
        <v>56</v>
      </c>
      <c r="J136" s="85">
        <f>I136*1.024</f>
        <v>57.344000000000001</v>
      </c>
      <c r="K136" s="85">
        <f t="shared" ref="K136:N136" si="144">J136*1.024</f>
        <v>58.720255999999999</v>
      </c>
      <c r="L136" s="85">
        <f t="shared" si="144"/>
        <v>60.129542143999998</v>
      </c>
      <c r="M136" s="85">
        <f t="shared" si="144"/>
        <v>61.572651155456001</v>
      </c>
      <c r="N136" s="85">
        <f t="shared" si="144"/>
        <v>63.050394783186945</v>
      </c>
    </row>
    <row r="137" spans="1:14" x14ac:dyDescent="0.3">
      <c r="A137" s="46" t="s">
        <v>129</v>
      </c>
      <c r="B137" s="47" t="str">
        <f t="shared" ref="B137:G137" si="145">+IFERROR(B136/A136-1,"nm")</f>
        <v>nm</v>
      </c>
      <c r="C137" s="47">
        <f t="shared" si="145"/>
        <v>0.23076923076923084</v>
      </c>
      <c r="D137" s="47">
        <f t="shared" si="145"/>
        <v>-7.8125E-2</v>
      </c>
      <c r="E137" s="47">
        <f t="shared" si="145"/>
        <v>-0.16949152542372881</v>
      </c>
      <c r="F137" s="47">
        <f t="shared" si="145"/>
        <v>-4.081632653061229E-2</v>
      </c>
      <c r="G137" s="47">
        <f t="shared" si="145"/>
        <v>-0.12765957446808507</v>
      </c>
      <c r="H137" s="47">
        <f>+IFERROR(H136/G136-1,"nm")</f>
        <v>0.31707317073170738</v>
      </c>
      <c r="I137" s="47">
        <f>+IFERROR(I136/H136-1,"nm")</f>
        <v>3.7037037037036979E-2</v>
      </c>
    </row>
    <row r="138" spans="1:14" x14ac:dyDescent="0.3">
      <c r="A138" s="46" t="s">
        <v>133</v>
      </c>
      <c r="B138" s="47" t="str">
        <f t="shared" ref="B138:H138" si="146">+IFERROR(B136/B$18,"nm")</f>
        <v>nm</v>
      </c>
      <c r="C138" s="47">
        <f t="shared" si="146"/>
        <v>901.95348837209406</v>
      </c>
      <c r="D138" s="47">
        <f t="shared" si="146"/>
        <v>671.77192982456086</v>
      </c>
      <c r="E138" s="47">
        <f t="shared" si="146"/>
        <v>843.75609756097606</v>
      </c>
      <c r="F138" s="47">
        <f t="shared" si="146"/>
        <v>-835.92857142857099</v>
      </c>
      <c r="G138" s="47">
        <f t="shared" si="146"/>
        <v>1806.5624999999975</v>
      </c>
      <c r="H138" s="47">
        <f t="shared" si="146"/>
        <v>1692.7826086956529</v>
      </c>
      <c r="I138" s="47">
        <f>+IFERROR(I136/I$18,"nm")</f>
        <v>-1543.1111111111125</v>
      </c>
    </row>
    <row r="139" spans="1:14" x14ac:dyDescent="0.3">
      <c r="A139" s="86" t="s">
        <v>210</v>
      </c>
      <c r="B139" s="9">
        <v>308</v>
      </c>
      <c r="C139" s="9">
        <v>332</v>
      </c>
      <c r="D139" s="9">
        <v>340</v>
      </c>
      <c r="E139" s="9">
        <v>339</v>
      </c>
      <c r="F139" s="9">
        <v>326</v>
      </c>
      <c r="G139" s="9">
        <v>296</v>
      </c>
      <c r="H139" s="9">
        <v>304</v>
      </c>
      <c r="I139" s="9">
        <v>274</v>
      </c>
      <c r="J139" s="48">
        <f>I139*0.979</f>
        <v>268.24599999999998</v>
      </c>
      <c r="K139" s="48">
        <f t="shared" ref="K139:N139" si="147">J139*0.979</f>
        <v>262.61283399999996</v>
      </c>
      <c r="L139" s="48">
        <f t="shared" si="147"/>
        <v>257.09796448599997</v>
      </c>
      <c r="M139" s="48">
        <f t="shared" si="147"/>
        <v>251.69890723179395</v>
      </c>
      <c r="N139" s="48">
        <f t="shared" si="147"/>
        <v>246.41323017992627</v>
      </c>
    </row>
    <row r="140" spans="1:14" x14ac:dyDescent="0.3">
      <c r="A140" s="46" t="s">
        <v>129</v>
      </c>
      <c r="B140" s="47" t="str">
        <f t="shared" ref="B140:F140" si="148">+IFERROR(B139/A139-1,"nm")</f>
        <v>nm</v>
      </c>
      <c r="C140" s="47">
        <f t="shared" si="148"/>
        <v>7.7922077922077948E-2</v>
      </c>
      <c r="D140" s="47">
        <f t="shared" si="148"/>
        <v>2.4096385542168752E-2</v>
      </c>
      <c r="E140" s="47">
        <f t="shared" si="148"/>
        <v>-2.9411764705882248E-3</v>
      </c>
      <c r="F140" s="47">
        <f t="shared" si="148"/>
        <v>-3.8348082595870192E-2</v>
      </c>
      <c r="G140" s="47">
        <f>+IFERROR(F139/E139-1,"nm")</f>
        <v>-3.8348082595870192E-2</v>
      </c>
      <c r="H140" s="47">
        <f>+IFERROR(H139/F139-1,"nm")</f>
        <v>-6.7484662576687171E-2</v>
      </c>
      <c r="I140" s="47">
        <f>+IFERROR(I139/H139-1,"nm")</f>
        <v>-9.8684210526315819E-2</v>
      </c>
      <c r="J140" s="47" t="e">
        <f>+J141+#REF!</f>
        <v>#REF!</v>
      </c>
      <c r="K140" s="47" t="e">
        <f>+K141+#REF!</f>
        <v>#REF!</v>
      </c>
      <c r="L140" s="47" t="e">
        <f>+L141+#REF!</f>
        <v>#REF!</v>
      </c>
      <c r="M140" s="47" t="e">
        <f>+M141+#REF!</f>
        <v>#REF!</v>
      </c>
      <c r="N140" s="47" t="e">
        <f>+N141+#REF!</f>
        <v>#REF!</v>
      </c>
    </row>
    <row r="141" spans="1:14" x14ac:dyDescent="0.3">
      <c r="A141" s="46" t="s">
        <v>133</v>
      </c>
      <c r="B141" s="47">
        <f t="shared" ref="B141:I141" si="149">+IFERROR(B139/B$21,"nm")</f>
        <v>2.2416302765647742E-2</v>
      </c>
      <c r="C141" s="47">
        <f t="shared" si="149"/>
        <v>2.2487130858845843E-2</v>
      </c>
      <c r="D141" s="47">
        <f t="shared" si="149"/>
        <v>2.2344900105152471E-2</v>
      </c>
      <c r="E141" s="47" t="str">
        <f>+IFERROR(#REF!/E$21,"nm")</f>
        <v>nm</v>
      </c>
      <c r="F141" s="47">
        <f>+IFERROR(E139/F$21,"nm")</f>
        <v>2.1318073198339831E-2</v>
      </c>
      <c r="G141" s="47">
        <f>+IFERROR(F139/G$21,"nm")</f>
        <v>2.2507594587130628E-2</v>
      </c>
      <c r="H141" s="47">
        <f t="shared" si="149"/>
        <v>1.7696024215612085E-2</v>
      </c>
      <c r="I141" s="47">
        <f t="shared" si="149"/>
        <v>1.4929439328720101E-2</v>
      </c>
      <c r="J141" s="49">
        <f>+I141</f>
        <v>1.4929439328720101E-2</v>
      </c>
      <c r="K141" s="49">
        <f t="shared" ref="K141:M141" si="150">+J141</f>
        <v>1.4929439328720101E-2</v>
      </c>
      <c r="L141" s="49">
        <f t="shared" si="150"/>
        <v>1.4929439328720101E-2</v>
      </c>
      <c r="M141" s="49">
        <f t="shared" si="150"/>
        <v>1.4929439328720101E-2</v>
      </c>
      <c r="N141" s="49">
        <f>+M141</f>
        <v>1.4929439328720101E-2</v>
      </c>
    </row>
    <row r="142" spans="1:14" x14ac:dyDescent="0.3">
      <c r="A142" s="87" t="s">
        <v>107</v>
      </c>
    </row>
    <row r="143" spans="1:14" x14ac:dyDescent="0.3">
      <c r="A143" s="9" t="s">
        <v>136</v>
      </c>
      <c r="B143" s="9">
        <v>115</v>
      </c>
      <c r="C143" s="9">
        <v>73</v>
      </c>
      <c r="D143" s="9">
        <v>73</v>
      </c>
      <c r="E143" s="9">
        <v>88</v>
      </c>
      <c r="F143" s="9">
        <v>42</v>
      </c>
      <c r="G143" s="9">
        <v>30</v>
      </c>
      <c r="H143" s="9">
        <v>25</v>
      </c>
      <c r="I143" s="9">
        <v>102</v>
      </c>
      <c r="J143" s="85">
        <f>I143*1.0278</f>
        <v>104.8356</v>
      </c>
      <c r="K143" s="85">
        <f t="shared" ref="K143:N143" si="151">J143*1.0278</f>
        <v>107.75002968</v>
      </c>
      <c r="L143" s="85">
        <f t="shared" si="151"/>
        <v>110.745480505104</v>
      </c>
      <c r="M143" s="85">
        <f t="shared" si="151"/>
        <v>113.82420486314589</v>
      </c>
      <c r="N143" s="85">
        <f t="shared" si="151"/>
        <v>116.98851775834136</v>
      </c>
    </row>
    <row r="144" spans="1:14" x14ac:dyDescent="0.3">
      <c r="A144" s="44" t="s">
        <v>129</v>
      </c>
      <c r="B144" s="47" t="str">
        <f t="shared" ref="B144:H144" si="152">+IFERROR(B143/A143-1,"nm")</f>
        <v>nm</v>
      </c>
      <c r="C144" s="47">
        <f t="shared" si="152"/>
        <v>-0.36521739130434783</v>
      </c>
      <c r="D144" s="47">
        <f t="shared" si="152"/>
        <v>0</v>
      </c>
      <c r="E144" s="47">
        <f t="shared" si="152"/>
        <v>0.20547945205479445</v>
      </c>
      <c r="F144" s="47">
        <f t="shared" si="152"/>
        <v>-0.52272727272727271</v>
      </c>
      <c r="G144" s="47">
        <f t="shared" si="152"/>
        <v>-0.2857142857142857</v>
      </c>
      <c r="H144" s="47">
        <f t="shared" si="152"/>
        <v>-0.16666666666666663</v>
      </c>
      <c r="I144" s="47">
        <f>+IFERROR(I143/H143-1,"nm")</f>
        <v>3.08</v>
      </c>
    </row>
    <row r="145" spans="1:14" x14ac:dyDescent="0.3">
      <c r="A145" s="1" t="s">
        <v>130</v>
      </c>
    </row>
    <row r="146" spans="1:14" x14ac:dyDescent="0.3">
      <c r="B146" s="9">
        <f>B151+B155</f>
        <v>-2057</v>
      </c>
      <c r="C146" s="9">
        <f t="shared" ref="C146:I146" si="153">C151+C155</f>
        <v>-2366</v>
      </c>
      <c r="D146" s="9">
        <f t="shared" si="153"/>
        <v>-2444</v>
      </c>
      <c r="E146" s="9">
        <f t="shared" si="153"/>
        <v>-2441</v>
      </c>
      <c r="F146" s="9">
        <f t="shared" si="153"/>
        <v>-3067</v>
      </c>
      <c r="G146" s="9">
        <f t="shared" si="153"/>
        <v>-3254</v>
      </c>
      <c r="H146" s="9">
        <f t="shared" si="153"/>
        <v>-3434</v>
      </c>
      <c r="I146" s="9">
        <f t="shared" si="153"/>
        <v>-4042</v>
      </c>
      <c r="J146" s="85">
        <f>J151+J155</f>
        <v>-4453.4340000000002</v>
      </c>
      <c r="K146" s="85">
        <f t="shared" ref="K146:N146" si="154">K151+K155</f>
        <v>-4904.9513379999999</v>
      </c>
      <c r="L146" s="85">
        <f t="shared" si="154"/>
        <v>-5400.4416659460003</v>
      </c>
      <c r="M146" s="85">
        <f t="shared" si="154"/>
        <v>-5944.1719461362018</v>
      </c>
      <c r="N146" s="85">
        <f t="shared" si="154"/>
        <v>-6540.8230504521944</v>
      </c>
    </row>
    <row r="147" spans="1:14" x14ac:dyDescent="0.3">
      <c r="A147" t="s">
        <v>129</v>
      </c>
      <c r="B147" s="47" t="str">
        <f t="shared" ref="B147:H147" si="155">+IFERROR(B146/A146-1,"nm")</f>
        <v>nm</v>
      </c>
      <c r="C147" s="47">
        <f t="shared" si="155"/>
        <v>0.15021876519202726</v>
      </c>
      <c r="D147" s="47">
        <f t="shared" si="155"/>
        <v>3.2967032967033072E-2</v>
      </c>
      <c r="E147" s="47">
        <f t="shared" si="155"/>
        <v>-1.2274959083469206E-3</v>
      </c>
      <c r="F147" s="47">
        <f t="shared" si="155"/>
        <v>0.25645227365833678</v>
      </c>
      <c r="G147" s="47">
        <f t="shared" si="155"/>
        <v>6.0971633518095869E-2</v>
      </c>
      <c r="H147" s="47">
        <f t="shared" si="155"/>
        <v>5.5316533497234088E-2</v>
      </c>
      <c r="I147" s="47">
        <f>+IFERROR(I146/H146-1,"nm")</f>
        <v>0.1770529994175889</v>
      </c>
    </row>
    <row r="148" spans="1:14" x14ac:dyDescent="0.3">
      <c r="A148" t="s">
        <v>131</v>
      </c>
      <c r="B148" s="47" t="str">
        <f t="shared" ref="B148" si="156">+IFERROR(B146/B$18,"nm")</f>
        <v>nm</v>
      </c>
      <c r="C148" s="47">
        <f>+IFERROR(C146/C$18,"nm")</f>
        <v>-33344.093023255853</v>
      </c>
      <c r="D148" s="47">
        <f t="shared" ref="D148:H148" si="157">+IFERROR(D146/D$18,"nm")</f>
        <v>-27827.298245614013</v>
      </c>
      <c r="E148" s="47">
        <f t="shared" si="157"/>
        <v>-42032.829268292706</v>
      </c>
      <c r="F148" s="47">
        <f t="shared" si="157"/>
        <v>54548.785714285681</v>
      </c>
      <c r="G148" s="47">
        <f t="shared" si="157"/>
        <v>-143379.3749999998</v>
      </c>
      <c r="H148" s="47">
        <f t="shared" si="157"/>
        <v>-107648.43478260875</v>
      </c>
      <c r="I148" s="47">
        <f>+IFERROR(I146/I$18,"nm")</f>
        <v>111379.55555555565</v>
      </c>
    </row>
    <row r="149" spans="1:14" x14ac:dyDescent="0.3">
      <c r="B149" s="47"/>
      <c r="C149" s="47"/>
      <c r="D149" s="47"/>
      <c r="E149" s="47"/>
      <c r="F149" s="47"/>
      <c r="G149" s="47"/>
      <c r="H149" s="47"/>
      <c r="I149" s="47"/>
    </row>
    <row r="150" spans="1:14" x14ac:dyDescent="0.3">
      <c r="A150" s="1" t="s">
        <v>132</v>
      </c>
    </row>
    <row r="151" spans="1:14" x14ac:dyDescent="0.3">
      <c r="A151" s="1"/>
      <c r="B151" s="9">
        <v>210</v>
      </c>
      <c r="C151" s="9">
        <v>230</v>
      </c>
      <c r="D151" s="9">
        <v>233</v>
      </c>
      <c r="E151" s="9">
        <v>217</v>
      </c>
      <c r="F151" s="9">
        <v>195</v>
      </c>
      <c r="G151" s="9">
        <v>214</v>
      </c>
      <c r="H151" s="9">
        <v>222</v>
      </c>
      <c r="I151" s="9">
        <v>220</v>
      </c>
      <c r="J151" s="85">
        <f>I151*1.009</f>
        <v>221.98</v>
      </c>
      <c r="K151" s="85">
        <f t="shared" ref="K151:N151" si="158">J151*1.009</f>
        <v>223.97781999999998</v>
      </c>
      <c r="L151" s="85">
        <f t="shared" si="158"/>
        <v>225.99362037999995</v>
      </c>
      <c r="M151" s="85">
        <f t="shared" si="158"/>
        <v>228.02756296341994</v>
      </c>
      <c r="N151" s="85">
        <f t="shared" si="158"/>
        <v>230.0798110300907</v>
      </c>
    </row>
    <row r="152" spans="1:14" x14ac:dyDescent="0.3">
      <c r="A152" s="1"/>
      <c r="B152" s="47" t="str">
        <f t="shared" ref="B152:H152" si="159">+IFERROR(B151/A151-1,"nm")</f>
        <v>nm</v>
      </c>
      <c r="C152" s="47">
        <f t="shared" si="159"/>
        <v>9.5238095238095344E-2</v>
      </c>
      <c r="D152" s="47">
        <f t="shared" si="159"/>
        <v>1.304347826086949E-2</v>
      </c>
      <c r="E152" s="47">
        <f t="shared" si="159"/>
        <v>-6.8669527896995763E-2</v>
      </c>
      <c r="F152" s="47">
        <f t="shared" si="159"/>
        <v>-0.10138248847926268</v>
      </c>
      <c r="G152" s="47">
        <f t="shared" si="159"/>
        <v>9.7435897435897534E-2</v>
      </c>
      <c r="H152" s="47">
        <f t="shared" si="159"/>
        <v>3.7383177570093462E-2</v>
      </c>
      <c r="I152" s="47">
        <f>+IFERROR(I151/H151-1,"nm")</f>
        <v>-9.009009009009028E-3</v>
      </c>
    </row>
    <row r="153" spans="1:14" x14ac:dyDescent="0.3">
      <c r="A153" s="1"/>
      <c r="B153" s="47" t="str">
        <f t="shared" ref="B153:H153" si="160">+IFERROR(B151/B$18,"nm")</f>
        <v>nm</v>
      </c>
      <c r="C153" s="47">
        <f t="shared" si="160"/>
        <v>3241.3953488372131</v>
      </c>
      <c r="D153" s="47">
        <f t="shared" si="160"/>
        <v>2652.9298245614013</v>
      </c>
      <c r="E153" s="47">
        <f t="shared" si="160"/>
        <v>3736.6341463414651</v>
      </c>
      <c r="F153" s="47">
        <f t="shared" si="160"/>
        <v>-3468.2142857142835</v>
      </c>
      <c r="G153" s="47">
        <f t="shared" si="160"/>
        <v>9429.3749999999873</v>
      </c>
      <c r="H153" s="47">
        <f t="shared" si="160"/>
        <v>6959.2173913043507</v>
      </c>
      <c r="I153" s="47">
        <f>+IFERROR(I151/I$18,"nm")</f>
        <v>-6062.2222222222272</v>
      </c>
    </row>
    <row r="154" spans="1:14" x14ac:dyDescent="0.3">
      <c r="A154" s="1" t="s">
        <v>134</v>
      </c>
    </row>
    <row r="155" spans="1:14" x14ac:dyDescent="0.3">
      <c r="A155" s="1"/>
      <c r="B155" s="9">
        <v>-2267</v>
      </c>
      <c r="C155" s="9">
        <v>-2596</v>
      </c>
      <c r="D155" s="9">
        <v>-2677</v>
      </c>
      <c r="E155" s="9">
        <v>-2658</v>
      </c>
      <c r="F155" s="9">
        <v>-3262</v>
      </c>
      <c r="G155" s="9">
        <v>-3468</v>
      </c>
      <c r="H155" s="9">
        <v>-3656</v>
      </c>
      <c r="I155" s="9">
        <v>-4262</v>
      </c>
      <c r="J155" s="85">
        <f>I155*1.097</f>
        <v>-4675.4139999999998</v>
      </c>
      <c r="K155" s="85">
        <f t="shared" ref="K155:N155" si="161">J155*1.097</f>
        <v>-5128.9291579999999</v>
      </c>
      <c r="L155" s="85">
        <f t="shared" si="161"/>
        <v>-5626.4352863260001</v>
      </c>
      <c r="M155" s="85">
        <f t="shared" si="161"/>
        <v>-6172.1995090996215</v>
      </c>
      <c r="N155" s="85">
        <f t="shared" si="161"/>
        <v>-6770.9028614822846</v>
      </c>
    </row>
    <row r="156" spans="1:14" x14ac:dyDescent="0.3">
      <c r="A156" s="1"/>
      <c r="B156" s="47" t="str">
        <f t="shared" ref="B156:H156" si="162">+IFERROR(B155/A155-1,"nm")</f>
        <v>nm</v>
      </c>
      <c r="C156" s="47">
        <f t="shared" si="162"/>
        <v>0.145125716806352</v>
      </c>
      <c r="D156" s="47">
        <f t="shared" si="162"/>
        <v>3.1201848998459125E-2</v>
      </c>
      <c r="E156" s="47">
        <f t="shared" si="162"/>
        <v>-7.097497198356395E-3</v>
      </c>
      <c r="F156" s="47">
        <f t="shared" si="162"/>
        <v>0.22723852520692245</v>
      </c>
      <c r="G156" s="47">
        <f t="shared" si="162"/>
        <v>6.3151440833844275E-2</v>
      </c>
      <c r="H156" s="47">
        <f t="shared" si="162"/>
        <v>5.4209919261822392E-2</v>
      </c>
      <c r="I156" s="47">
        <f>+IFERROR(I155/H155-1,"nm")</f>
        <v>0.16575492341356668</v>
      </c>
    </row>
    <row r="157" spans="1:14" x14ac:dyDescent="0.3">
      <c r="A157" s="1"/>
      <c r="B157" s="47" t="str">
        <f t="shared" ref="B157" si="163">+IFERROR(B155/B$18,"nm")</f>
        <v>nm</v>
      </c>
      <c r="C157" s="47">
        <f>+IFERROR(C155/C$18,"nm")</f>
        <v>-36585.488372093067</v>
      </c>
      <c r="D157" s="47">
        <f t="shared" ref="D157:H157" si="164">+IFERROR(D155/D$18,"nm")</f>
        <v>-30480.228070175413</v>
      </c>
      <c r="E157" s="47">
        <f t="shared" si="164"/>
        <v>-45769.46341463417</v>
      </c>
      <c r="F157" s="47">
        <f t="shared" si="164"/>
        <v>58016.999999999964</v>
      </c>
      <c r="G157" s="47">
        <f t="shared" si="164"/>
        <v>-152808.74999999977</v>
      </c>
      <c r="H157" s="47">
        <f t="shared" si="164"/>
        <v>-114607.6521739131</v>
      </c>
      <c r="I157" s="47">
        <f>+IFERROR(I155/I$18,"nm")</f>
        <v>117441.77777777788</v>
      </c>
    </row>
    <row r="158" spans="1:14" x14ac:dyDescent="0.3">
      <c r="A158" s="1" t="s">
        <v>135</v>
      </c>
    </row>
    <row r="159" spans="1:14" x14ac:dyDescent="0.3">
      <c r="B159" s="9">
        <v>225</v>
      </c>
      <c r="C159" s="9">
        <v>258</v>
      </c>
      <c r="D159" s="9">
        <v>278</v>
      </c>
      <c r="E159" s="9">
        <v>286</v>
      </c>
      <c r="F159" s="9">
        <v>278</v>
      </c>
      <c r="G159" s="9">
        <v>438</v>
      </c>
      <c r="H159" s="9">
        <v>278</v>
      </c>
      <c r="I159" s="9">
        <v>222</v>
      </c>
      <c r="J159" s="85">
        <f>I159*1.033</f>
        <v>229.32599999999999</v>
      </c>
      <c r="K159" s="85">
        <f t="shared" ref="K159:N159" si="165">J159*1.033</f>
        <v>236.89375799999996</v>
      </c>
      <c r="L159" s="85">
        <f t="shared" si="165"/>
        <v>244.71125201399994</v>
      </c>
      <c r="M159" s="85">
        <f t="shared" si="165"/>
        <v>252.78672333046191</v>
      </c>
      <c r="N159" s="85">
        <f t="shared" si="165"/>
        <v>261.12868520036716</v>
      </c>
    </row>
    <row r="160" spans="1:14" x14ac:dyDescent="0.3">
      <c r="B160" s="47" t="str">
        <f t="shared" ref="B160:I160" si="166">+IFERROR(B159/A159-1,"nm")</f>
        <v>nm</v>
      </c>
      <c r="C160" s="47">
        <f t="shared" si="166"/>
        <v>0.14666666666666672</v>
      </c>
      <c r="D160" s="47">
        <f t="shared" si="166"/>
        <v>7.7519379844961156E-2</v>
      </c>
      <c r="E160" s="47">
        <f t="shared" si="166"/>
        <v>2.877697841726623E-2</v>
      </c>
      <c r="F160" s="47">
        <f t="shared" si="166"/>
        <v>-2.7972027972028024E-2</v>
      </c>
      <c r="G160" s="47">
        <f t="shared" si="166"/>
        <v>0.57553956834532372</v>
      </c>
      <c r="H160" s="47">
        <f t="shared" si="166"/>
        <v>-0.36529680365296802</v>
      </c>
      <c r="I160" s="47">
        <f t="shared" si="166"/>
        <v>-0.20143884892086328</v>
      </c>
    </row>
    <row r="161" spans="1:14" x14ac:dyDescent="0.3">
      <c r="B161" s="47" t="str">
        <f t="shared" ref="B161:I161" si="167">+IFERROR(B159/B$18,"nm")</f>
        <v>nm</v>
      </c>
      <c r="C161" s="47">
        <f t="shared" si="167"/>
        <v>3636.0000000000045</v>
      </c>
      <c r="D161" s="47">
        <f t="shared" si="167"/>
        <v>3165.2982456140326</v>
      </c>
      <c r="E161" s="47">
        <f t="shared" si="167"/>
        <v>4924.780487804881</v>
      </c>
      <c r="F161" s="47">
        <f t="shared" si="167"/>
        <v>-4944.4285714285688</v>
      </c>
      <c r="G161" s="47">
        <f t="shared" si="167"/>
        <v>19299.374999999971</v>
      </c>
      <c r="H161" s="47">
        <f t="shared" si="167"/>
        <v>8714.6956521739176</v>
      </c>
      <c r="I161" s="47">
        <f t="shared" si="167"/>
        <v>-6117.3333333333385</v>
      </c>
    </row>
    <row r="162" spans="1:14" x14ac:dyDescent="0.3">
      <c r="B162" s="47"/>
      <c r="C162" s="47"/>
      <c r="D162" s="47"/>
      <c r="E162" s="47"/>
      <c r="F162" s="47"/>
      <c r="G162" s="47"/>
      <c r="H162" s="47"/>
      <c r="I162" s="47"/>
    </row>
    <row r="163" spans="1:14" x14ac:dyDescent="0.3">
      <c r="A163" s="86" t="s">
        <v>210</v>
      </c>
      <c r="B163" s="9">
        <v>484</v>
      </c>
      <c r="C163" s="9">
        <v>511</v>
      </c>
      <c r="D163" s="9">
        <v>533</v>
      </c>
      <c r="E163" s="9">
        <v>597</v>
      </c>
      <c r="F163" s="9">
        <v>665</v>
      </c>
      <c r="G163" s="9">
        <v>830</v>
      </c>
      <c r="H163" s="9">
        <v>780</v>
      </c>
      <c r="I163" s="9">
        <v>789</v>
      </c>
      <c r="J163" s="48">
        <f>I163*1.109</f>
        <v>875.00099999999998</v>
      </c>
      <c r="K163" s="48">
        <f t="shared" ref="K163:N163" si="168">J163*1.109</f>
        <v>970.37610899999993</v>
      </c>
      <c r="L163" s="48">
        <f t="shared" si="168"/>
        <v>1076.1471048809999</v>
      </c>
      <c r="M163" s="48">
        <f t="shared" si="168"/>
        <v>1193.4471393130289</v>
      </c>
      <c r="N163" s="48">
        <f t="shared" si="168"/>
        <v>1323.532877498149</v>
      </c>
    </row>
    <row r="164" spans="1:14" x14ac:dyDescent="0.3">
      <c r="A164" s="46" t="s">
        <v>129</v>
      </c>
      <c r="B164" s="47" t="str">
        <f t="shared" ref="B164:G164" si="169">+IFERROR(B163/A163-1,"nm")</f>
        <v>nm</v>
      </c>
      <c r="C164" s="47">
        <f t="shared" si="169"/>
        <v>5.5785123966942241E-2</v>
      </c>
      <c r="D164" s="47">
        <f t="shared" si="169"/>
        <v>4.3052837573385627E-2</v>
      </c>
      <c r="E164" s="47">
        <f t="shared" si="169"/>
        <v>0.12007504690431525</v>
      </c>
      <c r="F164" s="47">
        <f t="shared" si="169"/>
        <v>0.11390284757118918</v>
      </c>
      <c r="G164" s="47">
        <f t="shared" si="169"/>
        <v>0.24812030075187974</v>
      </c>
      <c r="H164" s="47">
        <f>+IFERROR(H163/F163-1,"nm")</f>
        <v>0.1729323308270676</v>
      </c>
      <c r="I164" s="47">
        <f>+IFERROR(I163/H163-1,"nm")</f>
        <v>1.1538461538461497E-2</v>
      </c>
      <c r="J164" s="47" t="e">
        <f>+J165+#REF!</f>
        <v>#REF!</v>
      </c>
      <c r="K164" s="47" t="e">
        <f>+K165+#REF!</f>
        <v>#REF!</v>
      </c>
      <c r="L164" s="47" t="e">
        <f>+L165+#REF!</f>
        <v>#REF!</v>
      </c>
      <c r="M164" s="47" t="e">
        <f>+M165+#REF!</f>
        <v>#REF!</v>
      </c>
      <c r="N164" s="47" t="e">
        <f>+N165+#REF!</f>
        <v>#REF!</v>
      </c>
    </row>
    <row r="165" spans="1:14" x14ac:dyDescent="0.3">
      <c r="A165" s="46" t="s">
        <v>133</v>
      </c>
      <c r="B165" s="47">
        <f t="shared" ref="B165:I165" si="170">+IFERROR(B163/B$21,"nm")</f>
        <v>3.5225618631732167E-2</v>
      </c>
      <c r="C165" s="47">
        <f t="shared" si="170"/>
        <v>3.4611216472500678E-2</v>
      </c>
      <c r="D165" s="47">
        <f t="shared" si="170"/>
        <v>3.5028916929547842E-2</v>
      </c>
      <c r="E165" s="47">
        <f t="shared" si="170"/>
        <v>4.0188488724335239E-2</v>
      </c>
      <c r="F165" s="47" t="str">
        <f>+IFERROR(#REF!/F$21,"nm")</f>
        <v>nm</v>
      </c>
      <c r="G165" s="47">
        <f>+IFERROR(F163/G$21,"nm")</f>
        <v>4.5912731289698978E-2</v>
      </c>
      <c r="H165" s="47">
        <f t="shared" si="170"/>
        <v>4.5404272658478372E-2</v>
      </c>
      <c r="I165" s="47">
        <f t="shared" si="170"/>
        <v>4.2990246826131964E-2</v>
      </c>
      <c r="J165" s="49">
        <f>+I165</f>
        <v>4.2990246826131964E-2</v>
      </c>
      <c r="K165" s="49">
        <f t="shared" ref="K165:M165" si="171">+J165</f>
        <v>4.2990246826131964E-2</v>
      </c>
      <c r="L165" s="49">
        <f t="shared" si="171"/>
        <v>4.2990246826131964E-2</v>
      </c>
      <c r="M165" s="49">
        <f t="shared" si="171"/>
        <v>4.2990246826131964E-2</v>
      </c>
      <c r="N165" s="49">
        <f>+M165</f>
        <v>4.2990246826131964E-2</v>
      </c>
    </row>
    <row r="166" spans="1:14" x14ac:dyDescent="0.3">
      <c r="A166" s="87" t="s">
        <v>212</v>
      </c>
    </row>
    <row r="167" spans="1:14" x14ac:dyDescent="0.3">
      <c r="A167" s="9" t="s">
        <v>136</v>
      </c>
      <c r="B167" s="9">
        <v>1982</v>
      </c>
      <c r="C167" s="9">
        <v>1955</v>
      </c>
      <c r="D167" s="9">
        <v>2042</v>
      </c>
      <c r="E167" s="9">
        <v>1912</v>
      </c>
      <c r="F167" s="9">
        <v>1906</v>
      </c>
      <c r="G167" s="9">
        <v>1846</v>
      </c>
      <c r="H167" s="9">
        <v>2205</v>
      </c>
      <c r="I167" s="9">
        <v>2346</v>
      </c>
      <c r="J167" s="84">
        <f>I167*1.027</f>
        <v>2409.3419999999996</v>
      </c>
      <c r="K167" s="84">
        <f t="shared" ref="K167:N167" si="172">J167*1.027</f>
        <v>2474.3942339999994</v>
      </c>
      <c r="L167" s="84">
        <f t="shared" si="172"/>
        <v>2541.202878317999</v>
      </c>
      <c r="M167" s="84">
        <f t="shared" si="172"/>
        <v>2609.8153560325845</v>
      </c>
      <c r="N167" s="84">
        <f t="shared" si="172"/>
        <v>2680.2803706454642</v>
      </c>
    </row>
    <row r="168" spans="1:14" x14ac:dyDescent="0.3">
      <c r="A168" s="44" t="s">
        <v>129</v>
      </c>
      <c r="B168" s="47" t="str">
        <f t="shared" ref="B168:H168" si="173">+IFERROR(B167/A167-1,"nm")</f>
        <v>nm</v>
      </c>
      <c r="C168" s="47">
        <f t="shared" si="173"/>
        <v>-1.3622603430877955E-2</v>
      </c>
      <c r="D168" s="47">
        <f t="shared" si="173"/>
        <v>4.4501278772378416E-2</v>
      </c>
      <c r="E168" s="47">
        <f t="shared" si="173"/>
        <v>-6.3663075416258597E-2</v>
      </c>
      <c r="F168" s="47">
        <f t="shared" si="173"/>
        <v>-3.1380753138074979E-3</v>
      </c>
      <c r="G168" s="47">
        <f t="shared" si="173"/>
        <v>-3.147953830010497E-2</v>
      </c>
      <c r="H168" s="47">
        <f t="shared" si="173"/>
        <v>0.19447453954496208</v>
      </c>
      <c r="I168" s="47">
        <f>+IFERROR(I167/H167-1,"nm")</f>
        <v>6.3945578231292544E-2</v>
      </c>
    </row>
    <row r="169" spans="1:14" x14ac:dyDescent="0.3">
      <c r="A169" s="45" t="s">
        <v>113</v>
      </c>
      <c r="B169" s="3">
        <f>+[2]Historicals!B255</f>
        <v>0</v>
      </c>
      <c r="C169" s="3">
        <f>+[2]Historicals!C255</f>
        <v>0</v>
      </c>
      <c r="D169" s="3">
        <f>+[2]Historicals!D255</f>
        <v>0</v>
      </c>
      <c r="E169" s="3">
        <f>+[2]Historicals!E255</f>
        <v>0</v>
      </c>
      <c r="F169" s="9">
        <v>1658</v>
      </c>
      <c r="G169" s="9">
        <v>-11</v>
      </c>
      <c r="H169" s="9">
        <v>1986</v>
      </c>
      <c r="I169" s="9">
        <v>2094</v>
      </c>
      <c r="J169" s="84">
        <f>J167*0.8</f>
        <v>1927.4735999999998</v>
      </c>
      <c r="K169" s="84">
        <f t="shared" ref="K169:N169" si="174">K167*0.8</f>
        <v>1979.5153871999996</v>
      </c>
      <c r="L169" s="84">
        <f t="shared" si="174"/>
        <v>2032.9623026543993</v>
      </c>
      <c r="M169" s="84">
        <f t="shared" si="174"/>
        <v>2087.8522848260677</v>
      </c>
      <c r="N169" s="84">
        <f t="shared" si="174"/>
        <v>2144.2242965163714</v>
      </c>
    </row>
    <row r="170" spans="1:14" x14ac:dyDescent="0.3">
      <c r="A170" s="44" t="s">
        <v>129</v>
      </c>
      <c r="B170" s="47" t="str">
        <f t="shared" ref="B170:E170" si="175">+IFERROR(B169/A169-1,"nm")</f>
        <v>nm</v>
      </c>
      <c r="C170" s="47" t="str">
        <f t="shared" si="175"/>
        <v>nm</v>
      </c>
      <c r="D170" s="47" t="str">
        <f t="shared" si="175"/>
        <v>nm</v>
      </c>
      <c r="E170" s="47" t="str">
        <f t="shared" si="175"/>
        <v>nm</v>
      </c>
      <c r="F170" s="89"/>
      <c r="G170" s="89">
        <f t="shared" ref="G170:H170" si="176">G169/F169</f>
        <v>-6.6344993968636915E-3</v>
      </c>
      <c r="H170" s="89">
        <f t="shared" si="176"/>
        <v>-180.54545454545453</v>
      </c>
      <c r="I170" s="89">
        <f>I169/H169</f>
        <v>1.054380664652568</v>
      </c>
    </row>
    <row r="171" spans="1:14" x14ac:dyDescent="0.3">
      <c r="A171" s="44" t="s">
        <v>137</v>
      </c>
      <c r="B171" s="47">
        <f>+[2]Historicals!B329</f>
        <v>0</v>
      </c>
      <c r="C171" s="47">
        <f>+[2]Historicals!C329</f>
        <v>0</v>
      </c>
      <c r="D171" s="47">
        <f>+[2]Historicals!D329</f>
        <v>0</v>
      </c>
      <c r="E171" s="47">
        <f>+[2]Historicals!E329</f>
        <v>0</v>
      </c>
      <c r="F171" s="47">
        <f>+[2]Historicals!F329</f>
        <v>0</v>
      </c>
      <c r="G171" s="47">
        <f>+[2]Historicals!G329</f>
        <v>0</v>
      </c>
      <c r="H171" s="47">
        <f>+[2]Historicals!H329</f>
        <v>0</v>
      </c>
    </row>
    <row r="172" spans="1:14" x14ac:dyDescent="0.3">
      <c r="A172" s="44" t="s">
        <v>138</v>
      </c>
      <c r="B172" s="47" t="str">
        <f t="shared" ref="B172:E172" si="177">+IFERROR(B170-B171,"nm")</f>
        <v>nm</v>
      </c>
      <c r="C172" s="47" t="str">
        <f t="shared" si="177"/>
        <v>nm</v>
      </c>
      <c r="D172" s="47" t="str">
        <f t="shared" si="177"/>
        <v>nm</v>
      </c>
      <c r="E172" s="47" t="str">
        <f t="shared" si="177"/>
        <v>nm</v>
      </c>
      <c r="F172" s="47">
        <f>+IFERROR(F169-F171,"nm")</f>
        <v>1658</v>
      </c>
      <c r="G172" s="47">
        <f>+IFERROR(G169-G171,"nm")</f>
        <v>-11</v>
      </c>
      <c r="H172" s="47">
        <f>+IFERROR(H169-H171,"nm")</f>
        <v>1986</v>
      </c>
      <c r="I172" s="47">
        <f>+IFERROR(I169-I170,"nm")</f>
        <v>2092.9456193353476</v>
      </c>
    </row>
    <row r="173" spans="1:14" x14ac:dyDescent="0.3">
      <c r="B173" s="3"/>
      <c r="C173" s="3"/>
      <c r="D173" s="3"/>
      <c r="E173" s="3"/>
      <c r="F173" s="1"/>
      <c r="G173" s="1"/>
      <c r="H173" s="76"/>
      <c r="I173" s="76"/>
    </row>
    <row r="174" spans="1:14" x14ac:dyDescent="0.3">
      <c r="A174" s="45" t="s">
        <v>114</v>
      </c>
      <c r="B174" s="3"/>
      <c r="C174" s="3"/>
      <c r="D174" s="3"/>
      <c r="E174" s="3"/>
      <c r="F174" s="9">
        <v>118</v>
      </c>
      <c r="G174" s="9"/>
      <c r="H174" s="9">
        <v>104</v>
      </c>
      <c r="I174" s="9">
        <v>103</v>
      </c>
      <c r="J174" s="84">
        <f>I174*0.99</f>
        <v>101.97</v>
      </c>
      <c r="K174" s="84">
        <f t="shared" ref="K174:N174" si="178">J174*0.99</f>
        <v>100.9503</v>
      </c>
      <c r="L174" s="84">
        <f t="shared" si="178"/>
        <v>99.940797000000003</v>
      </c>
      <c r="M174" s="84">
        <f t="shared" si="178"/>
        <v>98.941389029999996</v>
      </c>
      <c r="N174" s="84">
        <f t="shared" si="178"/>
        <v>97.951975139699996</v>
      </c>
    </row>
    <row r="175" spans="1:14" x14ac:dyDescent="0.3">
      <c r="A175" s="44" t="s">
        <v>129</v>
      </c>
      <c r="B175" s="47"/>
      <c r="C175" s="47"/>
      <c r="D175" s="47"/>
      <c r="E175" s="47"/>
      <c r="H175" t="e">
        <f>H174/G175</f>
        <v>#DIV/0!</v>
      </c>
      <c r="I175" s="90">
        <v>-0.01</v>
      </c>
    </row>
    <row r="176" spans="1:14" x14ac:dyDescent="0.3">
      <c r="A176" s="44" t="s">
        <v>137</v>
      </c>
      <c r="B176" s="47">
        <f>+[2]Historicals!B333</f>
        <v>0</v>
      </c>
      <c r="C176" s="47">
        <f>+[2]Historicals!C333</f>
        <v>0</v>
      </c>
      <c r="D176" s="47">
        <f>+[2]Historicals!D333</f>
        <v>0</v>
      </c>
      <c r="E176" s="47">
        <f>+[2]Historicals!E333</f>
        <v>0</v>
      </c>
      <c r="F176" s="47">
        <f>+[2]Historicals!F333</f>
        <v>0</v>
      </c>
      <c r="G176" s="47">
        <f>+[2]Historicals!G333</f>
        <v>0</v>
      </c>
      <c r="H176" s="47">
        <f>+[2]Historicals!H333</f>
        <v>0</v>
      </c>
      <c r="I176" s="47">
        <f>+[2]Historicals!I333</f>
        <v>0</v>
      </c>
    </row>
    <row r="177" spans="1:14" x14ac:dyDescent="0.3">
      <c r="A177" s="44" t="s">
        <v>138</v>
      </c>
      <c r="B177" s="47">
        <f>+IFERROR(B175-B176,"nm")</f>
        <v>0</v>
      </c>
      <c r="C177" s="47">
        <f t="shared" ref="C177:E177" si="179">+IFERROR(C175-C176,"nm")</f>
        <v>0</v>
      </c>
      <c r="D177" s="47">
        <f t="shared" si="179"/>
        <v>0</v>
      </c>
      <c r="E177" s="47">
        <f t="shared" si="179"/>
        <v>0</v>
      </c>
      <c r="F177" s="47">
        <f>+IFERROR(F174-F176,"nm")</f>
        <v>118</v>
      </c>
      <c r="G177" s="47">
        <f>+IFERROR(G174-G176,"nm")</f>
        <v>0</v>
      </c>
      <c r="H177" s="47">
        <f>+IFERROR(H174-H176,"nm")</f>
        <v>104</v>
      </c>
      <c r="I177" s="47">
        <f>+IFERROR(I174-I176,"nm")</f>
        <v>103</v>
      </c>
    </row>
    <row r="178" spans="1:14" x14ac:dyDescent="0.3">
      <c r="A178" s="45" t="s">
        <v>115</v>
      </c>
      <c r="B178" s="3">
        <f>+[2]Historicals!B257</f>
        <v>0</v>
      </c>
      <c r="C178" s="3">
        <f>+[2]Historicals!C257</f>
        <v>0</v>
      </c>
      <c r="D178" s="3">
        <f>+[2]Historicals!D257</f>
        <v>0</v>
      </c>
      <c r="E178" s="3">
        <f>+[2]Historicals!E257</f>
        <v>0</v>
      </c>
      <c r="F178" s="1"/>
      <c r="G178" s="1"/>
      <c r="H178" s="1"/>
      <c r="I178" s="1"/>
    </row>
    <row r="179" spans="1:14" x14ac:dyDescent="0.3">
      <c r="A179" s="44" t="s">
        <v>129</v>
      </c>
      <c r="B179" s="47" t="str">
        <f t="shared" ref="B179:E179" si="180">+IFERROR(B178/A178-1,"nm")</f>
        <v>nm</v>
      </c>
      <c r="C179" s="47" t="str">
        <f t="shared" si="180"/>
        <v>nm</v>
      </c>
      <c r="D179" s="47" t="str">
        <f t="shared" si="180"/>
        <v>nm</v>
      </c>
      <c r="E179" s="47" t="str">
        <f t="shared" si="180"/>
        <v>nm</v>
      </c>
      <c r="F179" s="9">
        <v>24</v>
      </c>
      <c r="G179" s="9"/>
      <c r="H179" s="9">
        <v>29</v>
      </c>
      <c r="I179" s="9">
        <v>26</v>
      </c>
      <c r="J179" s="84">
        <f>I179*0.89</f>
        <v>23.14</v>
      </c>
      <c r="K179" s="84">
        <f t="shared" ref="K179:N179" si="181">J179*0.89</f>
        <v>20.5946</v>
      </c>
      <c r="L179" s="84">
        <f t="shared" si="181"/>
        <v>18.329194000000001</v>
      </c>
      <c r="M179" s="84">
        <f t="shared" si="181"/>
        <v>16.312982660000003</v>
      </c>
      <c r="N179" s="84">
        <f t="shared" si="181"/>
        <v>14.518554567400002</v>
      </c>
    </row>
    <row r="180" spans="1:14" x14ac:dyDescent="0.3">
      <c r="A180" s="44" t="s">
        <v>137</v>
      </c>
      <c r="B180" s="47">
        <f>+[2]Historicals!B331</f>
        <v>0</v>
      </c>
      <c r="C180" s="47">
        <f>+[2]Historicals!C331</f>
        <v>0</v>
      </c>
      <c r="D180" s="47">
        <f>+[2]Historicals!D331</f>
        <v>0</v>
      </c>
      <c r="E180" s="47">
        <f>+[2]Historicals!E331</f>
        <v>0</v>
      </c>
      <c r="F180" s="47">
        <f>+[2]Historicals!F331</f>
        <v>0</v>
      </c>
      <c r="G180" s="47">
        <f>+[2]Historicals!G331</f>
        <v>0</v>
      </c>
      <c r="H180" s="47">
        <f>+[2]Historicals!H331</f>
        <v>0</v>
      </c>
      <c r="I180" s="47">
        <f>+[2]Historicals!I331</f>
        <v>0</v>
      </c>
    </row>
    <row r="181" spans="1:14" x14ac:dyDescent="0.3">
      <c r="A181" s="44" t="s">
        <v>138</v>
      </c>
      <c r="B181" s="47" t="str">
        <f t="shared" ref="B181:F181" si="182">+IFERROR(B179-B180,"nm")</f>
        <v>nm</v>
      </c>
      <c r="C181" s="47" t="str">
        <f t="shared" si="182"/>
        <v>nm</v>
      </c>
      <c r="D181" s="47" t="str">
        <f t="shared" si="182"/>
        <v>nm</v>
      </c>
      <c r="E181" s="47" t="str">
        <f t="shared" si="182"/>
        <v>nm</v>
      </c>
      <c r="F181" s="47">
        <f t="shared" si="182"/>
        <v>24</v>
      </c>
      <c r="G181" s="47">
        <f>+IFERROR(G179-G180,"nm")</f>
        <v>0</v>
      </c>
      <c r="H181" s="47">
        <f>+IFERROR(H179-H180,"nm")</f>
        <v>29</v>
      </c>
      <c r="I181" s="47">
        <f>+IFERROR(I179-I180,"nm")</f>
        <v>26</v>
      </c>
    </row>
    <row r="182" spans="1:14" x14ac:dyDescent="0.3">
      <c r="A182" s="44"/>
      <c r="B182" s="47"/>
      <c r="C182" s="47"/>
      <c r="D182" s="47"/>
      <c r="E182" s="47"/>
      <c r="F182" s="47"/>
      <c r="G182" s="47"/>
      <c r="H182" s="47"/>
      <c r="I182" s="47"/>
    </row>
    <row r="183" spans="1:14" x14ac:dyDescent="0.3">
      <c r="A183" s="44" t="s">
        <v>108</v>
      </c>
      <c r="B183" s="9">
        <v>-82</v>
      </c>
      <c r="C183" s="9">
        <v>-86</v>
      </c>
      <c r="D183" s="9">
        <v>75</v>
      </c>
      <c r="E183" s="9"/>
      <c r="F183" s="9">
        <v>-7</v>
      </c>
      <c r="G183" s="9"/>
      <c r="H183" s="9">
        <v>40</v>
      </c>
      <c r="I183" s="9">
        <v>-72</v>
      </c>
      <c r="J183" s="85">
        <f>I183/1.11</f>
        <v>-64.864864864864856</v>
      </c>
      <c r="K183" s="85">
        <f t="shared" ref="K183:N183" si="183">J183/1.11</f>
        <v>-58.436815193571938</v>
      </c>
      <c r="L183" s="85">
        <f t="shared" si="183"/>
        <v>-52.64577945366841</v>
      </c>
      <c r="M183" s="85">
        <f t="shared" si="183"/>
        <v>-47.428630138440006</v>
      </c>
      <c r="N183" s="85">
        <f t="shared" si="183"/>
        <v>-42.728495620216215</v>
      </c>
    </row>
    <row r="184" spans="1:14" x14ac:dyDescent="0.3">
      <c r="A184" s="44"/>
      <c r="B184" s="47"/>
      <c r="C184" s="91">
        <f>C183/B183</f>
        <v>1.0487804878048781</v>
      </c>
      <c r="D184" s="91">
        <f t="shared" ref="D184:I184" si="184">D183/C183</f>
        <v>-0.87209302325581395</v>
      </c>
      <c r="E184" s="91">
        <f t="shared" si="184"/>
        <v>0</v>
      </c>
      <c r="F184" s="91" t="e">
        <f t="shared" si="184"/>
        <v>#DIV/0!</v>
      </c>
      <c r="G184" s="91">
        <f t="shared" si="184"/>
        <v>0</v>
      </c>
      <c r="H184" s="91" t="e">
        <f t="shared" si="184"/>
        <v>#DIV/0!</v>
      </c>
      <c r="I184" s="91">
        <f t="shared" si="184"/>
        <v>-1.8</v>
      </c>
    </row>
    <row r="185" spans="1:14" x14ac:dyDescent="0.3">
      <c r="A185" s="44"/>
      <c r="B185" s="47">
        <f>+[2]Historicals!B335</f>
        <v>0</v>
      </c>
      <c r="C185" s="47">
        <f>+[2]Historicals!C335</f>
        <v>0</v>
      </c>
      <c r="D185" s="47">
        <f>+[2]Historicals!D335</f>
        <v>0</v>
      </c>
      <c r="E185" s="47">
        <f>+[2]Historicals!E335</f>
        <v>0</v>
      </c>
      <c r="F185" s="47">
        <f>+[2]Historicals!F335</f>
        <v>0</v>
      </c>
      <c r="G185" s="47">
        <f>+[2]Historicals!G335</f>
        <v>0</v>
      </c>
      <c r="H185" s="47">
        <f>+[2]Historicals!H335</f>
        <v>0</v>
      </c>
      <c r="I185" s="47">
        <f>+[2]Historicals!I335</f>
        <v>0</v>
      </c>
    </row>
    <row r="186" spans="1:14" x14ac:dyDescent="0.3">
      <c r="A186" s="44"/>
      <c r="B186" s="47">
        <f t="shared" ref="B186:F186" si="185">+IFERROR(B184-B185,"nm")</f>
        <v>0</v>
      </c>
      <c r="C186" s="47">
        <f t="shared" si="185"/>
        <v>1.0487804878048781</v>
      </c>
      <c r="D186" s="47">
        <f t="shared" si="185"/>
        <v>-0.87209302325581395</v>
      </c>
      <c r="E186" s="47">
        <f t="shared" si="185"/>
        <v>0</v>
      </c>
      <c r="F186" s="47" t="str">
        <f t="shared" si="185"/>
        <v>nm</v>
      </c>
      <c r="G186" s="47">
        <f>+IFERROR(G184-G185,"nm")</f>
        <v>0</v>
      </c>
      <c r="H186" s="47" t="str">
        <f>+IFERROR(H184-H185,"nm")</f>
        <v>nm</v>
      </c>
      <c r="I186" s="47">
        <f>+IFERROR(I184-I185,"nm")</f>
        <v>-1.8</v>
      </c>
    </row>
    <row r="187" spans="1:14" x14ac:dyDescent="0.3">
      <c r="A187" s="44"/>
      <c r="B187" s="47"/>
      <c r="C187" s="47"/>
      <c r="D187" s="47"/>
      <c r="E187" s="47"/>
      <c r="F187" s="47"/>
      <c r="G187" s="47"/>
      <c r="H187" s="47"/>
      <c r="I187" s="47"/>
    </row>
    <row r="188" spans="1:14" x14ac:dyDescent="0.3">
      <c r="A188" s="44" t="s">
        <v>104</v>
      </c>
      <c r="B188" s="47" t="str">
        <f t="shared" ref="B188:E188" si="186">+IFERROR(B187/A187-1,"nm")</f>
        <v>nm</v>
      </c>
      <c r="C188" s="47" t="str">
        <f t="shared" si="186"/>
        <v>nm</v>
      </c>
      <c r="D188" s="47" t="str">
        <f t="shared" si="186"/>
        <v>nm</v>
      </c>
      <c r="E188" s="47" t="str">
        <f t="shared" si="186"/>
        <v>nm</v>
      </c>
      <c r="F188" s="9">
        <v>-7</v>
      </c>
      <c r="G188" s="9"/>
      <c r="H188" s="9">
        <v>40</v>
      </c>
      <c r="I188" s="9">
        <v>-72</v>
      </c>
      <c r="J188" s="85">
        <f>I188*-1.7</f>
        <v>122.39999999999999</v>
      </c>
      <c r="K188" s="85">
        <f>J188*1.7</f>
        <v>208.07999999999998</v>
      </c>
      <c r="L188" s="85">
        <f t="shared" ref="L188:N188" si="187">K188*1.7</f>
        <v>353.73599999999999</v>
      </c>
      <c r="M188" s="85">
        <f t="shared" si="187"/>
        <v>601.35119999999995</v>
      </c>
      <c r="N188" s="85">
        <f t="shared" si="187"/>
        <v>1022.2970399999999</v>
      </c>
    </row>
    <row r="189" spans="1:14" x14ac:dyDescent="0.3">
      <c r="A189" s="44"/>
      <c r="B189" s="47">
        <f>+[2]Historicals!B339</f>
        <v>0</v>
      </c>
      <c r="C189" s="47">
        <f>+[2]Historicals!C339</f>
        <v>0</v>
      </c>
      <c r="D189" s="47">
        <f>+[2]Historicals!D339</f>
        <v>0</v>
      </c>
      <c r="E189" s="47">
        <f>+[2]Historicals!E339</f>
        <v>0</v>
      </c>
      <c r="F189" s="47">
        <f>+[2]Historicals!F339</f>
        <v>0</v>
      </c>
      <c r="G189" s="47"/>
      <c r="H189" s="92">
        <v>671</v>
      </c>
      <c r="I189" s="92">
        <v>-175</v>
      </c>
    </row>
    <row r="190" spans="1:14" x14ac:dyDescent="0.3">
      <c r="A190" s="44"/>
      <c r="B190" s="47" t="str">
        <f t="shared" ref="B190:F190" si="188">+IFERROR(B188-B189,"nm")</f>
        <v>nm</v>
      </c>
      <c r="C190" s="47" t="str">
        <f t="shared" si="188"/>
        <v>nm</v>
      </c>
      <c r="D190" s="47" t="str">
        <f t="shared" si="188"/>
        <v>nm</v>
      </c>
      <c r="E190" s="47" t="str">
        <f t="shared" si="188"/>
        <v>nm</v>
      </c>
      <c r="F190" s="47">
        <f t="shared" si="188"/>
        <v>-7</v>
      </c>
      <c r="G190" s="47">
        <f>+IFERROR(G188-G189,"nm")</f>
        <v>0</v>
      </c>
      <c r="H190" s="47">
        <f>+IFERROR(H188-H189,"nm")</f>
        <v>-631</v>
      </c>
      <c r="I190" s="47">
        <f>+IFERROR(I188-I189,"nm")</f>
        <v>103</v>
      </c>
    </row>
    <row r="191" spans="1:14" x14ac:dyDescent="0.3">
      <c r="A191" s="44"/>
      <c r="B191" s="47"/>
      <c r="C191" s="47"/>
      <c r="D191" s="47"/>
      <c r="E191" s="47"/>
      <c r="F191" s="47"/>
      <c r="G191" s="47"/>
      <c r="H191" s="47"/>
      <c r="I191" s="47"/>
    </row>
    <row r="192" spans="1:14" x14ac:dyDescent="0.3">
      <c r="A192" s="44" t="s">
        <v>121</v>
      </c>
      <c r="B192" s="47" t="str">
        <f t="shared" ref="B192:E192" si="189">+IFERROR(B191/A191-1,"nm")</f>
        <v>nm</v>
      </c>
      <c r="C192" s="47" t="str">
        <f t="shared" si="189"/>
        <v>nm</v>
      </c>
      <c r="D192" s="47" t="str">
        <f t="shared" si="189"/>
        <v>nm</v>
      </c>
      <c r="E192" s="47" t="str">
        <f t="shared" si="189"/>
        <v>nm</v>
      </c>
      <c r="F192" s="9">
        <v>106</v>
      </c>
      <c r="G192" s="9"/>
      <c r="H192" s="9">
        <v>86</v>
      </c>
      <c r="I192" s="9">
        <v>123</v>
      </c>
      <c r="J192" s="84">
        <f>I192*1.4</f>
        <v>172.2</v>
      </c>
      <c r="K192" s="84">
        <f t="shared" ref="K192:N192" si="190">J192*1.4</f>
        <v>241.07999999999996</v>
      </c>
      <c r="L192" s="84">
        <f t="shared" si="190"/>
        <v>337.51199999999994</v>
      </c>
      <c r="M192" s="84">
        <f t="shared" si="190"/>
        <v>472.51679999999988</v>
      </c>
      <c r="N192" s="84">
        <f t="shared" si="190"/>
        <v>661.52351999999973</v>
      </c>
    </row>
    <row r="193" spans="1:14" x14ac:dyDescent="0.3">
      <c r="A193" s="44"/>
      <c r="B193" s="91"/>
      <c r="C193" s="91"/>
      <c r="D193" s="91"/>
      <c r="E193" s="91"/>
      <c r="F193" s="91"/>
      <c r="G193" s="91"/>
      <c r="H193" s="91"/>
      <c r="I193" s="91"/>
    </row>
    <row r="194" spans="1:14" x14ac:dyDescent="0.3">
      <c r="A194" s="44"/>
      <c r="B194" s="47" t="str">
        <f t="shared" ref="B194:F194" si="191">+IFERROR(B192-B193,"nm")</f>
        <v>nm</v>
      </c>
      <c r="C194" s="47" t="str">
        <f t="shared" si="191"/>
        <v>nm</v>
      </c>
      <c r="D194" s="47" t="str">
        <f t="shared" si="191"/>
        <v>nm</v>
      </c>
      <c r="E194" s="47" t="str">
        <f t="shared" si="191"/>
        <v>nm</v>
      </c>
      <c r="F194" s="47">
        <f t="shared" si="191"/>
        <v>106</v>
      </c>
      <c r="G194" s="47">
        <f>+IFERROR(G192-G193,"nm")</f>
        <v>0</v>
      </c>
      <c r="H194" s="47">
        <f>+IFERROR(H192-H193,"nm")</f>
        <v>86</v>
      </c>
      <c r="I194" s="47">
        <f>+IFERROR(I192-I193,"nm")</f>
        <v>123</v>
      </c>
    </row>
    <row r="195" spans="1:14" x14ac:dyDescent="0.3">
      <c r="A195" s="44"/>
      <c r="B195" s="47"/>
      <c r="C195" s="47"/>
      <c r="D195" s="47"/>
      <c r="E195" s="47"/>
      <c r="F195" s="47"/>
      <c r="G195" s="47"/>
      <c r="H195" s="47"/>
      <c r="I195" s="47"/>
    </row>
    <row r="196" spans="1:14" ht="15" thickBot="1" x14ac:dyDescent="0.35">
      <c r="A196" s="9" t="s">
        <v>130</v>
      </c>
      <c r="B196" s="81">
        <f>B200+B204</f>
        <v>-487</v>
      </c>
      <c r="C196" s="81">
        <f t="shared" ref="C196:I196" si="192">C200+C204</f>
        <v>-575</v>
      </c>
      <c r="D196" s="81">
        <f t="shared" si="192"/>
        <v>-128</v>
      </c>
      <c r="E196" s="81">
        <f t="shared" si="192"/>
        <v>-1003</v>
      </c>
      <c r="F196" s="81">
        <f t="shared" si="192"/>
        <v>-1360</v>
      </c>
      <c r="G196" s="81">
        <f t="shared" si="192"/>
        <v>-1533</v>
      </c>
      <c r="H196" s="81">
        <f t="shared" si="192"/>
        <v>-1551</v>
      </c>
      <c r="I196" s="81">
        <f t="shared" si="192"/>
        <v>-1394</v>
      </c>
      <c r="J196" s="48">
        <f>J200+J204</f>
        <v>39.313333333333361</v>
      </c>
      <c r="K196" s="48">
        <f t="shared" ref="K196:N196" si="193">K200+K204</f>
        <v>-11.79159999999996</v>
      </c>
      <c r="L196" s="48">
        <f t="shared" si="193"/>
        <v>-94.10992799999994</v>
      </c>
      <c r="M196" s="48">
        <f t="shared" si="193"/>
        <v>-223.70122223999991</v>
      </c>
      <c r="N196" s="48">
        <f t="shared" si="193"/>
        <v>-424.69107001919986</v>
      </c>
    </row>
    <row r="197" spans="1:14" ht="15" thickTop="1" x14ac:dyDescent="0.3">
      <c r="A197" s="46" t="s">
        <v>129</v>
      </c>
      <c r="B197" s="47"/>
      <c r="C197" s="91">
        <f>98/B196</f>
        <v>-0.20123203285420946</v>
      </c>
      <c r="D197" s="91">
        <v>1.28</v>
      </c>
      <c r="E197" s="92">
        <v>-683</v>
      </c>
      <c r="F197" s="92">
        <v>-30</v>
      </c>
      <c r="G197" s="92">
        <v>-12</v>
      </c>
      <c r="H197" s="92">
        <v>-1</v>
      </c>
      <c r="I197" s="92">
        <v>11</v>
      </c>
    </row>
    <row r="198" spans="1:14" x14ac:dyDescent="0.3">
      <c r="A198" s="46" t="s">
        <v>131</v>
      </c>
      <c r="B198" s="47" t="str">
        <f>+IFERROR(B196/B$18,"nm")</f>
        <v>nm</v>
      </c>
      <c r="C198" s="47">
        <f t="shared" ref="C198:G198" si="194">+IFERROR(C196/C$18,"nm")</f>
        <v>-8103.4883720930329</v>
      </c>
      <c r="D198" s="47">
        <f t="shared" si="194"/>
        <v>-1457.4035087719287</v>
      </c>
      <c r="E198" s="47">
        <f t="shared" si="194"/>
        <v>-17271.170731707327</v>
      </c>
      <c r="F198" s="47">
        <f t="shared" si="194"/>
        <v>24188.571428571413</v>
      </c>
      <c r="G198" s="47">
        <f t="shared" si="194"/>
        <v>-67547.812499999898</v>
      </c>
      <c r="H198" s="47">
        <f>+IFERROR(H196/H$18,"nm")</f>
        <v>-48620.47826086959</v>
      </c>
      <c r="I198" s="47">
        <f>+IFERROR(I196/I$18,"nm")</f>
        <v>38412.444444444482</v>
      </c>
    </row>
    <row r="199" spans="1:14" x14ac:dyDescent="0.3">
      <c r="A199" s="9"/>
      <c r="B199" s="9"/>
      <c r="C199" s="9"/>
      <c r="D199" s="9"/>
      <c r="E199" s="9"/>
      <c r="F199" s="9"/>
      <c r="G199" s="9"/>
      <c r="H199" s="9"/>
      <c r="I199" s="9"/>
    </row>
    <row r="200" spans="1:14" x14ac:dyDescent="0.3">
      <c r="A200" s="9" t="s">
        <v>132</v>
      </c>
      <c r="B200" s="77">
        <v>93</v>
      </c>
      <c r="C200" s="77">
        <v>111</v>
      </c>
      <c r="D200" s="77">
        <v>119</v>
      </c>
      <c r="E200" s="77">
        <v>143</v>
      </c>
      <c r="F200" s="77">
        <v>147</v>
      </c>
      <c r="G200" s="77">
        <v>137</v>
      </c>
      <c r="H200" s="77">
        <v>167</v>
      </c>
      <c r="I200" s="77">
        <v>156</v>
      </c>
      <c r="J200" s="63">
        <f>I200*1.08</f>
        <v>168.48000000000002</v>
      </c>
      <c r="K200" s="63">
        <f t="shared" ref="K200:N200" si="195">J200*1.08</f>
        <v>181.95840000000004</v>
      </c>
      <c r="L200" s="63">
        <f t="shared" si="195"/>
        <v>196.51507200000006</v>
      </c>
      <c r="M200" s="63">
        <f t="shared" si="195"/>
        <v>212.23627776000009</v>
      </c>
      <c r="N200" s="63">
        <f t="shared" si="195"/>
        <v>229.21517998080012</v>
      </c>
    </row>
    <row r="201" spans="1:14" x14ac:dyDescent="0.3">
      <c r="A201" s="46" t="s">
        <v>129</v>
      </c>
      <c r="C201">
        <f>C200/B200</f>
        <v>1.1935483870967742</v>
      </c>
      <c r="D201">
        <f t="shared" ref="D201:I201" si="196">D200/C200</f>
        <v>1.072072072072072</v>
      </c>
      <c r="E201">
        <f t="shared" si="196"/>
        <v>1.2016806722689075</v>
      </c>
      <c r="F201">
        <f t="shared" si="196"/>
        <v>1.0279720279720279</v>
      </c>
      <c r="G201">
        <f t="shared" si="196"/>
        <v>0.93197278911564629</v>
      </c>
      <c r="H201">
        <f t="shared" si="196"/>
        <v>1.218978102189781</v>
      </c>
      <c r="I201">
        <f t="shared" si="196"/>
        <v>0.93413173652694614</v>
      </c>
    </row>
    <row r="202" spans="1:14" x14ac:dyDescent="0.3">
      <c r="A202" s="46" t="s">
        <v>133</v>
      </c>
      <c r="B202" s="47">
        <f>B200/B167</f>
        <v>4.6922300706357216E-2</v>
      </c>
      <c r="C202" s="47">
        <f t="shared" ref="C202:I202" si="197">C200/C167</f>
        <v>5.677749360613811E-2</v>
      </c>
      <c r="D202" s="47">
        <f t="shared" si="197"/>
        <v>5.8276199804113617E-2</v>
      </c>
      <c r="E202" s="47">
        <f t="shared" si="197"/>
        <v>7.4790794979079492E-2</v>
      </c>
      <c r="F202" s="47">
        <f t="shared" si="197"/>
        <v>7.7124868835257085E-2</v>
      </c>
      <c r="G202" s="47">
        <f t="shared" si="197"/>
        <v>7.4214517876489708E-2</v>
      </c>
      <c r="H202" s="47">
        <f t="shared" si="197"/>
        <v>7.573696145124717E-2</v>
      </c>
      <c r="I202" s="47">
        <f t="shared" si="197"/>
        <v>6.6496163682864456E-2</v>
      </c>
    </row>
    <row r="203" spans="1:14" x14ac:dyDescent="0.3">
      <c r="A203" s="46"/>
      <c r="B203" s="47"/>
      <c r="C203" s="47"/>
      <c r="D203" s="47"/>
      <c r="E203" s="47"/>
      <c r="F203" s="47"/>
      <c r="G203" s="47"/>
      <c r="H203" s="47"/>
      <c r="I203" s="47"/>
    </row>
    <row r="204" spans="1:14" x14ac:dyDescent="0.3">
      <c r="A204" s="9" t="s">
        <v>134</v>
      </c>
      <c r="B204" s="9">
        <v>-580</v>
      </c>
      <c r="C204" s="9">
        <v>-686</v>
      </c>
      <c r="D204" s="9">
        <v>-247</v>
      </c>
      <c r="E204" s="9">
        <v>-1146</v>
      </c>
      <c r="F204" s="9">
        <v>-1507</v>
      </c>
      <c r="G204" s="9">
        <v>-1670</v>
      </c>
      <c r="H204" s="9">
        <v>-1718</v>
      </c>
      <c r="I204" s="9">
        <v>-1550</v>
      </c>
      <c r="J204" s="93">
        <f>I204/12</f>
        <v>-129.16666666666666</v>
      </c>
      <c r="K204" s="85">
        <f>J204*1.5</f>
        <v>-193.75</v>
      </c>
      <c r="L204" s="85">
        <f t="shared" ref="L204:N204" si="198">K204*1.5</f>
        <v>-290.625</v>
      </c>
      <c r="M204" s="85">
        <f t="shared" si="198"/>
        <v>-435.9375</v>
      </c>
      <c r="N204" s="85">
        <f t="shared" si="198"/>
        <v>-653.90625</v>
      </c>
    </row>
    <row r="205" spans="1:14" x14ac:dyDescent="0.3">
      <c r="A205" s="46" t="s">
        <v>129</v>
      </c>
      <c r="B205" s="47"/>
      <c r="C205" s="47">
        <v>-2.77</v>
      </c>
      <c r="D205" s="47">
        <f t="shared" ref="D205" si="199">+IFERROR(D204/C204-1,"nm")</f>
        <v>-0.63994169096209919</v>
      </c>
      <c r="E205" s="47">
        <v>-4.63</v>
      </c>
      <c r="F205" s="47">
        <v>0.24</v>
      </c>
      <c r="G205" s="47">
        <v>0.02</v>
      </c>
      <c r="H205" s="47">
        <f t="shared" ref="H205" si="200">+IFERROR(H204/G204-1,"nm")</f>
        <v>2.8742514970059974E-2</v>
      </c>
      <c r="I205" s="47">
        <f>+IFERROR(I204/H204-1,"nm")</f>
        <v>-9.7788125727590214E-2</v>
      </c>
    </row>
    <row r="206" spans="1:14" x14ac:dyDescent="0.3">
      <c r="A206" s="46" t="s">
        <v>131</v>
      </c>
      <c r="B206" s="47" t="str">
        <f t="shared" ref="B206" si="201">+IFERROR(B204/B$18,"nm")</f>
        <v>nm</v>
      </c>
      <c r="C206" s="47">
        <f>+IFERROR(C204/C$18,"nm")</f>
        <v>-9667.813953488383</v>
      </c>
      <c r="D206" s="47">
        <f t="shared" ref="D206:H206" si="202">+IFERROR(D204/D$18,"nm")</f>
        <v>-2812.3333333333312</v>
      </c>
      <c r="E206" s="47">
        <f t="shared" si="202"/>
        <v>-19733.560975609766</v>
      </c>
      <c r="F206" s="47">
        <f t="shared" si="202"/>
        <v>26803.071428571413</v>
      </c>
      <c r="G206" s="47">
        <f t="shared" si="202"/>
        <v>-73584.374999999898</v>
      </c>
      <c r="H206" s="47">
        <f t="shared" si="202"/>
        <v>-53855.565217391326</v>
      </c>
      <c r="I206" s="47">
        <f>+IFERROR(I204/I$18,"nm")</f>
        <v>42711.111111111146</v>
      </c>
    </row>
    <row r="207" spans="1:14" x14ac:dyDescent="0.3">
      <c r="B207" s="9"/>
      <c r="C207" s="9"/>
      <c r="D207" s="9"/>
      <c r="E207" s="9"/>
      <c r="F207" s="9"/>
      <c r="G207" s="9"/>
      <c r="H207" s="9"/>
      <c r="I207" s="9"/>
    </row>
    <row r="208" spans="1:14" x14ac:dyDescent="0.3">
      <c r="A208" s="9" t="s">
        <v>135</v>
      </c>
      <c r="B208" s="9">
        <v>213</v>
      </c>
      <c r="C208" s="9">
        <v>351</v>
      </c>
      <c r="D208" s="9">
        <v>417</v>
      </c>
      <c r="E208" s="9">
        <v>347</v>
      </c>
      <c r="F208" s="9">
        <v>351</v>
      </c>
      <c r="G208" s="9">
        <v>368</v>
      </c>
      <c r="H208" s="9">
        <v>18</v>
      </c>
      <c r="I208" s="9">
        <v>59</v>
      </c>
      <c r="J208" s="85">
        <f>I208*2.14</f>
        <v>126.26</v>
      </c>
      <c r="K208" s="85">
        <f t="shared" ref="K208:N208" si="203">J208*2.14</f>
        <v>270.19640000000004</v>
      </c>
      <c r="L208" s="85">
        <f t="shared" si="203"/>
        <v>578.22029600000008</v>
      </c>
      <c r="M208" s="85">
        <f t="shared" si="203"/>
        <v>1237.3914334400001</v>
      </c>
      <c r="N208" s="85">
        <f t="shared" si="203"/>
        <v>2648.0176675616003</v>
      </c>
    </row>
    <row r="209" spans="1:14" x14ac:dyDescent="0.3">
      <c r="A209" s="46" t="s">
        <v>129</v>
      </c>
      <c r="B209" s="47"/>
      <c r="C209" s="94">
        <f>C208/B208</f>
        <v>1.647887323943662</v>
      </c>
      <c r="D209" s="94">
        <f>D208/C208</f>
        <v>1.188034188034188</v>
      </c>
      <c r="E209" s="94">
        <v>-17</v>
      </c>
      <c r="F209" s="92">
        <f>F208/E208</f>
        <v>1.0115273775216138</v>
      </c>
      <c r="G209" s="92">
        <v>4</v>
      </c>
      <c r="H209" s="94">
        <v>-96</v>
      </c>
      <c r="I209" s="47">
        <f>I208/H208</f>
        <v>3.2777777777777777</v>
      </c>
    </row>
    <row r="210" spans="1:14" x14ac:dyDescent="0.3">
      <c r="A210" s="46" t="s">
        <v>133</v>
      </c>
      <c r="B210" s="47" t="str">
        <f t="shared" ref="B210:H210" si="204">+IFERROR(B207/B$18,"nm")</f>
        <v>nm</v>
      </c>
      <c r="C210" s="47">
        <f t="shared" si="204"/>
        <v>0</v>
      </c>
      <c r="D210" s="47">
        <f t="shared" si="204"/>
        <v>0</v>
      </c>
      <c r="E210" s="47">
        <f t="shared" si="204"/>
        <v>0</v>
      </c>
      <c r="F210" s="47">
        <f t="shared" si="204"/>
        <v>0</v>
      </c>
      <c r="G210" s="47">
        <f t="shared" si="204"/>
        <v>0</v>
      </c>
      <c r="H210" s="47">
        <f t="shared" si="204"/>
        <v>0</v>
      </c>
      <c r="I210" s="47">
        <f>+IFERROR(I207/I$18,"nm")</f>
        <v>0</v>
      </c>
    </row>
    <row r="212" spans="1:14" x14ac:dyDescent="0.3">
      <c r="A212" s="86" t="s">
        <v>210</v>
      </c>
      <c r="B212" s="9">
        <v>835</v>
      </c>
      <c r="C212" s="9">
        <v>1062</v>
      </c>
      <c r="D212" s="9">
        <v>1363</v>
      </c>
      <c r="E212" s="9">
        <v>1565</v>
      </c>
      <c r="F212" s="9">
        <v>1773</v>
      </c>
      <c r="G212" s="9">
        <v>1996</v>
      </c>
      <c r="H212" s="9">
        <v>1953</v>
      </c>
      <c r="I212" s="9">
        <v>1866</v>
      </c>
      <c r="J212" s="48">
        <f>I212*1.147</f>
        <v>2140.3020000000001</v>
      </c>
      <c r="K212" s="48">
        <f t="shared" ref="K212:N212" si="205">J212*1.147</f>
        <v>2454.9263940000001</v>
      </c>
      <c r="L212" s="48">
        <f t="shared" si="205"/>
        <v>2815.8005739180003</v>
      </c>
      <c r="M212" s="48">
        <f t="shared" si="205"/>
        <v>3229.7232582839465</v>
      </c>
      <c r="N212" s="48">
        <f t="shared" si="205"/>
        <v>3704.4925772516867</v>
      </c>
    </row>
    <row r="213" spans="1:14" x14ac:dyDescent="0.3">
      <c r="A213" s="46" t="s">
        <v>129</v>
      </c>
      <c r="B213" s="47" t="str">
        <f t="shared" ref="B213:F213" si="206">+IFERROR(B212/A212-1,"nm")</f>
        <v>nm</v>
      </c>
      <c r="C213" s="47">
        <f t="shared" si="206"/>
        <v>0.27185628742514978</v>
      </c>
      <c r="D213" s="47">
        <f t="shared" si="206"/>
        <v>0.28342749529190203</v>
      </c>
      <c r="E213" s="47">
        <f t="shared" si="206"/>
        <v>0.14820249449743206</v>
      </c>
      <c r="F213" s="47">
        <f t="shared" si="206"/>
        <v>0.13290734824281158</v>
      </c>
      <c r="G213" s="47">
        <f>+IFERROR(F212/E212-1,"nm")</f>
        <v>0.13290734824281158</v>
      </c>
      <c r="H213" s="47">
        <f>+IFERROR(H212/F212-1,"nm")</f>
        <v>0.10152284263959399</v>
      </c>
      <c r="I213" s="47">
        <f>+IFERROR(I212/H212-1,"nm")</f>
        <v>-4.4546850998463894E-2</v>
      </c>
      <c r="J213" s="47" t="e">
        <f>+J214+#REF!</f>
        <v>#REF!</v>
      </c>
      <c r="K213" s="47" t="e">
        <f>+K214+#REF!</f>
        <v>#REF!</v>
      </c>
      <c r="L213" s="47" t="e">
        <f>+L214+#REF!</f>
        <v>#REF!</v>
      </c>
      <c r="M213" s="47" t="e">
        <f>+M214+#REF!</f>
        <v>#REF!</v>
      </c>
      <c r="N213" s="47" t="e">
        <f>+N214+#REF!</f>
        <v>#REF!</v>
      </c>
    </row>
    <row r="214" spans="1:14" x14ac:dyDescent="0.3">
      <c r="A214" s="46" t="s">
        <v>133</v>
      </c>
      <c r="B214" s="47">
        <f t="shared" ref="B214:I214" si="207">+IFERROR(B212/B$21,"nm")</f>
        <v>6.0771470160116449E-2</v>
      </c>
      <c r="C214" s="47">
        <f t="shared" si="207"/>
        <v>7.1931725819561101E-2</v>
      </c>
      <c r="D214" s="47">
        <f t="shared" si="207"/>
        <v>8.957676130389064E-2</v>
      </c>
      <c r="E214" s="47" t="str">
        <f>+IFERROR(#REF!/E$21,"nm")</f>
        <v>nm</v>
      </c>
      <c r="F214" s="47">
        <f>+IFERROR(E212/F$21,"nm")</f>
        <v>9.8415293673751736E-2</v>
      </c>
      <c r="G214" s="47">
        <f>+IFERROR(F212/G$21,"nm")</f>
        <v>0.1224109362054681</v>
      </c>
      <c r="H214" s="47">
        <f t="shared" si="207"/>
        <v>0.11368531346411316</v>
      </c>
      <c r="I214" s="47">
        <f t="shared" si="207"/>
        <v>0.10167275104887484</v>
      </c>
      <c r="J214" s="49">
        <f>+I214</f>
        <v>0.10167275104887484</v>
      </c>
      <c r="K214" s="49">
        <f t="shared" ref="K214:M214" si="208">+J214</f>
        <v>0.10167275104887484</v>
      </c>
      <c r="L214" s="49">
        <f t="shared" si="208"/>
        <v>0.10167275104887484</v>
      </c>
      <c r="M214" s="49">
        <f t="shared" si="208"/>
        <v>0.10167275104887484</v>
      </c>
      <c r="N214" s="49">
        <f>+M214</f>
        <v>0.10167275104887484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03535-33B3-4BA9-9666-55CC86C1FCF7}">
  <dimension ref="A1:O72"/>
  <sheetViews>
    <sheetView workbookViewId="0">
      <selection activeCell="E8" sqref="E8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147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1" t="s">
        <v>136</v>
      </c>
      <c r="B3" s="9">
        <v>30601</v>
      </c>
      <c r="C3" s="9">
        <v>32376</v>
      </c>
      <c r="D3" s="9">
        <v>34350</v>
      </c>
      <c r="E3" s="9">
        <v>36397</v>
      </c>
      <c r="F3" s="9">
        <v>39117</v>
      </c>
      <c r="G3" s="9">
        <v>37403</v>
      </c>
      <c r="H3" s="9">
        <v>44538</v>
      </c>
      <c r="I3" s="9">
        <v>46710</v>
      </c>
      <c r="J3" s="9">
        <v>50704.500599999992</v>
      </c>
      <c r="K3" s="9">
        <v>54981.754454679998</v>
      </c>
      <c r="L3" s="9">
        <v>59707.020591682107</v>
      </c>
      <c r="M3" s="9">
        <v>64934.971697428249</v>
      </c>
      <c r="N3" s="9">
        <v>70727.592759607956</v>
      </c>
      <c r="O3" t="s">
        <v>195</v>
      </c>
    </row>
    <row r="4" spans="1:15" x14ac:dyDescent="0.3">
      <c r="A4" s="42" t="s">
        <v>129</v>
      </c>
      <c r="B4" s="54"/>
      <c r="C4" s="62">
        <f>C3/B3-1</f>
        <v>5.8004640371229765E-2</v>
      </c>
      <c r="D4" s="62">
        <f t="shared" ref="D4:N4" si="2">D3/C3-1</f>
        <v>6.0971089696071123E-2</v>
      </c>
      <c r="E4" s="62">
        <f t="shared" si="2"/>
        <v>5.95924308588065E-2</v>
      </c>
      <c r="F4" s="62">
        <f t="shared" si="2"/>
        <v>7.4731433909388079E-2</v>
      </c>
      <c r="G4" s="62">
        <f t="shared" si="2"/>
        <v>-4.3817266150267153E-2</v>
      </c>
      <c r="H4" s="62">
        <f t="shared" si="2"/>
        <v>0.19076009945726269</v>
      </c>
      <c r="I4" s="62">
        <f t="shared" si="2"/>
        <v>4.8767344739323759E-2</v>
      </c>
      <c r="J4" s="62">
        <f t="shared" si="2"/>
        <v>8.5517032755298539E-2</v>
      </c>
      <c r="K4" s="62">
        <f t="shared" si="2"/>
        <v>8.4356493093632912E-2</v>
      </c>
      <c r="L4" s="62">
        <f t="shared" si="2"/>
        <v>8.5942440067041215E-2</v>
      </c>
      <c r="M4" s="62">
        <f t="shared" si="2"/>
        <v>8.7560073404072236E-2</v>
      </c>
      <c r="N4" s="62">
        <f t="shared" si="2"/>
        <v>8.9206492445566443E-2</v>
      </c>
    </row>
    <row r="5" spans="1:15" x14ac:dyDescent="0.3">
      <c r="A5" s="1" t="s">
        <v>148</v>
      </c>
      <c r="B5" s="63">
        <v>4839</v>
      </c>
      <c r="C5" s="63">
        <v>5291</v>
      </c>
      <c r="D5" s="63">
        <v>5651</v>
      </c>
      <c r="E5" s="63">
        <v>5126</v>
      </c>
      <c r="F5" s="63">
        <v>5505</v>
      </c>
      <c r="G5" s="63">
        <v>3697</v>
      </c>
      <c r="H5" s="63">
        <v>5909</v>
      </c>
      <c r="I5" s="63">
        <v>4979</v>
      </c>
      <c r="J5" s="64">
        <v>6950.0173333333323</v>
      </c>
      <c r="K5" s="64">
        <v>7513.1465560000015</v>
      </c>
      <c r="L5" s="64">
        <v>8169.3194214029991</v>
      </c>
      <c r="M5" s="64">
        <v>8853.0749543905549</v>
      </c>
      <c r="N5" s="64">
        <v>9577.9366824109566</v>
      </c>
    </row>
    <row r="6" spans="1:15" x14ac:dyDescent="0.3">
      <c r="A6" s="50" t="s">
        <v>132</v>
      </c>
      <c r="B6" s="55"/>
      <c r="C6" s="47">
        <v>0.16342352359772672</v>
      </c>
      <c r="D6" s="47">
        <v>0.16451237263464338</v>
      </c>
      <c r="E6" s="47">
        <v>0.14083578316894249</v>
      </c>
      <c r="F6" s="47">
        <v>0.14247002581997598</v>
      </c>
      <c r="G6" s="47">
        <v>9.8842338849824879E-2</v>
      </c>
      <c r="H6" s="47">
        <v>0.17214513449189456</v>
      </c>
      <c r="I6" s="47">
        <v>0.16212802397773496</v>
      </c>
      <c r="J6" s="47">
        <v>0.1728345915989061</v>
      </c>
      <c r="K6" s="47">
        <v>0.18424819670449422</v>
      </c>
      <c r="L6" s="47">
        <v>0.1964155304491306</v>
      </c>
      <c r="M6" s="47">
        <v>0.20938636736558261</v>
      </c>
      <c r="N6" s="47">
        <v>0.22321376898406445</v>
      </c>
    </row>
    <row r="7" spans="1:15" x14ac:dyDescent="0.3">
      <c r="A7" s="4" t="s">
        <v>134</v>
      </c>
      <c r="B7" s="63">
        <v>4233</v>
      </c>
      <c r="C7" s="63">
        <v>4642</v>
      </c>
      <c r="D7" s="63">
        <v>4945</v>
      </c>
      <c r="E7" s="63">
        <v>4379</v>
      </c>
      <c r="F7" s="63">
        <v>4850</v>
      </c>
      <c r="G7" s="63">
        <v>2976</v>
      </c>
      <c r="H7" s="63">
        <v>5165</v>
      </c>
      <c r="I7" s="63">
        <v>4262</v>
      </c>
      <c r="J7" s="63">
        <v>6238.0123333333304</v>
      </c>
      <c r="K7" s="63">
        <v>6752.4812560000018</v>
      </c>
      <c r="L7" s="63">
        <v>7385.8303813369994</v>
      </c>
      <c r="M7" s="63">
        <v>8046.0897994096349</v>
      </c>
      <c r="N7" s="63">
        <v>8747</v>
      </c>
    </row>
    <row r="8" spans="1:15" x14ac:dyDescent="0.3">
      <c r="A8" s="42" t="s">
        <v>129</v>
      </c>
      <c r="B8" s="54"/>
      <c r="C8" s="47">
        <v>9.6621781242617555E-2</v>
      </c>
      <c r="D8" s="47">
        <v>6.5273588970271357E-2</v>
      </c>
      <c r="E8" s="47">
        <v>-0.11445904954499497</v>
      </c>
      <c r="F8" s="47">
        <v>0.10755880337976698</v>
      </c>
      <c r="G8" s="47">
        <v>-0.38639175257731961</v>
      </c>
      <c r="H8" s="47">
        <v>1.32627688172043</v>
      </c>
      <c r="I8" s="47">
        <v>-9.67788530983682E-3</v>
      </c>
      <c r="J8" s="47">
        <v>0.14045799299883299</v>
      </c>
      <c r="K8" s="47">
        <v>0.1394450938613474</v>
      </c>
      <c r="L8" s="47">
        <v>0.13853788105245179</v>
      </c>
      <c r="M8" s="47">
        <v>0.13772395686641214</v>
      </c>
      <c r="N8" s="47">
        <v>0.13699262375938392</v>
      </c>
    </row>
    <row r="9" spans="1:15" x14ac:dyDescent="0.3">
      <c r="A9" s="42" t="s">
        <v>131</v>
      </c>
      <c r="B9" s="47">
        <v>1.9803274402797295E-2</v>
      </c>
      <c r="C9" s="47">
        <v>0.14337781072399308</v>
      </c>
      <c r="D9" s="47">
        <v>0.14395924308588065</v>
      </c>
      <c r="E9" s="47">
        <v>0.12031211363573921</v>
      </c>
      <c r="F9" s="47">
        <v>0.12398701331901731</v>
      </c>
      <c r="G9" s="47">
        <v>7.9565810229126011E-2</v>
      </c>
      <c r="H9" s="47">
        <v>0.1554402981723472</v>
      </c>
      <c r="I9" s="47">
        <v>0.14677799186469706</v>
      </c>
      <c r="J9" s="47">
        <v>0.15791899435699194</v>
      </c>
      <c r="K9" s="47">
        <v>0.16975473900716251</v>
      </c>
      <c r="L9" s="47">
        <v>0.18233226495078</v>
      </c>
      <c r="M9" s="47">
        <v>0.19570168485303438</v>
      </c>
      <c r="N9" s="47">
        <v>0.20991638880677702</v>
      </c>
    </row>
    <row r="10" spans="1:15" x14ac:dyDescent="0.3">
      <c r="A10" s="2" t="s">
        <v>24</v>
      </c>
      <c r="B10" s="3">
        <v>-30</v>
      </c>
      <c r="C10" s="3">
        <v>-140</v>
      </c>
      <c r="D10" s="3">
        <v>-137</v>
      </c>
      <c r="E10" s="3">
        <v>66</v>
      </c>
      <c r="F10" s="3">
        <v>-78</v>
      </c>
      <c r="G10" s="3">
        <v>139</v>
      </c>
      <c r="H10" s="3">
        <v>14</v>
      </c>
      <c r="I10" s="3">
        <v>-181</v>
      </c>
      <c r="J10" s="3">
        <f>I10*1.12</f>
        <v>-202.72000000000003</v>
      </c>
      <c r="K10" s="3">
        <f t="shared" ref="K10:N10" si="3">J10*1.12</f>
        <v>-227.04640000000006</v>
      </c>
      <c r="L10" s="3">
        <f t="shared" si="3"/>
        <v>-254.29196800000008</v>
      </c>
      <c r="M10" s="3">
        <f t="shared" si="3"/>
        <v>-284.80700416000013</v>
      </c>
      <c r="N10" s="3">
        <f t="shared" si="3"/>
        <v>-318.9838446592002</v>
      </c>
    </row>
    <row r="11" spans="1:15" x14ac:dyDescent="0.3">
      <c r="A11" s="4" t="s">
        <v>149</v>
      </c>
      <c r="B11" s="5">
        <f>B7+B10</f>
        <v>4203</v>
      </c>
      <c r="C11" s="5">
        <v>4623</v>
      </c>
      <c r="D11" s="5">
        <v>4886</v>
      </c>
      <c r="E11" s="5">
        <v>4325</v>
      </c>
      <c r="F11" s="5">
        <v>4801</v>
      </c>
      <c r="G11" s="5">
        <v>2887</v>
      </c>
      <c r="H11" s="5">
        <v>6661</v>
      </c>
      <c r="I11" s="5">
        <v>6651</v>
      </c>
      <c r="J11" s="5">
        <f t="shared" ref="J11:N11" si="4">J7+J10</f>
        <v>6035.2923333333301</v>
      </c>
      <c r="K11" s="5">
        <f t="shared" si="4"/>
        <v>6525.4348560000017</v>
      </c>
      <c r="L11" s="5">
        <f t="shared" si="4"/>
        <v>7131.5384133369989</v>
      </c>
      <c r="M11" s="5">
        <f t="shared" si="4"/>
        <v>7761.2827952496345</v>
      </c>
      <c r="N11" s="5">
        <f t="shared" si="4"/>
        <v>8428.0161553407997</v>
      </c>
    </row>
    <row r="12" spans="1:15" x14ac:dyDescent="0.3">
      <c r="A12" t="s">
        <v>26</v>
      </c>
      <c r="B12" s="3">
        <v>932</v>
      </c>
      <c r="C12" s="3">
        <v>863</v>
      </c>
      <c r="D12" s="3">
        <v>646</v>
      </c>
      <c r="E12" s="3">
        <v>2392</v>
      </c>
      <c r="F12" s="3">
        <v>772</v>
      </c>
      <c r="G12" s="3">
        <v>348</v>
      </c>
      <c r="H12" s="3">
        <v>934</v>
      </c>
      <c r="I12" s="3">
        <v>605</v>
      </c>
      <c r="J12" s="3">
        <f>I12*1.2</f>
        <v>726</v>
      </c>
      <c r="K12" s="3">
        <f t="shared" ref="K12:M12" si="5">J12*1.2</f>
        <v>871.19999999999993</v>
      </c>
      <c r="L12" s="3">
        <f t="shared" si="5"/>
        <v>1045.4399999999998</v>
      </c>
      <c r="M12" s="3">
        <f t="shared" si="5"/>
        <v>1254.5279999999998</v>
      </c>
      <c r="N12" s="3">
        <f>M12*1.2</f>
        <v>1505.4335999999996</v>
      </c>
    </row>
    <row r="13" spans="1:15" x14ac:dyDescent="0.3">
      <c r="A13" s="51" t="s">
        <v>150</v>
      </c>
      <c r="B13" s="56">
        <f>B12/B11</f>
        <v>0.22174637163930525</v>
      </c>
      <c r="C13" s="56">
        <f t="shared" ref="C13:I13" si="6">C12/C11</f>
        <v>0.18667531905688947</v>
      </c>
      <c r="D13" s="56">
        <f t="shared" si="6"/>
        <v>0.13221449038067951</v>
      </c>
      <c r="E13" s="56">
        <f t="shared" si="6"/>
        <v>0.55306358381502885</v>
      </c>
      <c r="F13" s="56">
        <f t="shared" si="6"/>
        <v>0.16079983336804832</v>
      </c>
      <c r="G13" s="56">
        <f t="shared" si="6"/>
        <v>0.12054035330793211</v>
      </c>
      <c r="H13" s="56">
        <f t="shared" si="6"/>
        <v>0.14021918630836211</v>
      </c>
      <c r="I13" s="56">
        <f t="shared" si="6"/>
        <v>9.0963764847391368E-2</v>
      </c>
      <c r="J13" s="57">
        <f>J12/J11</f>
        <v>0.12029243322485848</v>
      </c>
      <c r="K13" s="57">
        <f t="shared" ref="K13:M13" si="7">K12/K11</f>
        <v>0.13350834376945003</v>
      </c>
      <c r="L13" s="57">
        <f t="shared" si="7"/>
        <v>0.1465938959320302</v>
      </c>
      <c r="M13" s="57">
        <f t="shared" si="7"/>
        <v>0.16163925901113219</v>
      </c>
      <c r="N13" s="57">
        <f>N12/N11</f>
        <v>0.17862253373185721</v>
      </c>
    </row>
    <row r="14" spans="1:15" ht="15" thickBot="1" x14ac:dyDescent="0.35">
      <c r="A14" s="6" t="s">
        <v>151</v>
      </c>
      <c r="B14" s="7">
        <f>B11-B12</f>
        <v>3271</v>
      </c>
      <c r="C14" s="7">
        <f>C11-C12</f>
        <v>3760</v>
      </c>
      <c r="D14" s="7">
        <f>D11-D12</f>
        <v>4240</v>
      </c>
      <c r="E14" s="7">
        <f>E11-E12</f>
        <v>1933</v>
      </c>
      <c r="F14" s="7">
        <f>F11-F12</f>
        <v>4029</v>
      </c>
      <c r="G14" s="7">
        <f t="shared" ref="G14:M14" si="8">G11-G12</f>
        <v>2539</v>
      </c>
      <c r="H14" s="7">
        <f t="shared" si="8"/>
        <v>5727</v>
      </c>
      <c r="I14" s="7">
        <f t="shared" si="8"/>
        <v>6046</v>
      </c>
      <c r="J14" s="7">
        <f>J11-J12</f>
        <v>5309.2923333333301</v>
      </c>
      <c r="K14" s="7">
        <f t="shared" si="8"/>
        <v>5654.2348560000019</v>
      </c>
      <c r="L14" s="7">
        <f t="shared" si="8"/>
        <v>6086.0984133369993</v>
      </c>
      <c r="M14" s="7">
        <f t="shared" si="8"/>
        <v>6506.7547952496352</v>
      </c>
      <c r="N14" s="7">
        <f>N11-N12</f>
        <v>6922.5825553408004</v>
      </c>
    </row>
    <row r="15" spans="1:15" ht="15" thickTop="1" x14ac:dyDescent="0.3">
      <c r="A15" t="s">
        <v>152</v>
      </c>
      <c r="B15">
        <v>884.4</v>
      </c>
      <c r="C15">
        <v>1742.5</v>
      </c>
      <c r="D15">
        <v>1692</v>
      </c>
      <c r="E15">
        <v>1659.1</v>
      </c>
      <c r="F15">
        <v>1618.4</v>
      </c>
      <c r="G15" s="8">
        <v>1591.6</v>
      </c>
      <c r="H15" s="8">
        <v>1609.4</v>
      </c>
      <c r="I15" s="8">
        <v>1610.8</v>
      </c>
      <c r="J15" s="3">
        <v>1864</v>
      </c>
      <c r="K15" s="3">
        <v>2149</v>
      </c>
      <c r="L15" s="3">
        <v>2470</v>
      </c>
      <c r="M15" s="3">
        <v>2841</v>
      </c>
      <c r="N15" s="3">
        <f t="shared" ref="N15" si="9">M15*1.125</f>
        <v>3196.125</v>
      </c>
    </row>
    <row r="16" spans="1:15" x14ac:dyDescent="0.3">
      <c r="A16" t="s">
        <v>153</v>
      </c>
      <c r="B16">
        <v>3.7</v>
      </c>
      <c r="C16">
        <v>2.16</v>
      </c>
      <c r="D16">
        <v>2.16</v>
      </c>
      <c r="E16">
        <v>1.17</v>
      </c>
      <c r="F16">
        <v>2.4900000000000002</v>
      </c>
      <c r="G16">
        <v>1.6</v>
      </c>
      <c r="H16">
        <v>3.56</v>
      </c>
      <c r="I16">
        <v>3.75</v>
      </c>
      <c r="J16" s="58">
        <f>J14/J15</f>
        <v>2.8483327968526448</v>
      </c>
      <c r="K16" s="58">
        <f t="shared" ref="K16:N16" si="10">K14/K15</f>
        <v>2.6311004448580744</v>
      </c>
      <c r="L16" s="58">
        <f t="shared" si="10"/>
        <v>2.4640074547923074</v>
      </c>
      <c r="M16" s="58">
        <f t="shared" si="10"/>
        <v>2.2903043981871294</v>
      </c>
      <c r="N16" s="58">
        <f t="shared" si="10"/>
        <v>2.165929854226853</v>
      </c>
    </row>
    <row r="17" spans="1:15" x14ac:dyDescent="0.3">
      <c r="A17" t="s">
        <v>154</v>
      </c>
      <c r="B17" s="58">
        <f>[1]Historicals!B97/-'[1]Three Statements'!B15</f>
        <v>1.016508367254636</v>
      </c>
      <c r="C17" s="58">
        <f>[1]Historicals!C97/-'[1]Three Statements'!C15</f>
        <v>0.58651362984218081</v>
      </c>
      <c r="D17" s="58">
        <f>[1]Historicals!D97/-'[1]Three Statements'!D15</f>
        <v>0.66962174940898345</v>
      </c>
      <c r="E17" s="58">
        <f>[1]Historicals!E97/-'[1]Three Statements'!E15</f>
        <v>0.74920137423904531</v>
      </c>
      <c r="F17" s="58">
        <f>[1]Historicals!F97/-'[1]Three Statements'!F15</f>
        <v>0.82303509639149774</v>
      </c>
      <c r="G17" s="58">
        <f>[1]Historicals!G97/-'[1]Three Statements'!G15</f>
        <v>0.91228951997989449</v>
      </c>
      <c r="H17" s="58">
        <f>[1]Historicals!H97/-'[1]Three Statements'!H15</f>
        <v>1.0177705977382876</v>
      </c>
      <c r="I17" s="58">
        <f>[1]Historicals!I97/-'[1]Three Statements'!I15</f>
        <v>1.1404271169605165</v>
      </c>
      <c r="J17" s="58">
        <f>I17*1.04</f>
        <v>1.1860442016389372</v>
      </c>
      <c r="K17" s="58">
        <f t="shared" ref="K17:N17" si="11">J17*1.04</f>
        <v>1.2334859697044946</v>
      </c>
      <c r="L17" s="58">
        <f t="shared" si="11"/>
        <v>1.2828254084926745</v>
      </c>
      <c r="M17" s="58">
        <f t="shared" si="11"/>
        <v>1.3341384248323815</v>
      </c>
      <c r="N17" s="58">
        <f t="shared" si="11"/>
        <v>1.3875039618256768</v>
      </c>
    </row>
    <row r="18" spans="1:15" x14ac:dyDescent="0.3">
      <c r="A18" s="51" t="s">
        <v>129</v>
      </c>
      <c r="B18" s="56"/>
      <c r="C18" s="56">
        <f>C17/B17-1</f>
        <v>-0.42301150808406596</v>
      </c>
      <c r="D18" s="56">
        <f t="shared" ref="D18:N18" si="12">D17/C17-1</f>
        <v>0.14169853067040461</v>
      </c>
      <c r="E18" s="56">
        <f t="shared" si="12"/>
        <v>0.11884265243818604</v>
      </c>
      <c r="F18" s="56">
        <f t="shared" si="12"/>
        <v>9.8549902190775418E-2</v>
      </c>
      <c r="G18" s="56">
        <f t="shared" si="12"/>
        <v>0.10844546481641237</v>
      </c>
      <c r="H18" s="56">
        <f t="shared" si="12"/>
        <v>0.11562237146023313</v>
      </c>
      <c r="I18" s="56">
        <f t="shared" si="12"/>
        <v>0.12051489745803123</v>
      </c>
      <c r="J18" s="56">
        <f t="shared" si="12"/>
        <v>4.0000000000000036E-2</v>
      </c>
      <c r="K18" s="56">
        <f t="shared" si="12"/>
        <v>4.0000000000000036E-2</v>
      </c>
      <c r="L18" s="56">
        <f t="shared" si="12"/>
        <v>4.0000000000000036E-2</v>
      </c>
      <c r="M18" s="56">
        <f t="shared" si="12"/>
        <v>4.0000000000000036E-2</v>
      </c>
      <c r="N18" s="56">
        <f t="shared" si="12"/>
        <v>4.0000000000000036E-2</v>
      </c>
    </row>
    <row r="19" spans="1:15" x14ac:dyDescent="0.3">
      <c r="A19" s="51" t="s">
        <v>155</v>
      </c>
      <c r="B19" s="56">
        <f>[1]Historicals!B97/-'[1]Three Statements'!B14</f>
        <v>0.27483949862427393</v>
      </c>
      <c r="C19" s="56">
        <f>[1]Historicals!C97/-'[1]Three Statements'!C14</f>
        <v>0.27180851063829786</v>
      </c>
      <c r="D19" s="56">
        <f>[1]Historicals!D97/-'[1]Three Statements'!D14</f>
        <v>0.26721698113207548</v>
      </c>
      <c r="E19" s="56">
        <f>[1]Historicals!E97/-'[1]Three Statements'!E14</f>
        <v>0.64304190377651316</v>
      </c>
      <c r="F19" s="56">
        <f>[1]Historicals!F97/-'[1]Three Statements'!F14</f>
        <v>0.33060312732688013</v>
      </c>
      <c r="G19" s="56">
        <f>[1]Historicals!G97/-'[1]Three Statements'!G14</f>
        <v>0.57187869239858213</v>
      </c>
      <c r="H19" s="56">
        <f>[1]Historicals!H97/-'[1]Three Statements'!H14</f>
        <v>0.286013619696176</v>
      </c>
      <c r="I19" s="56">
        <f>[1]Historicals!I97/-'[1]Three Statements'!I14</f>
        <v>0.30383724776711873</v>
      </c>
      <c r="J19" s="56">
        <f>J17/J16</f>
        <v>0.41639944705530696</v>
      </c>
      <c r="K19" s="56">
        <f t="shared" ref="K19:M19" si="13">K17/K16</f>
        <v>0.4688099126413362</v>
      </c>
      <c r="L19" s="56">
        <f t="shared" si="13"/>
        <v>0.52062561986071776</v>
      </c>
      <c r="M19" s="56">
        <f t="shared" si="13"/>
        <v>0.58251576772432834</v>
      </c>
      <c r="N19" s="56">
        <f>N17/N16</f>
        <v>0.64060429247878758</v>
      </c>
      <c r="O19" t="s">
        <v>196</v>
      </c>
    </row>
    <row r="20" spans="1:15" x14ac:dyDescent="0.3">
      <c r="A20" s="52" t="s">
        <v>156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157</v>
      </c>
      <c r="B21" s="3">
        <v>3852</v>
      </c>
      <c r="C21" s="3">
        <v>3138</v>
      </c>
      <c r="D21" s="3">
        <v>3808</v>
      </c>
      <c r="E21" s="3">
        <v>4249</v>
      </c>
      <c r="F21" s="3">
        <v>4466</v>
      </c>
      <c r="G21" s="3">
        <v>8348</v>
      </c>
      <c r="H21" s="3">
        <v>9889</v>
      </c>
      <c r="I21" s="3">
        <v>8574</v>
      </c>
      <c r="J21" s="3">
        <v>7799</v>
      </c>
      <c r="K21" s="3">
        <f>K70</f>
        <v>8170.7707511050412</v>
      </c>
      <c r="L21" s="3">
        <f t="shared" ref="L21:N21" si="14">L70</f>
        <v>11538</v>
      </c>
      <c r="M21" s="3">
        <f t="shared" si="14"/>
        <v>17868</v>
      </c>
      <c r="N21" s="3">
        <f t="shared" si="14"/>
        <v>26394</v>
      </c>
    </row>
    <row r="22" spans="1:15" x14ac:dyDescent="0.3">
      <c r="A22" t="s">
        <v>158</v>
      </c>
      <c r="B22" s="3"/>
      <c r="C22" s="65"/>
      <c r="D22" s="65"/>
      <c r="E22" s="65"/>
      <c r="F22" s="65"/>
      <c r="G22" s="65"/>
      <c r="H22" s="65"/>
      <c r="I22" s="65"/>
      <c r="J22" s="3"/>
      <c r="K22" s="3"/>
      <c r="L22" s="3"/>
      <c r="M22" s="3"/>
      <c r="N22" s="3"/>
    </row>
    <row r="23" spans="1:15" x14ac:dyDescent="0.3">
      <c r="A23" t="s">
        <v>159</v>
      </c>
      <c r="B23" s="3">
        <f>[1]Historicals!B31-[1]Historicals!B46</f>
        <v>9642</v>
      </c>
      <c r="C23" s="3">
        <f>[1]Historicals!C31-[1]Historicals!C46</f>
        <v>9667</v>
      </c>
      <c r="D23" s="3">
        <f>[1]Historicals!D31-[1]Historicals!D46</f>
        <v>10587</v>
      </c>
      <c r="E23" s="3">
        <f>[1]Historicals!E31-[1]Historicals!E46</f>
        <v>9094</v>
      </c>
      <c r="F23" s="3">
        <f>[1]Historicals!F31-[1]Historicals!F46</f>
        <v>8659</v>
      </c>
      <c r="G23" s="3">
        <f>[1]Historicals!G31-[1]Historicals!G46</f>
        <v>12272</v>
      </c>
      <c r="H23" s="3">
        <f>[1]Historicals!H31-[1]Historicals!H46</f>
        <v>16617</v>
      </c>
      <c r="I23" s="3">
        <f>[1]Historicals!I31-[1]Historicals!I46</f>
        <v>17483</v>
      </c>
      <c r="J23" s="3">
        <v>20592</v>
      </c>
      <c r="K23" s="3">
        <v>22972</v>
      </c>
      <c r="L23" s="3">
        <v>33986</v>
      </c>
      <c r="M23" s="3">
        <v>30912</v>
      </c>
      <c r="N23" s="3">
        <v>35153</v>
      </c>
    </row>
    <row r="24" spans="1:15" x14ac:dyDescent="0.3">
      <c r="A24" s="51" t="s">
        <v>160</v>
      </c>
      <c r="B24" s="56">
        <f>B23/B3</f>
        <v>0.31508774223064606</v>
      </c>
      <c r="C24" s="56">
        <f t="shared" ref="C24:N24" si="15">C23/C3</f>
        <v>0.29858537188040524</v>
      </c>
      <c r="D24" s="56">
        <f t="shared" si="15"/>
        <v>0.30820960698689959</v>
      </c>
      <c r="E24" s="56">
        <f t="shared" si="15"/>
        <v>0.24985575734263812</v>
      </c>
      <c r="F24" s="56">
        <f t="shared" si="15"/>
        <v>0.22136155635657132</v>
      </c>
      <c r="G24" s="56">
        <f t="shared" si="15"/>
        <v>0.32810202390182608</v>
      </c>
      <c r="H24" s="56">
        <f t="shared" si="15"/>
        <v>0.37309713054021287</v>
      </c>
      <c r="I24" s="56">
        <f t="shared" si="15"/>
        <v>0.37428816099336332</v>
      </c>
      <c r="J24" s="56">
        <f t="shared" si="15"/>
        <v>0.40611779538954779</v>
      </c>
      <c r="K24" s="56">
        <f t="shared" si="15"/>
        <v>0.41781133082857896</v>
      </c>
      <c r="L24" s="56">
        <f t="shared" si="15"/>
        <v>0.56921279379220358</v>
      </c>
      <c r="M24" s="56">
        <f t="shared" si="15"/>
        <v>0.47604548353447995</v>
      </c>
      <c r="N24" s="56">
        <f t="shared" si="15"/>
        <v>0.49701960194629496</v>
      </c>
    </row>
    <row r="25" spans="1:15" x14ac:dyDescent="0.3">
      <c r="A25" t="s">
        <v>161</v>
      </c>
      <c r="B25" s="3">
        <v>12124</v>
      </c>
      <c r="C25" s="3">
        <v>11887</v>
      </c>
      <c r="D25" s="3">
        <v>12253</v>
      </c>
      <c r="E25" s="3">
        <v>10885</v>
      </c>
      <c r="F25" s="3">
        <v>12059</v>
      </c>
      <c r="G25" s="3">
        <v>12208</v>
      </c>
      <c r="H25" s="3">
        <v>16402</v>
      </c>
      <c r="I25" s="3">
        <v>19639</v>
      </c>
      <c r="J25" s="3">
        <f>I25*1.12</f>
        <v>21995.68</v>
      </c>
      <c r="K25" s="3">
        <f t="shared" ref="K25:N26" si="16">J25*1.12</f>
        <v>24635.161600000003</v>
      </c>
      <c r="L25" s="3">
        <f t="shared" si="16"/>
        <v>27591.380992000006</v>
      </c>
      <c r="M25" s="3">
        <f t="shared" si="16"/>
        <v>30902.346711040009</v>
      </c>
      <c r="N25" s="3">
        <f t="shared" si="16"/>
        <v>34610.628316364811</v>
      </c>
    </row>
    <row r="26" spans="1:15" x14ac:dyDescent="0.3">
      <c r="A26" t="s">
        <v>162</v>
      </c>
      <c r="B26" s="3">
        <v>3011</v>
      </c>
      <c r="C26" s="3">
        <v>3520</v>
      </c>
      <c r="D26" s="3">
        <v>3989</v>
      </c>
      <c r="E26" s="3">
        <v>4454</v>
      </c>
      <c r="F26" s="3">
        <v>4744</v>
      </c>
      <c r="G26" s="3">
        <v>4866</v>
      </c>
      <c r="H26" s="3">
        <v>4904</v>
      </c>
      <c r="I26" s="3">
        <v>4791</v>
      </c>
      <c r="J26" s="3">
        <f>I26*1.12</f>
        <v>5365.92</v>
      </c>
      <c r="K26" s="3">
        <f t="shared" si="16"/>
        <v>6009.8304000000007</v>
      </c>
      <c r="L26" s="3">
        <f t="shared" si="16"/>
        <v>6731.0100480000019</v>
      </c>
      <c r="M26" s="3">
        <f t="shared" si="16"/>
        <v>7538.7312537600028</v>
      </c>
      <c r="N26" s="3">
        <f t="shared" si="16"/>
        <v>8443.3790042112032</v>
      </c>
    </row>
    <row r="27" spans="1:15" x14ac:dyDescent="0.3">
      <c r="A27" t="s">
        <v>163</v>
      </c>
      <c r="B27" s="3">
        <v>281</v>
      </c>
      <c r="C27" s="3">
        <v>281</v>
      </c>
      <c r="D27" s="3">
        <v>283</v>
      </c>
      <c r="E27" s="3">
        <v>285</v>
      </c>
      <c r="F27" s="3">
        <v>283</v>
      </c>
      <c r="G27" s="3">
        <v>274</v>
      </c>
      <c r="H27" s="3">
        <v>269</v>
      </c>
      <c r="I27" s="3">
        <v>286</v>
      </c>
      <c r="J27" s="3">
        <f>I27*1.124</f>
        <v>321.46400000000006</v>
      </c>
      <c r="K27" s="3">
        <f t="shared" ref="K27:N28" si="17">J27*1.124</f>
        <v>361.32553600000011</v>
      </c>
      <c r="L27" s="3">
        <f t="shared" si="17"/>
        <v>406.12990246400017</v>
      </c>
      <c r="M27" s="3">
        <f t="shared" si="17"/>
        <v>456.49001036953621</v>
      </c>
      <c r="N27" s="3">
        <f t="shared" si="17"/>
        <v>513.09477165535873</v>
      </c>
    </row>
    <row r="28" spans="1:15" x14ac:dyDescent="0.3">
      <c r="A28" t="s">
        <v>40</v>
      </c>
      <c r="B28" s="3">
        <v>131</v>
      </c>
      <c r="C28" s="3">
        <v>131</v>
      </c>
      <c r="D28" s="3">
        <v>139</v>
      </c>
      <c r="E28" s="3">
        <v>154</v>
      </c>
      <c r="F28" s="3">
        <v>154</v>
      </c>
      <c r="G28" s="3">
        <v>223</v>
      </c>
      <c r="H28" s="3">
        <v>242</v>
      </c>
      <c r="I28" s="3">
        <v>284</v>
      </c>
      <c r="J28" s="3">
        <f>I28*1.124</f>
        <v>319.21600000000001</v>
      </c>
      <c r="K28" s="3">
        <f t="shared" si="17"/>
        <v>358.79878400000007</v>
      </c>
      <c r="L28" s="3">
        <f t="shared" si="17"/>
        <v>403.28983321600009</v>
      </c>
      <c r="M28" s="3">
        <f t="shared" si="17"/>
        <v>453.29777253478414</v>
      </c>
      <c r="N28" s="3">
        <f t="shared" si="17"/>
        <v>509.50669632909745</v>
      </c>
    </row>
    <row r="29" spans="1:15" x14ac:dyDescent="0.3">
      <c r="A29" s="53" t="s">
        <v>38</v>
      </c>
      <c r="B29" s="3"/>
      <c r="C29" s="3"/>
      <c r="D29" s="3"/>
      <c r="E29" s="3"/>
      <c r="F29" s="3"/>
      <c r="G29" s="3">
        <v>3097</v>
      </c>
      <c r="H29" s="3">
        <v>3113</v>
      </c>
      <c r="I29" s="3">
        <v>2926</v>
      </c>
      <c r="J29" s="3">
        <f>I29*0.955</f>
        <v>2794.33</v>
      </c>
      <c r="K29" s="3">
        <f t="shared" ref="K29:N29" si="18">J29*0.955</f>
        <v>2668.5851499999999</v>
      </c>
      <c r="L29" s="3">
        <f t="shared" si="18"/>
        <v>2548.4988182499997</v>
      </c>
      <c r="M29" s="3">
        <f t="shared" si="18"/>
        <v>2433.8163714287498</v>
      </c>
      <c r="N29" s="3">
        <f t="shared" si="18"/>
        <v>2324.2946347144562</v>
      </c>
    </row>
    <row r="30" spans="1:15" x14ac:dyDescent="0.3">
      <c r="A30" t="s">
        <v>164</v>
      </c>
      <c r="B30" s="3">
        <v>2201</v>
      </c>
      <c r="C30" s="3">
        <v>2422</v>
      </c>
      <c r="D30" s="3">
        <v>2787</v>
      </c>
      <c r="E30" s="3">
        <v>2509</v>
      </c>
      <c r="F30" s="3">
        <v>2011</v>
      </c>
      <c r="G30" s="3">
        <v>2326</v>
      </c>
      <c r="H30" s="3">
        <v>2921</v>
      </c>
      <c r="I30" s="3">
        <v>3821</v>
      </c>
      <c r="J30" s="3">
        <f>I30*1.1</f>
        <v>4203.1000000000004</v>
      </c>
      <c r="K30" s="3">
        <f t="shared" ref="K30:N30" si="19">J30*1.1</f>
        <v>4623.4100000000008</v>
      </c>
      <c r="L30" s="3">
        <f t="shared" si="19"/>
        <v>5085.7510000000011</v>
      </c>
      <c r="M30" s="3">
        <f t="shared" si="19"/>
        <v>5594.326100000002</v>
      </c>
      <c r="N30" s="3">
        <f t="shared" si="19"/>
        <v>6153.7587100000028</v>
      </c>
    </row>
    <row r="31" spans="1:15" ht="15" thickBot="1" x14ac:dyDescent="0.35">
      <c r="A31" s="6" t="s">
        <v>165</v>
      </c>
      <c r="B31" s="7">
        <f>B21+B25+B26+B27+B28+B30</f>
        <v>21600</v>
      </c>
      <c r="C31" s="7">
        <f>C30+C28+C27+C26++C25+C21</f>
        <v>21379</v>
      </c>
      <c r="D31" s="7">
        <f>D21+D25+D26+D27+D28+D30</f>
        <v>23259</v>
      </c>
      <c r="E31" s="7">
        <f>E21+E25+E26+E27+E28+E30</f>
        <v>22536</v>
      </c>
      <c r="F31" s="7">
        <f>F21+F25+F26+F27+F28+F30</f>
        <v>23717</v>
      </c>
      <c r="G31" s="7">
        <f>G21+G25+G26+G27+G28+G30+G29</f>
        <v>31342</v>
      </c>
      <c r="H31" s="7">
        <f>H21+H25+H26+H27+H28+H30+H29</f>
        <v>37740</v>
      </c>
      <c r="I31" s="7">
        <f>I21+I25+I26+I27+I28+I30+I29</f>
        <v>40321</v>
      </c>
      <c r="J31" s="7">
        <f>J21+J25+J26+J27+J28+J29+J30</f>
        <v>42798.71</v>
      </c>
      <c r="K31" s="7">
        <f t="shared" ref="K31:L31" si="20">K21+K25+K26+K27+K28+K29+K30</f>
        <v>46827.882221105043</v>
      </c>
      <c r="L31" s="7">
        <f t="shared" si="20"/>
        <v>54304.060593930015</v>
      </c>
      <c r="M31" s="7">
        <f>M21+M25+M26+M27+M28+M29+M30</f>
        <v>65247.008219133073</v>
      </c>
      <c r="N31" s="7">
        <f>N21+N25+N26+N27+N28+N29+N30</f>
        <v>78948.662133274949</v>
      </c>
    </row>
    <row r="32" spans="1:15" ht="15" thickTop="1" x14ac:dyDescent="0.3">
      <c r="A32" t="s">
        <v>166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2" t="s">
        <v>45</v>
      </c>
      <c r="B33" s="3">
        <v>107</v>
      </c>
      <c r="C33" s="3">
        <v>44</v>
      </c>
      <c r="D33" s="3">
        <v>6</v>
      </c>
      <c r="E33" s="3">
        <v>6</v>
      </c>
      <c r="F33" s="3">
        <v>6</v>
      </c>
      <c r="G33" s="3">
        <v>3</v>
      </c>
      <c r="H33" s="3">
        <v>0</v>
      </c>
      <c r="I33" s="3">
        <v>500</v>
      </c>
      <c r="J33" s="3">
        <v>84</v>
      </c>
      <c r="K33" s="3">
        <v>80</v>
      </c>
      <c r="L33" s="3">
        <v>400</v>
      </c>
      <c r="M33" s="3">
        <v>375</v>
      </c>
      <c r="N33" s="3">
        <v>134</v>
      </c>
    </row>
    <row r="34" spans="1:14" x14ac:dyDescent="0.3">
      <c r="A34" s="2" t="s">
        <v>46</v>
      </c>
      <c r="B34" s="3">
        <v>74</v>
      </c>
      <c r="C34" s="3">
        <v>1</v>
      </c>
      <c r="D34" s="3">
        <v>325</v>
      </c>
      <c r="E34" s="3">
        <v>336</v>
      </c>
      <c r="F34" s="3">
        <v>9</v>
      </c>
      <c r="G34" s="3">
        <v>248</v>
      </c>
      <c r="H34" s="3">
        <v>2</v>
      </c>
      <c r="I34" s="3">
        <v>10</v>
      </c>
      <c r="J34" s="3">
        <v>126</v>
      </c>
      <c r="K34" s="3">
        <v>120</v>
      </c>
      <c r="L34" s="3">
        <v>110</v>
      </c>
      <c r="M34" s="3">
        <v>124</v>
      </c>
      <c r="N34" s="3">
        <v>132</v>
      </c>
    </row>
    <row r="35" spans="1:14" x14ac:dyDescent="0.3">
      <c r="A35" t="s">
        <v>167</v>
      </c>
      <c r="B35" s="3">
        <v>6153</v>
      </c>
      <c r="C35" s="3">
        <v>5313</v>
      </c>
      <c r="D35" s="3">
        <v>5143</v>
      </c>
      <c r="E35" s="3">
        <v>5698</v>
      </c>
      <c r="F35" s="3">
        <v>7851</v>
      </c>
      <c r="G35" s="3">
        <v>8033</v>
      </c>
      <c r="H35" s="3">
        <v>9672</v>
      </c>
      <c r="I35" s="3">
        <v>10220</v>
      </c>
      <c r="J35" s="3">
        <f>I35*1.09</f>
        <v>11139.800000000001</v>
      </c>
      <c r="K35" s="3">
        <v>13000</v>
      </c>
      <c r="L35" s="3">
        <v>13210</v>
      </c>
      <c r="M35" s="3">
        <v>15016</v>
      </c>
      <c r="N35" s="3">
        <v>21210</v>
      </c>
    </row>
    <row r="36" spans="1:14" x14ac:dyDescent="0.3">
      <c r="A36" t="s">
        <v>49</v>
      </c>
      <c r="B36" s="3">
        <v>1079</v>
      </c>
      <c r="C36" s="3">
        <v>1993</v>
      </c>
      <c r="D36" s="3">
        <v>3471</v>
      </c>
      <c r="E36" s="3">
        <v>3468</v>
      </c>
      <c r="F36" s="3">
        <v>3464</v>
      </c>
      <c r="G36" s="3">
        <v>9406</v>
      </c>
      <c r="H36" s="3">
        <v>9413</v>
      </c>
      <c r="I36" s="3">
        <v>8920</v>
      </c>
      <c r="J36" s="3">
        <v>11004</v>
      </c>
      <c r="K36" s="3">
        <v>12500</v>
      </c>
      <c r="L36" s="3">
        <v>14600</v>
      </c>
      <c r="M36" s="3">
        <v>16450</v>
      </c>
      <c r="N36" s="3">
        <v>22010</v>
      </c>
    </row>
    <row r="37" spans="1:14" x14ac:dyDescent="0.3">
      <c r="A37" s="53" t="s">
        <v>50</v>
      </c>
      <c r="B37" s="3"/>
      <c r="C37" s="3"/>
      <c r="D37" s="3"/>
      <c r="E37" s="3"/>
      <c r="F37" s="3"/>
      <c r="G37" s="3">
        <v>2913</v>
      </c>
      <c r="H37" s="3">
        <v>2931</v>
      </c>
      <c r="I37" s="3">
        <v>2777</v>
      </c>
      <c r="J37" s="3">
        <v>2874</v>
      </c>
      <c r="K37" s="3">
        <v>3210</v>
      </c>
      <c r="L37" s="3">
        <v>2941</v>
      </c>
      <c r="M37" s="3">
        <v>3115</v>
      </c>
      <c r="N37" s="3">
        <v>2966</v>
      </c>
    </row>
    <row r="38" spans="1:14" x14ac:dyDescent="0.3">
      <c r="A38" t="s">
        <v>168</v>
      </c>
      <c r="B38" s="3">
        <v>1480</v>
      </c>
      <c r="C38" s="3">
        <v>1770</v>
      </c>
      <c r="D38" s="3">
        <v>1907</v>
      </c>
      <c r="E38" s="3">
        <v>3216</v>
      </c>
      <c r="F38" s="3">
        <v>3347</v>
      </c>
      <c r="G38" s="3">
        <v>2684</v>
      </c>
      <c r="H38" s="3">
        <v>2955</v>
      </c>
      <c r="I38" s="3">
        <v>2613</v>
      </c>
      <c r="J38" s="3">
        <v>2497</v>
      </c>
      <c r="K38" s="3">
        <v>3296</v>
      </c>
      <c r="L38" s="3">
        <v>4200</v>
      </c>
      <c r="M38" s="3">
        <v>5350</v>
      </c>
      <c r="N38" s="3">
        <v>7780</v>
      </c>
    </row>
    <row r="39" spans="1:14" x14ac:dyDescent="0.3">
      <c r="A39" t="s">
        <v>169</v>
      </c>
      <c r="B39" s="3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3"/>
    </row>
    <row r="40" spans="1:14" x14ac:dyDescent="0.3">
      <c r="A40" s="2" t="s">
        <v>170</v>
      </c>
      <c r="B40" s="3">
        <v>6776</v>
      </c>
      <c r="C40" s="3">
        <v>7789</v>
      </c>
      <c r="D40" s="3">
        <v>8641</v>
      </c>
      <c r="E40" s="3">
        <v>6387</v>
      </c>
      <c r="F40" s="3">
        <v>7166</v>
      </c>
      <c r="G40" s="3">
        <v>8302</v>
      </c>
      <c r="H40" s="3">
        <v>9968</v>
      </c>
      <c r="I40" s="3">
        <v>11487</v>
      </c>
      <c r="J40" s="3">
        <f>I40*1.09</f>
        <v>12520.830000000002</v>
      </c>
      <c r="K40" s="3">
        <v>11997</v>
      </c>
      <c r="L40" s="3">
        <v>14400</v>
      </c>
      <c r="M40" s="3">
        <f>L40*1.09</f>
        <v>15696.000000000002</v>
      </c>
      <c r="N40" s="3">
        <f>M40*1.09</f>
        <v>17108.640000000003</v>
      </c>
    </row>
    <row r="41" spans="1:14" x14ac:dyDescent="0.3">
      <c r="A41" s="2" t="s">
        <v>171</v>
      </c>
      <c r="B41" s="3">
        <v>4685</v>
      </c>
      <c r="C41" s="3">
        <v>4151</v>
      </c>
      <c r="D41" s="3">
        <v>3979</v>
      </c>
      <c r="E41" s="3">
        <v>3517</v>
      </c>
      <c r="F41" s="3">
        <v>1643</v>
      </c>
      <c r="G41" s="3">
        <v>-191</v>
      </c>
      <c r="H41" s="3">
        <v>3179</v>
      </c>
      <c r="I41" s="3">
        <v>3476</v>
      </c>
      <c r="J41" s="3">
        <v>2226</v>
      </c>
      <c r="K41" s="3">
        <v>1370</v>
      </c>
      <c r="L41" s="3">
        <v>1655</v>
      </c>
      <c r="M41" s="3">
        <v>7094</v>
      </c>
      <c r="N41" s="3">
        <v>4886</v>
      </c>
    </row>
    <row r="42" spans="1:14" x14ac:dyDescent="0.3">
      <c r="A42" s="2" t="s">
        <v>172</v>
      </c>
      <c r="B42" s="3">
        <v>1246</v>
      </c>
      <c r="C42" s="3">
        <v>318</v>
      </c>
      <c r="D42" s="3">
        <v>-213</v>
      </c>
      <c r="E42" s="3">
        <v>-92</v>
      </c>
      <c r="F42" s="3">
        <v>231</v>
      </c>
      <c r="G42" s="3">
        <v>-56</v>
      </c>
      <c r="H42" s="3">
        <v>-380</v>
      </c>
      <c r="I42" s="3">
        <v>318</v>
      </c>
      <c r="J42" s="3">
        <v>327</v>
      </c>
      <c r="K42" s="3">
        <v>1255</v>
      </c>
      <c r="L42" s="3">
        <v>2788</v>
      </c>
      <c r="M42" s="3">
        <v>2027</v>
      </c>
      <c r="N42" s="3">
        <v>2722</v>
      </c>
    </row>
    <row r="43" spans="1:14" ht="15" thickBot="1" x14ac:dyDescent="0.35">
      <c r="A43" s="6" t="s">
        <v>173</v>
      </c>
      <c r="B43" s="7">
        <f>B33+B34+B35+B36+B38+B40+B41+B42</f>
        <v>21600</v>
      </c>
      <c r="C43" s="7">
        <f>C33+C34+C35+C36+C38+C40+C41+C42</f>
        <v>21379</v>
      </c>
      <c r="D43" s="7">
        <f>D33+D34+D35+D36+D38+D40+D41+D42</f>
        <v>23259</v>
      </c>
      <c r="E43" s="7">
        <f>E33+E34+E35+E36+E38+E40+E41+E42</f>
        <v>22536</v>
      </c>
      <c r="F43" s="7">
        <f>F33+F34+F35+F36+F38+F40+F41+F42</f>
        <v>23717</v>
      </c>
      <c r="G43" s="7">
        <f>G33+G34+G35+G36+G38+G40+G41+G42+G37</f>
        <v>31342</v>
      </c>
      <c r="H43" s="7">
        <f>H33+H34+H35+H36+H38+H40+H41+H42+H37</f>
        <v>37740</v>
      </c>
      <c r="I43" s="7">
        <f>I33+I34+I35+I36+I38+I40+I41+I42+I37</f>
        <v>40321</v>
      </c>
      <c r="J43" s="7">
        <f>J33+J34+J35+J36+J37+J38+J40+J41+J42</f>
        <v>42798.630000000005</v>
      </c>
      <c r="K43" s="7">
        <f>K33+K34+K35+K36+K37+K38+K40+K41+K42</f>
        <v>46828</v>
      </c>
      <c r="L43" s="7">
        <v>54304</v>
      </c>
      <c r="M43" s="7">
        <v>65247</v>
      </c>
      <c r="N43" s="7">
        <v>78949</v>
      </c>
    </row>
    <row r="44" spans="1:14" ht="15" thickTop="1" x14ac:dyDescent="0.3">
      <c r="A44" s="67" t="s">
        <v>174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</row>
    <row r="45" spans="1:14" x14ac:dyDescent="0.3">
      <c r="A45" s="52" t="s">
        <v>208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3">
      <c r="A46" s="1" t="s">
        <v>134</v>
      </c>
      <c r="B46" s="63">
        <v>4233</v>
      </c>
      <c r="C46" s="63">
        <v>4642</v>
      </c>
      <c r="D46" s="63">
        <v>4945</v>
      </c>
      <c r="E46" s="63">
        <v>4379</v>
      </c>
      <c r="F46" s="63">
        <v>4850</v>
      </c>
      <c r="G46" s="63">
        <v>2976</v>
      </c>
      <c r="H46" s="63">
        <v>6923</v>
      </c>
      <c r="I46" s="63">
        <v>6856</v>
      </c>
      <c r="J46" s="63">
        <v>7818.98</v>
      </c>
      <c r="K46" s="63">
        <v>8909.2983999999979</v>
      </c>
      <c r="L46" s="63">
        <v>10143.573721999997</v>
      </c>
      <c r="M46" s="63">
        <v>11540.586831759996</v>
      </c>
      <c r="N46" s="63">
        <v>13121.562101565794</v>
      </c>
    </row>
    <row r="47" spans="1:14" ht="15" thickBot="1" x14ac:dyDescent="0.35">
      <c r="A47" t="s">
        <v>132</v>
      </c>
      <c r="B47" s="7">
        <v>606</v>
      </c>
      <c r="C47" s="7">
        <v>649</v>
      </c>
      <c r="D47" s="7">
        <v>706</v>
      </c>
      <c r="E47" s="7">
        <v>747</v>
      </c>
      <c r="F47" s="7">
        <v>705</v>
      </c>
      <c r="G47" s="7">
        <v>721</v>
      </c>
      <c r="H47" s="7">
        <v>744</v>
      </c>
      <c r="I47" s="7">
        <v>717</v>
      </c>
      <c r="J47" s="68">
        <v>740.49399999999991</v>
      </c>
      <c r="K47" s="68">
        <v>765.66240599999992</v>
      </c>
      <c r="L47" s="68">
        <v>792.62912702199992</v>
      </c>
      <c r="M47" s="68">
        <v>821.52750344700598</v>
      </c>
      <c r="N47" s="68">
        <v>852.50102775831476</v>
      </c>
    </row>
    <row r="48" spans="1:14" ht="15" thickTop="1" x14ac:dyDescent="0.3">
      <c r="A48" t="s">
        <v>175</v>
      </c>
      <c r="B48" s="3">
        <v>-899</v>
      </c>
      <c r="C48" s="3">
        <v>-1022</v>
      </c>
      <c r="D48" s="3">
        <v>-1133</v>
      </c>
      <c r="E48" s="3">
        <v>-1243</v>
      </c>
      <c r="F48" s="3">
        <v>-1332</v>
      </c>
      <c r="G48" s="3">
        <v>-1452</v>
      </c>
      <c r="H48" s="3">
        <v>-1638</v>
      </c>
      <c r="I48" s="3">
        <v>-1837</v>
      </c>
      <c r="J48" s="69">
        <v>-1738</v>
      </c>
      <c r="K48" s="3">
        <v>-1788</v>
      </c>
      <c r="L48" s="3">
        <v>-1763</v>
      </c>
      <c r="M48" s="3">
        <v>-1776</v>
      </c>
      <c r="N48" s="3">
        <v>-1770</v>
      </c>
    </row>
    <row r="49" spans="1:14" ht="15" thickBot="1" x14ac:dyDescent="0.35">
      <c r="A49" s="1" t="s">
        <v>176</v>
      </c>
      <c r="B49" s="7">
        <v>3271</v>
      </c>
      <c r="C49" s="7">
        <v>3760</v>
      </c>
      <c r="D49" s="7">
        <v>4240</v>
      </c>
      <c r="E49" s="7">
        <v>1933</v>
      </c>
      <c r="F49" s="7">
        <v>4029</v>
      </c>
      <c r="G49" s="7">
        <v>2539</v>
      </c>
      <c r="H49" s="7">
        <v>5727</v>
      </c>
      <c r="I49" s="7">
        <v>6046</v>
      </c>
      <c r="J49" s="7">
        <f>J14</f>
        <v>5309.2923333333301</v>
      </c>
      <c r="K49" s="7">
        <f t="shared" ref="K49:N49" si="21">K14</f>
        <v>5654.2348560000019</v>
      </c>
      <c r="L49" s="7">
        <f t="shared" si="21"/>
        <v>6086.0984133369993</v>
      </c>
      <c r="M49" s="7">
        <f t="shared" si="21"/>
        <v>6506.7547952496352</v>
      </c>
      <c r="N49" s="7">
        <f t="shared" si="21"/>
        <v>6922.5825553408004</v>
      </c>
    </row>
    <row r="50" spans="1:14" ht="15" thickTop="1" x14ac:dyDescent="0.3">
      <c r="A50" s="1"/>
      <c r="B50" s="70"/>
      <c r="C50" s="70"/>
      <c r="D50" s="70"/>
      <c r="E50" s="70"/>
      <c r="F50" s="71"/>
      <c r="G50" s="70"/>
      <c r="H50" s="70"/>
      <c r="I50" s="70"/>
      <c r="J50" s="72"/>
      <c r="K50" s="9"/>
      <c r="L50" s="9"/>
      <c r="M50" s="9"/>
      <c r="N50" s="9"/>
    </row>
    <row r="51" spans="1:14" x14ac:dyDescent="0.3">
      <c r="A51" t="s">
        <v>177</v>
      </c>
      <c r="B51" s="3">
        <v>-63</v>
      </c>
      <c r="C51" s="3">
        <v>-67</v>
      </c>
      <c r="D51" s="3">
        <v>327</v>
      </c>
      <c r="E51" s="3">
        <v>13</v>
      </c>
      <c r="F51" s="3">
        <v>-325</v>
      </c>
      <c r="G51" s="3">
        <v>49</v>
      </c>
      <c r="H51" s="3">
        <v>-52</v>
      </c>
      <c r="I51" s="3">
        <v>15</v>
      </c>
      <c r="J51" s="3">
        <v>-103</v>
      </c>
      <c r="K51" s="73">
        <f>J51*1.11</f>
        <v>-114.33000000000001</v>
      </c>
      <c r="L51" s="73">
        <f>K51*1.11</f>
        <v>-126.90630000000003</v>
      </c>
      <c r="M51" s="73">
        <f>L51*1.11</f>
        <v>-140.86599300000006</v>
      </c>
      <c r="N51" s="73">
        <f t="shared" ref="N51" si="22">M51*1.11</f>
        <v>-156.36125223000008</v>
      </c>
    </row>
    <row r="52" spans="1:14" x14ac:dyDescent="0.3">
      <c r="A52" t="s">
        <v>178</v>
      </c>
      <c r="B52" s="3"/>
      <c r="C52" s="3">
        <f>C23-B23</f>
        <v>25</v>
      </c>
      <c r="D52" s="3">
        <f t="shared" ref="D52:H52" si="23">D23-C23</f>
        <v>920</v>
      </c>
      <c r="E52" s="3">
        <f t="shared" si="23"/>
        <v>-1493</v>
      </c>
      <c r="F52" s="3">
        <f t="shared" si="23"/>
        <v>-435</v>
      </c>
      <c r="G52" s="3">
        <f t="shared" si="23"/>
        <v>3613</v>
      </c>
      <c r="H52" s="3">
        <f t="shared" si="23"/>
        <v>4345</v>
      </c>
      <c r="I52" s="3">
        <f>I23-H23</f>
        <v>866</v>
      </c>
      <c r="J52" s="3">
        <f t="shared" ref="J52" si="24">J23-I23</f>
        <v>3109</v>
      </c>
      <c r="K52" s="3">
        <f>K23-J23</f>
        <v>2380</v>
      </c>
      <c r="L52" s="3">
        <f>L23-K23</f>
        <v>11014</v>
      </c>
      <c r="M52" s="3">
        <f>M23-L23</f>
        <v>-3074</v>
      </c>
      <c r="N52" s="3">
        <f>N23-M23</f>
        <v>4241</v>
      </c>
    </row>
    <row r="53" spans="1:14" x14ac:dyDescent="0.3">
      <c r="A53" t="s">
        <v>135</v>
      </c>
      <c r="B53" s="3">
        <v>1003</v>
      </c>
      <c r="C53" s="3">
        <v>1191</v>
      </c>
      <c r="D53" s="3">
        <v>1201</v>
      </c>
      <c r="E53" s="3">
        <v>1194</v>
      </c>
      <c r="F53" s="3">
        <v>1075</v>
      </c>
      <c r="G53" s="3">
        <v>1124</v>
      </c>
      <c r="H53" s="3">
        <v>695</v>
      </c>
      <c r="I53" s="3">
        <v>758</v>
      </c>
      <c r="J53" s="3">
        <v>1875.6680000000001</v>
      </c>
      <c r="K53" s="3">
        <v>2131.285488</v>
      </c>
      <c r="L53" s="3">
        <v>2561.1399155000004</v>
      </c>
      <c r="M53" s="3">
        <v>3353.2525838387046</v>
      </c>
      <c r="N53" s="3">
        <v>4908.9864305227165</v>
      </c>
    </row>
    <row r="54" spans="1:14" x14ac:dyDescent="0.3">
      <c r="A54" s="1" t="s">
        <v>179</v>
      </c>
      <c r="B54" s="9">
        <f>[1]Historicals!B77-'[1]Three Statements'!B53</f>
        <v>3677</v>
      </c>
      <c r="C54" s="9">
        <f>[1]Historicals!C77-'[1]Three Statements'!C53</f>
        <v>1905</v>
      </c>
      <c r="D54" s="9">
        <f>[1]Historicals!D77-'[1]Three Statements'!D53</f>
        <v>2439</v>
      </c>
      <c r="E54" s="9">
        <f>[1]Historicals!E77-'[1]Three Statements'!E53</f>
        <v>3761</v>
      </c>
      <c r="F54" s="9">
        <f>[1]Historicals!F77-'[1]Three Statements'!F53</f>
        <v>4828</v>
      </c>
      <c r="G54" s="9">
        <f>[1]Historicals!G77-'[1]Three Statements'!G53</f>
        <v>1361</v>
      </c>
      <c r="H54" s="9">
        <f>[1]Historicals!H77-'[1]Three Statements'!H53</f>
        <v>5962</v>
      </c>
      <c r="I54" s="9">
        <f>[1]Historicals!I77-'[1]Three Statements'!I53</f>
        <v>4430</v>
      </c>
      <c r="J54" s="9">
        <f>I54*1.37</f>
        <v>6069.1</v>
      </c>
      <c r="K54" s="9">
        <f t="shared" ref="K54:N54" si="25">J54*1.37</f>
        <v>8314.6670000000013</v>
      </c>
      <c r="L54" s="9">
        <f t="shared" si="25"/>
        <v>11391.093790000003</v>
      </c>
      <c r="M54" s="9">
        <f>L54*1.37</f>
        <v>15605.798492300004</v>
      </c>
      <c r="N54" s="9">
        <f t="shared" si="25"/>
        <v>21379.943934451006</v>
      </c>
    </row>
    <row r="55" spans="1:14" x14ac:dyDescent="0.3">
      <c r="A55" t="s">
        <v>180</v>
      </c>
      <c r="B55" s="74"/>
      <c r="C55" s="66"/>
      <c r="D55" s="66"/>
      <c r="E55" s="66"/>
      <c r="F55" s="66"/>
      <c r="G55" s="66"/>
      <c r="H55" s="66"/>
      <c r="I55" s="66"/>
      <c r="J55" s="3"/>
      <c r="K55" s="3"/>
      <c r="L55" s="3"/>
      <c r="M55" s="3"/>
      <c r="N55" s="3"/>
    </row>
    <row r="56" spans="1:14" x14ac:dyDescent="0.3">
      <c r="A56" s="27" t="s">
        <v>181</v>
      </c>
      <c r="B56" s="26">
        <v>4680</v>
      </c>
      <c r="C56" s="26">
        <v>3096</v>
      </c>
      <c r="D56" s="26">
        <v>3640</v>
      </c>
      <c r="E56" s="26">
        <v>4955</v>
      </c>
      <c r="F56" s="26">
        <v>5903</v>
      </c>
      <c r="G56" s="26">
        <v>2485</v>
      </c>
      <c r="H56" s="26">
        <v>6657</v>
      </c>
      <c r="I56" s="26">
        <v>5188</v>
      </c>
      <c r="J56" s="26">
        <f>J53+J54</f>
        <v>7944.768</v>
      </c>
      <c r="K56" s="26">
        <f>K53+K54</f>
        <v>10445.952488000001</v>
      </c>
      <c r="L56" s="26">
        <f t="shared" ref="L56:N56" si="26">L53+L54</f>
        <v>13952.233705500003</v>
      </c>
      <c r="M56" s="26">
        <f>M53+M54</f>
        <v>18959.051076138709</v>
      </c>
      <c r="N56" s="26">
        <f t="shared" si="26"/>
        <v>26288.930364973723</v>
      </c>
    </row>
    <row r="57" spans="1:14" x14ac:dyDescent="0.3">
      <c r="A57" t="s">
        <v>182</v>
      </c>
      <c r="B57">
        <f>[1]Historicals!B79+[1]Historicals!B82+[1]Historicals!B84</f>
        <v>-6049</v>
      </c>
      <c r="C57" s="3">
        <f>[1]Historicals!C79+[1]Historicals!C82</f>
        <v>-6510</v>
      </c>
      <c r="D57" s="3">
        <f>[1]Historicals!D79+[1]Historicals!D82+[1]Historicals!D84</f>
        <v>-7067</v>
      </c>
      <c r="E57" s="3">
        <f>[1]Historicals!E79+[1]Historicals!E82+[1]Historicals!E85</f>
        <v>-5836</v>
      </c>
      <c r="F57" s="3">
        <f>[1]Historicals!F79+[1]Historicals!F82</f>
        <v>-4056</v>
      </c>
      <c r="G57" s="3">
        <f>[1]Historicals!G79+[1]Historicals!G82</f>
        <v>-3512</v>
      </c>
      <c r="H57" s="3">
        <f>[1]Historicals!H79+[1]Historicals!H82</f>
        <v>-10656</v>
      </c>
      <c r="I57" s="3">
        <f>[1]Historicals!I79+[1]Historicals!I82+[1]Historicals!I85</f>
        <v>-13690</v>
      </c>
      <c r="J57" s="3">
        <f>I57*1.27</f>
        <v>-17386.3</v>
      </c>
      <c r="K57" s="3">
        <f t="shared" ref="K57:N58" si="27">J57*1.27</f>
        <v>-22080.600999999999</v>
      </c>
      <c r="L57" s="3">
        <f t="shared" si="27"/>
        <v>-28042.363269999998</v>
      </c>
      <c r="M57" s="3">
        <f t="shared" si="27"/>
        <v>-35613.801352899995</v>
      </c>
      <c r="N57" s="3">
        <f t="shared" si="27"/>
        <v>-45229.527718182995</v>
      </c>
    </row>
    <row r="58" spans="1:14" x14ac:dyDescent="0.3">
      <c r="A58" t="s">
        <v>183</v>
      </c>
      <c r="B58">
        <f>[1]Historicals!B80+[1]Historicals!B81+[1]Historicals!B83</f>
        <v>5874</v>
      </c>
      <c r="C58" s="3">
        <f>[1]Historicals!C80+[1]Historicals!C81+[1]Historicals!C83+[1]Historicals!C84+[1]Historicals!C85</f>
        <v>5476</v>
      </c>
      <c r="D58" s="3">
        <f>[1]Historicals!D80+[1]Historicals!D81+[1]Historicals!D83</f>
        <v>6059</v>
      </c>
      <c r="E58" s="3">
        <f>[1]Historicals!E80+[1]Historicals!E81+[1]Historicals!E83</f>
        <v>6112</v>
      </c>
      <c r="F58" s="3">
        <f>[1]Historicals!F80+[1]Historicals!F81+[1]Historicals!F83</f>
        <v>3792</v>
      </c>
      <c r="G58" s="3">
        <f>[1]Historicals!G80+[1]Historicals!G81</f>
        <v>2453</v>
      </c>
      <c r="H58" s="3">
        <f>[1]Historicals!H80+[1]Historicals!H81+[1]Historicals!H85</f>
        <v>6856</v>
      </c>
      <c r="I58" s="3">
        <f>[1]Historicals!I80+[1]Historicals!I81</f>
        <v>12166</v>
      </c>
      <c r="J58" s="3">
        <f>I58*1.27</f>
        <v>15450.82</v>
      </c>
      <c r="K58" s="3">
        <f t="shared" si="27"/>
        <v>19622.541399999998</v>
      </c>
      <c r="L58" s="3">
        <f t="shared" si="27"/>
        <v>24920.627578</v>
      </c>
      <c r="M58" s="3">
        <f t="shared" si="27"/>
        <v>31649.197024059999</v>
      </c>
      <c r="N58" s="3">
        <f t="shared" si="27"/>
        <v>40194.480220556201</v>
      </c>
    </row>
    <row r="59" spans="1:14" x14ac:dyDescent="0.3">
      <c r="A59" s="27" t="s">
        <v>184</v>
      </c>
      <c r="B59" s="26">
        <v>4505</v>
      </c>
      <c r="C59" s="26">
        <v>2062</v>
      </c>
      <c r="D59" s="26">
        <v>2632</v>
      </c>
      <c r="E59" s="26">
        <v>5231</v>
      </c>
      <c r="F59" s="26">
        <v>5639</v>
      </c>
      <c r="G59" s="26">
        <v>1457</v>
      </c>
      <c r="H59" s="26">
        <v>2857</v>
      </c>
      <c r="I59" s="26">
        <v>3664</v>
      </c>
      <c r="J59" s="26">
        <v>6009</v>
      </c>
      <c r="K59" s="26">
        <v>7988</v>
      </c>
      <c r="L59" s="26">
        <v>10830</v>
      </c>
      <c r="M59" s="26">
        <v>14994</v>
      </c>
      <c r="N59" s="26">
        <v>21254</v>
      </c>
    </row>
    <row r="60" spans="1:14" x14ac:dyDescent="0.3">
      <c r="A60" t="s">
        <v>185</v>
      </c>
      <c r="B60" s="3">
        <f>[1]Historicals!B94+[1]Historicals!B95</f>
        <v>-2020</v>
      </c>
      <c r="C60" s="3">
        <f>[1]Historicals!C94+[1]Historicals!C95</f>
        <v>-2731</v>
      </c>
      <c r="D60" s="3">
        <f>[1]Historicals!D94+[1]Historicals!D95</f>
        <v>-2734</v>
      </c>
      <c r="E60" s="3">
        <f>[1]Historicals!E94+[1]Historicals!E95</f>
        <v>-3521</v>
      </c>
      <c r="F60" s="3">
        <f>[1]Historicals!F94+[1]Historicals!F95</f>
        <v>-3586</v>
      </c>
      <c r="G60" s="3">
        <f>[1]Historicals!G94+[1]Historicals!G95</f>
        <v>-2182</v>
      </c>
      <c r="H60" s="3">
        <f>[1]Historicals!H94+[1]Historicals!H95</f>
        <v>564</v>
      </c>
      <c r="I60" s="3">
        <f>[1]Historicals!I94+[1]Historicals!I95</f>
        <v>-2863</v>
      </c>
      <c r="J60" s="3">
        <v>-4500</v>
      </c>
      <c r="K60" s="3">
        <v>-4500</v>
      </c>
      <c r="L60" s="3">
        <v>-4500</v>
      </c>
      <c r="M60" s="3">
        <v>-4500</v>
      </c>
      <c r="N60" s="3">
        <f>M60*1.44</f>
        <v>-6480</v>
      </c>
    </row>
    <row r="61" spans="1:14" x14ac:dyDescent="0.3">
      <c r="A61" s="51" t="s">
        <v>129</v>
      </c>
      <c r="B61" s="56"/>
      <c r="C61" s="56">
        <f t="shared" ref="C61:H61" si="28">C60/B60-1</f>
        <v>0.35198019801980207</v>
      </c>
      <c r="D61" s="56">
        <f t="shared" si="28"/>
        <v>1.0984987184181616E-3</v>
      </c>
      <c r="E61" s="56">
        <f t="shared" si="28"/>
        <v>0.28785662033650339</v>
      </c>
      <c r="F61" s="56">
        <f t="shared" si="28"/>
        <v>1.8460664583924924E-2</v>
      </c>
      <c r="G61" s="56">
        <f t="shared" si="28"/>
        <v>-0.39152258784160621</v>
      </c>
      <c r="H61" s="56">
        <f t="shared" si="28"/>
        <v>-1.2584784601283228</v>
      </c>
      <c r="I61" s="56"/>
      <c r="J61" s="56"/>
      <c r="K61" s="56"/>
      <c r="L61" s="56"/>
      <c r="M61" s="56"/>
      <c r="N61" s="56"/>
    </row>
    <row r="62" spans="1:14" x14ac:dyDescent="0.3">
      <c r="A62" t="s">
        <v>186</v>
      </c>
      <c r="B62" s="3">
        <v>-899</v>
      </c>
      <c r="C62" s="3">
        <v>-1022</v>
      </c>
      <c r="D62" s="3">
        <v>-1133</v>
      </c>
      <c r="E62" s="3">
        <v>-1243</v>
      </c>
      <c r="F62" s="3">
        <v>-1332</v>
      </c>
      <c r="G62" s="3">
        <v>-1452</v>
      </c>
      <c r="H62" s="3">
        <v>-1638</v>
      </c>
      <c r="I62" s="3">
        <v>-1837</v>
      </c>
      <c r="J62" s="3">
        <f t="shared" ref="J62:N62" si="29">-J15*J17</f>
        <v>-2210.7863918549788</v>
      </c>
      <c r="K62" s="3">
        <f t="shared" si="29"/>
        <v>-2650.7613488949592</v>
      </c>
      <c r="L62" s="3">
        <f>-L15*L17</f>
        <v>-3168.5787589769061</v>
      </c>
      <c r="M62" s="3">
        <f t="shared" si="29"/>
        <v>-3790.2872649487958</v>
      </c>
      <c r="N62" s="3">
        <f t="shared" si="29"/>
        <v>-4434.6360999900917</v>
      </c>
    </row>
    <row r="63" spans="1:14" x14ac:dyDescent="0.3">
      <c r="A63" t="s">
        <v>187</v>
      </c>
      <c r="B63" s="3">
        <v>-89</v>
      </c>
      <c r="C63" s="3">
        <v>801</v>
      </c>
      <c r="D63" s="3">
        <v>1748</v>
      </c>
      <c r="E63" s="3">
        <v>-16</v>
      </c>
      <c r="F63" s="3">
        <v>-325</v>
      </c>
      <c r="G63" s="3">
        <v>6183</v>
      </c>
      <c r="H63" s="3">
        <v>-249</v>
      </c>
      <c r="I63" s="3">
        <v>15</v>
      </c>
      <c r="J63" s="3">
        <f>I63*-1.52</f>
        <v>-22.8</v>
      </c>
      <c r="K63" s="3">
        <f>J63*1.52</f>
        <v>-34.655999999999999</v>
      </c>
      <c r="L63" s="3">
        <f t="shared" ref="L63:M63" si="30">K63*1.52</f>
        <v>-52.677120000000002</v>
      </c>
      <c r="M63" s="3">
        <f t="shared" si="30"/>
        <v>-80.069222400000001</v>
      </c>
      <c r="N63" s="3">
        <v>-422</v>
      </c>
    </row>
    <row r="64" spans="1:14" x14ac:dyDescent="0.3">
      <c r="A64" t="s">
        <v>188</v>
      </c>
      <c r="B64" s="3">
        <v>218</v>
      </c>
      <c r="C64" s="3">
        <v>281</v>
      </c>
      <c r="D64" s="3">
        <v>177</v>
      </c>
      <c r="E64" s="3">
        <v>-55</v>
      </c>
      <c r="F64" s="3">
        <v>-50</v>
      </c>
      <c r="G64" s="3">
        <v>-58</v>
      </c>
      <c r="H64" s="3">
        <v>-136</v>
      </c>
      <c r="I64" s="3">
        <v>-151</v>
      </c>
      <c r="J64" s="3">
        <f>I64*1.13</f>
        <v>-170.63</v>
      </c>
      <c r="K64" s="3">
        <f t="shared" ref="K64:M64" si="31">J64*1.13</f>
        <v>-192.81189999999998</v>
      </c>
      <c r="L64" s="3">
        <f t="shared" si="31"/>
        <v>-217.87744699999996</v>
      </c>
      <c r="M64" s="3">
        <f t="shared" si="31"/>
        <v>-246.20151510999995</v>
      </c>
      <c r="N64" s="3">
        <v>-378</v>
      </c>
    </row>
    <row r="65" spans="1:14" x14ac:dyDescent="0.3">
      <c r="A65" s="27" t="s">
        <v>189</v>
      </c>
      <c r="B65" s="26">
        <f t="shared" ref="B65:I65" si="32">B60+B62+B63+B64</f>
        <v>-2790</v>
      </c>
      <c r="C65" s="26">
        <f t="shared" si="32"/>
        <v>-2671</v>
      </c>
      <c r="D65" s="26">
        <f t="shared" si="32"/>
        <v>-1942</v>
      </c>
      <c r="E65" s="26">
        <f t="shared" si="32"/>
        <v>-4835</v>
      </c>
      <c r="F65" s="26">
        <f t="shared" si="32"/>
        <v>-5293</v>
      </c>
      <c r="G65" s="26">
        <f t="shared" si="32"/>
        <v>2491</v>
      </c>
      <c r="H65" s="26">
        <f t="shared" si="32"/>
        <v>-1459</v>
      </c>
      <c r="I65" s="26">
        <f t="shared" si="32"/>
        <v>-4836</v>
      </c>
      <c r="J65" s="26">
        <f>J60+J62+J63+J64</f>
        <v>-6904.2163918549795</v>
      </c>
      <c r="K65" s="26">
        <f>+K60+K62+K63+K64</f>
        <v>-7378.2292488949588</v>
      </c>
      <c r="L65" s="26">
        <f>L60+L62+L63+L64</f>
        <v>-7939.1333259769062</v>
      </c>
      <c r="M65" s="26">
        <f>M60+M62+M63+M64</f>
        <v>-8616.5580024587962</v>
      </c>
      <c r="N65" s="26">
        <f>N60+N62+N63+N64</f>
        <v>-11714.636099990092</v>
      </c>
    </row>
    <row r="66" spans="1:14" x14ac:dyDescent="0.3">
      <c r="A66" t="s">
        <v>190</v>
      </c>
      <c r="B66" s="3">
        <v>-83</v>
      </c>
      <c r="C66" s="3">
        <v>-105</v>
      </c>
      <c r="D66" s="3">
        <v>-20</v>
      </c>
      <c r="E66" s="3">
        <v>45</v>
      </c>
      <c r="F66" s="3">
        <v>-129</v>
      </c>
      <c r="G66" s="3">
        <v>-66</v>
      </c>
      <c r="H66" s="3">
        <v>143</v>
      </c>
      <c r="I66" s="3">
        <v>-143</v>
      </c>
      <c r="J66" s="3">
        <v>120</v>
      </c>
      <c r="K66" s="3">
        <v>-238</v>
      </c>
      <c r="L66" s="3">
        <f>K66*-2</f>
        <v>476</v>
      </c>
      <c r="M66" s="3">
        <v>-47</v>
      </c>
      <c r="N66" s="3">
        <v>-1013</v>
      </c>
    </row>
    <row r="67" spans="1:14" x14ac:dyDescent="0.3">
      <c r="B67" s="74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3"/>
      <c r="N67" s="3"/>
    </row>
    <row r="68" spans="1:14" x14ac:dyDescent="0.3">
      <c r="A68" s="27" t="s">
        <v>191</v>
      </c>
      <c r="B68" s="26">
        <f t="shared" ref="B68:I68" si="33">B59+B65+B66</f>
        <v>1632</v>
      </c>
      <c r="C68" s="26">
        <f t="shared" si="33"/>
        <v>-714</v>
      </c>
      <c r="D68" s="26">
        <f t="shared" si="33"/>
        <v>670</v>
      </c>
      <c r="E68" s="26">
        <f t="shared" si="33"/>
        <v>441</v>
      </c>
      <c r="F68" s="26">
        <f t="shared" si="33"/>
        <v>217</v>
      </c>
      <c r="G68" s="26">
        <f t="shared" si="33"/>
        <v>3882</v>
      </c>
      <c r="H68" s="26">
        <f t="shared" si="33"/>
        <v>1541</v>
      </c>
      <c r="I68" s="26">
        <f t="shared" si="33"/>
        <v>-1315</v>
      </c>
      <c r="J68" s="26">
        <f>J59+J65+J66</f>
        <v>-775.21639185497952</v>
      </c>
      <c r="K68" s="26">
        <f>K59+K65+K66</f>
        <v>371.7707511050412</v>
      </c>
      <c r="L68" s="26">
        <f>L59+L65+L66</f>
        <v>3366.8666740230938</v>
      </c>
      <c r="M68" s="26">
        <f>M59+M65+M66</f>
        <v>6330.4419975412038</v>
      </c>
      <c r="N68" s="26">
        <f>N59+N65+N66</f>
        <v>8526.3639000099083</v>
      </c>
    </row>
    <row r="69" spans="1:14" x14ac:dyDescent="0.3">
      <c r="A69" t="s">
        <v>192</v>
      </c>
      <c r="B69" s="3">
        <v>2220</v>
      </c>
      <c r="C69" s="3">
        <v>3852</v>
      </c>
      <c r="D69" s="3">
        <v>3138</v>
      </c>
      <c r="E69" s="3">
        <v>3808</v>
      </c>
      <c r="F69" s="3">
        <v>4249</v>
      </c>
      <c r="G69" s="3">
        <v>4466</v>
      </c>
      <c r="H69" s="3">
        <v>8348</v>
      </c>
      <c r="I69" s="3">
        <f>+H70</f>
        <v>9889</v>
      </c>
      <c r="J69" s="3">
        <v>8574</v>
      </c>
      <c r="K69" s="3">
        <v>7799</v>
      </c>
      <c r="L69" s="3">
        <v>8171</v>
      </c>
      <c r="M69" s="3">
        <v>11538</v>
      </c>
      <c r="N69" s="3">
        <v>17868</v>
      </c>
    </row>
    <row r="70" spans="1:14" ht="15" thickBot="1" x14ac:dyDescent="0.35">
      <c r="A70" s="6" t="s">
        <v>193</v>
      </c>
      <c r="B70" s="7">
        <v>3852</v>
      </c>
      <c r="C70" s="7">
        <v>3138</v>
      </c>
      <c r="D70" s="7">
        <v>3808</v>
      </c>
      <c r="E70" s="7">
        <v>4249</v>
      </c>
      <c r="F70" s="7">
        <v>4466</v>
      </c>
      <c r="G70" s="7">
        <v>8348</v>
      </c>
      <c r="H70" s="7">
        <f>+H68+H69</f>
        <v>9889</v>
      </c>
      <c r="I70" s="7">
        <f>+I68+I69</f>
        <v>8574</v>
      </c>
      <c r="J70" s="7">
        <v>7799</v>
      </c>
      <c r="K70" s="7">
        <f>K68+K69</f>
        <v>8170.7707511050412</v>
      </c>
      <c r="L70" s="7">
        <v>11538</v>
      </c>
      <c r="M70" s="7">
        <v>17868</v>
      </c>
      <c r="N70" s="7">
        <v>26394</v>
      </c>
    </row>
    <row r="71" spans="1:14" ht="15" thickTop="1" x14ac:dyDescent="0.3">
      <c r="A71" s="1" t="s">
        <v>194</v>
      </c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</row>
    <row r="72" spans="1:14" x14ac:dyDescent="0.3">
      <c r="K72" s="59"/>
      <c r="L72" s="4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BENJAMIN BAZINI</cp:lastModifiedBy>
  <dcterms:created xsi:type="dcterms:W3CDTF">2020-05-20T17:26:08Z</dcterms:created>
  <dcterms:modified xsi:type="dcterms:W3CDTF">2024-12-10T17:09:00Z</dcterms:modified>
</cp:coreProperties>
</file>