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Ben\Downloads\"/>
    </mc:Choice>
  </mc:AlternateContent>
  <xr:revisionPtr revIDLastSave="0" documentId="13_ncr:1_{E33A3451-227D-4207-A0E3-79412FAA5DF2}" xr6:coauthVersionLast="47" xr6:coauthVersionMax="47" xr10:uidLastSave="{00000000-0000-0000-0000-000000000000}"/>
  <bookViews>
    <workbookView xWindow="-108" yWindow="-108" windowWidth="23256" windowHeight="12576" xr2:uid="{00000000-000D-0000-FFFF-FFFF00000000}"/>
  </bookViews>
  <sheets>
    <sheet name="Sheet1" sheetId="2" r:id="rId1"/>
    <sheet name="Historicals" sheetId="1" r:id="rId2"/>
    <sheet name="Segmental forecast" sheetId="3" r:id="rId3"/>
    <sheet name="Three Statements" sheetId="5"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1" i="5" l="1"/>
  <c r="M71" i="5"/>
  <c r="L71" i="5"/>
  <c r="K71" i="5"/>
  <c r="J71" i="5"/>
  <c r="I71" i="5"/>
  <c r="G71" i="5"/>
  <c r="F71" i="5"/>
  <c r="E71" i="5"/>
  <c r="H71" i="5"/>
  <c r="D71" i="5"/>
  <c r="B71" i="5"/>
  <c r="C71" i="5"/>
  <c r="L66" i="5"/>
  <c r="K64" i="5"/>
  <c r="L64" i="5" s="1"/>
  <c r="M64" i="5" s="1"/>
  <c r="J64" i="5"/>
  <c r="J63" i="5"/>
  <c r="K63" i="5" s="1"/>
  <c r="L63" i="5" s="1"/>
  <c r="M63" i="5" s="1"/>
  <c r="N60" i="5"/>
  <c r="I60" i="5"/>
  <c r="I65" i="5" s="1"/>
  <c r="I68" i="5" s="1"/>
  <c r="H60" i="5"/>
  <c r="H61" i="5" s="1"/>
  <c r="G60" i="5"/>
  <c r="G61" i="5" s="1"/>
  <c r="F60" i="5"/>
  <c r="F65" i="5" s="1"/>
  <c r="F68" i="5" s="1"/>
  <c r="E60" i="5"/>
  <c r="E65" i="5" s="1"/>
  <c r="E68" i="5" s="1"/>
  <c r="D60" i="5"/>
  <c r="D61" i="5" s="1"/>
  <c r="C60" i="5"/>
  <c r="C61" i="5" s="1"/>
  <c r="B60" i="5"/>
  <c r="B65" i="5" s="1"/>
  <c r="B68" i="5" s="1"/>
  <c r="I58" i="5"/>
  <c r="J58" i="5" s="1"/>
  <c r="K58" i="5" s="1"/>
  <c r="L58" i="5" s="1"/>
  <c r="M58" i="5" s="1"/>
  <c r="N58" i="5" s="1"/>
  <c r="H58" i="5"/>
  <c r="G58" i="5"/>
  <c r="F58" i="5"/>
  <c r="E58" i="5"/>
  <c r="D58" i="5"/>
  <c r="C58" i="5"/>
  <c r="B58" i="5"/>
  <c r="I57" i="5"/>
  <c r="J57" i="5" s="1"/>
  <c r="K57" i="5" s="1"/>
  <c r="L57" i="5" s="1"/>
  <c r="M57" i="5" s="1"/>
  <c r="N57" i="5" s="1"/>
  <c r="H57" i="5"/>
  <c r="G57" i="5"/>
  <c r="F57" i="5"/>
  <c r="E57" i="5"/>
  <c r="D57" i="5"/>
  <c r="C57" i="5"/>
  <c r="B57" i="5"/>
  <c r="I54" i="5"/>
  <c r="J54" i="5" s="1"/>
  <c r="H54" i="5"/>
  <c r="G54" i="5"/>
  <c r="F54" i="5"/>
  <c r="E54" i="5"/>
  <c r="D54" i="5"/>
  <c r="C54" i="5"/>
  <c r="B54" i="5"/>
  <c r="N52" i="5"/>
  <c r="M52" i="5"/>
  <c r="L52" i="5"/>
  <c r="K52" i="5"/>
  <c r="K51" i="5"/>
  <c r="L51" i="5" s="1"/>
  <c r="M51" i="5" s="1"/>
  <c r="N51" i="5" s="1"/>
  <c r="K43" i="5"/>
  <c r="I43" i="5"/>
  <c r="H43" i="5"/>
  <c r="G43" i="5"/>
  <c r="F43" i="5"/>
  <c r="E43" i="5"/>
  <c r="D43" i="5"/>
  <c r="C43" i="5"/>
  <c r="B43" i="5"/>
  <c r="M40" i="5"/>
  <c r="N40" i="5" s="1"/>
  <c r="J40" i="5"/>
  <c r="J35" i="5"/>
  <c r="J43" i="5" s="1"/>
  <c r="I31" i="5"/>
  <c r="H31" i="5"/>
  <c r="G31" i="5"/>
  <c r="F31" i="5"/>
  <c r="E31" i="5"/>
  <c r="D31" i="5"/>
  <c r="C31" i="5"/>
  <c r="B31" i="5"/>
  <c r="J30" i="5"/>
  <c r="K30" i="5" s="1"/>
  <c r="L30" i="5" s="1"/>
  <c r="M30" i="5" s="1"/>
  <c r="N30" i="5" s="1"/>
  <c r="J29" i="5"/>
  <c r="K29" i="5" s="1"/>
  <c r="L29" i="5" s="1"/>
  <c r="M29" i="5" s="1"/>
  <c r="N29" i="5" s="1"/>
  <c r="K28" i="5"/>
  <c r="L28" i="5" s="1"/>
  <c r="M28" i="5" s="1"/>
  <c r="N28" i="5" s="1"/>
  <c r="J28" i="5"/>
  <c r="K27" i="5"/>
  <c r="L27" i="5" s="1"/>
  <c r="M27" i="5" s="1"/>
  <c r="N27" i="5" s="1"/>
  <c r="J27" i="5"/>
  <c r="J26" i="5"/>
  <c r="K26" i="5" s="1"/>
  <c r="L26" i="5" s="1"/>
  <c r="M26" i="5" s="1"/>
  <c r="N26" i="5" s="1"/>
  <c r="J25" i="5"/>
  <c r="K25" i="5" s="1"/>
  <c r="L25" i="5" s="1"/>
  <c r="M25" i="5" s="1"/>
  <c r="N25" i="5" s="1"/>
  <c r="N24" i="5"/>
  <c r="M24" i="5"/>
  <c r="L24" i="5"/>
  <c r="K24" i="5"/>
  <c r="J24" i="5"/>
  <c r="I23" i="5"/>
  <c r="I24" i="5" s="1"/>
  <c r="H23" i="5"/>
  <c r="H24" i="5" s="1"/>
  <c r="G23" i="5"/>
  <c r="G24" i="5" s="1"/>
  <c r="F23" i="5"/>
  <c r="F24" i="5" s="1"/>
  <c r="E23" i="5"/>
  <c r="E24" i="5" s="1"/>
  <c r="D23" i="5"/>
  <c r="D24" i="5" s="1"/>
  <c r="C23" i="5"/>
  <c r="D52" i="5" s="1"/>
  <c r="B23" i="5"/>
  <c r="B24" i="5" s="1"/>
  <c r="N21" i="5"/>
  <c r="M21" i="5"/>
  <c r="L21" i="5"/>
  <c r="I19" i="5"/>
  <c r="H19" i="5"/>
  <c r="G19" i="5"/>
  <c r="F19" i="5"/>
  <c r="E19" i="5"/>
  <c r="D19" i="5"/>
  <c r="C19" i="5"/>
  <c r="B19" i="5"/>
  <c r="I17" i="5"/>
  <c r="J17" i="5" s="1"/>
  <c r="J19" i="5" s="1"/>
  <c r="H17" i="5"/>
  <c r="H18" i="5" s="1"/>
  <c r="G17" i="5"/>
  <c r="F17" i="5"/>
  <c r="F18" i="5" s="1"/>
  <c r="E17" i="5"/>
  <c r="D17" i="5"/>
  <c r="D18" i="5" s="1"/>
  <c r="C17" i="5"/>
  <c r="C18" i="5" s="1"/>
  <c r="B17" i="5"/>
  <c r="N15" i="5"/>
  <c r="I14" i="5"/>
  <c r="H14" i="5"/>
  <c r="G14" i="5"/>
  <c r="F14" i="5"/>
  <c r="E14" i="5"/>
  <c r="D14" i="5"/>
  <c r="C14" i="5"/>
  <c r="I13" i="5"/>
  <c r="H13" i="5"/>
  <c r="G13" i="5"/>
  <c r="F13" i="5"/>
  <c r="E13" i="5"/>
  <c r="D13" i="5"/>
  <c r="C13" i="5"/>
  <c r="J12" i="5"/>
  <c r="B11" i="5"/>
  <c r="B13" i="5" s="1"/>
  <c r="J10" i="5"/>
  <c r="K10" i="5" s="1"/>
  <c r="N4" i="5"/>
  <c r="M4" i="5"/>
  <c r="L4" i="5"/>
  <c r="K4" i="5"/>
  <c r="J4" i="5"/>
  <c r="I4" i="5"/>
  <c r="H4" i="5"/>
  <c r="G4" i="5"/>
  <c r="F4" i="5"/>
  <c r="E4" i="5"/>
  <c r="D4" i="5"/>
  <c r="C4" i="5"/>
  <c r="J1" i="5"/>
  <c r="K1" i="5" s="1"/>
  <c r="L1" i="5" s="1"/>
  <c r="M1" i="5" s="1"/>
  <c r="N1" i="5" s="1"/>
  <c r="H1" i="5"/>
  <c r="G1" i="5"/>
  <c r="F1" i="5"/>
  <c r="E1" i="5"/>
  <c r="D1" i="5"/>
  <c r="C1" i="5" s="1"/>
  <c r="B1" i="5" s="1"/>
  <c r="G18" i="5" l="1"/>
  <c r="G65" i="5"/>
  <c r="G68" i="5" s="1"/>
  <c r="H65" i="5"/>
  <c r="H68" i="5" s="1"/>
  <c r="H70" i="5" s="1"/>
  <c r="I69" i="5" s="1"/>
  <c r="E52" i="5"/>
  <c r="F52" i="5"/>
  <c r="I18" i="5"/>
  <c r="I52" i="5"/>
  <c r="E18" i="5"/>
  <c r="J52" i="5"/>
  <c r="L31" i="5"/>
  <c r="M31" i="5"/>
  <c r="N31" i="5"/>
  <c r="K11" i="5"/>
  <c r="L10" i="5"/>
  <c r="K17" i="5"/>
  <c r="J18" i="5"/>
  <c r="J62" i="5"/>
  <c r="J65" i="5" s="1"/>
  <c r="J68" i="5" s="1"/>
  <c r="J56" i="5"/>
  <c r="K54" i="5"/>
  <c r="I70" i="5"/>
  <c r="K12" i="5"/>
  <c r="E61" i="5"/>
  <c r="B14" i="5"/>
  <c r="J31" i="5"/>
  <c r="G52" i="5"/>
  <c r="F61" i="5"/>
  <c r="J11" i="5"/>
  <c r="J14" i="5" s="1"/>
  <c r="H52" i="5"/>
  <c r="C65" i="5"/>
  <c r="C68" i="5" s="1"/>
  <c r="C24" i="5"/>
  <c r="D65" i="5"/>
  <c r="D68" i="5" s="1"/>
  <c r="C52" i="5"/>
  <c r="A51" i="3"/>
  <c r="L11" i="5" l="1"/>
  <c r="M10" i="5"/>
  <c r="J49" i="5"/>
  <c r="J16" i="5"/>
  <c r="K56" i="5"/>
  <c r="L54" i="5"/>
  <c r="K62" i="5"/>
  <c r="K65" i="5" s="1"/>
  <c r="K68" i="5" s="1"/>
  <c r="K70" i="5" s="1"/>
  <c r="K21" i="5" s="1"/>
  <c r="K31" i="5" s="1"/>
  <c r="L17" i="5"/>
  <c r="K18" i="5"/>
  <c r="K14" i="5"/>
  <c r="K13" i="5"/>
  <c r="L12" i="5"/>
  <c r="J13" i="5"/>
  <c r="N19" i="3"/>
  <c r="M19" i="3"/>
  <c r="L19" i="3"/>
  <c r="K19" i="3"/>
  <c r="J19" i="3"/>
  <c r="N18" i="3"/>
  <c r="M18" i="3"/>
  <c r="L18" i="3"/>
  <c r="K18" i="3"/>
  <c r="J18" i="3"/>
  <c r="N16" i="3"/>
  <c r="M16" i="3"/>
  <c r="L16" i="3"/>
  <c r="K16" i="3"/>
  <c r="J16" i="3"/>
  <c r="N15" i="3"/>
  <c r="M15" i="3"/>
  <c r="L15" i="3"/>
  <c r="K15" i="3"/>
  <c r="J15" i="3"/>
  <c r="N13" i="3"/>
  <c r="M13" i="3"/>
  <c r="L13" i="3"/>
  <c r="K13" i="3"/>
  <c r="J13" i="3"/>
  <c r="N12" i="3"/>
  <c r="M12" i="3"/>
  <c r="L12" i="3"/>
  <c r="K12" i="3"/>
  <c r="J12" i="3"/>
  <c r="N10" i="3"/>
  <c r="M10" i="3"/>
  <c r="L10" i="3"/>
  <c r="K10" i="3"/>
  <c r="J10" i="3"/>
  <c r="N9" i="3"/>
  <c r="M9" i="3"/>
  <c r="L9" i="3"/>
  <c r="K9" i="3"/>
  <c r="J9" i="3"/>
  <c r="N7" i="3"/>
  <c r="M7" i="3"/>
  <c r="L7" i="3"/>
  <c r="K7" i="3"/>
  <c r="J7" i="3"/>
  <c r="N6" i="3"/>
  <c r="M6" i="3"/>
  <c r="L6" i="3"/>
  <c r="K6" i="3"/>
  <c r="J6" i="3"/>
  <c r="N4" i="3"/>
  <c r="M4" i="3"/>
  <c r="L4" i="3"/>
  <c r="K4" i="3"/>
  <c r="J4"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M54" i="5" l="1"/>
  <c r="L56" i="5"/>
  <c r="L13" i="5"/>
  <c r="M12" i="5"/>
  <c r="M11" i="5"/>
  <c r="N10" i="5"/>
  <c r="N11" i="5" s="1"/>
  <c r="K49" i="5"/>
  <c r="K16" i="5"/>
  <c r="K19" i="5" s="1"/>
  <c r="L62" i="5"/>
  <c r="L65" i="5" s="1"/>
  <c r="L68" i="5" s="1"/>
  <c r="L18" i="5"/>
  <c r="M17" i="5"/>
  <c r="L14" i="5"/>
  <c r="I48" i="3"/>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L49" i="5" l="1"/>
  <c r="L16" i="5"/>
  <c r="L19" i="5" s="1"/>
  <c r="M14" i="5"/>
  <c r="N12" i="5"/>
  <c r="N13" i="5" s="1"/>
  <c r="M13" i="5"/>
  <c r="M62" i="5"/>
  <c r="M65" i="5" s="1"/>
  <c r="M68" i="5" s="1"/>
  <c r="M18" i="5"/>
  <c r="N17" i="5"/>
  <c r="N54" i="5"/>
  <c r="N56" i="5" s="1"/>
  <c r="M56" i="5"/>
  <c r="N24" i="3"/>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6" i="5" l="1"/>
  <c r="M19" i="5" s="1"/>
  <c r="M49" i="5"/>
  <c r="N18" i="5"/>
  <c r="N62" i="5"/>
  <c r="N65" i="5" s="1"/>
  <c r="N68" i="5" s="1"/>
  <c r="N14" i="5"/>
  <c r="L41" i="3"/>
  <c r="G32" i="3"/>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F175" i="1"/>
  <c r="F176" i="1" s="1"/>
  <c r="I172" i="1"/>
  <c r="I175" i="1" s="1"/>
  <c r="I176" i="1" s="1"/>
  <c r="H172" i="1"/>
  <c r="H175" i="1" s="1"/>
  <c r="H176" i="1" s="1"/>
  <c r="G172" i="1"/>
  <c r="G175" i="1" s="1"/>
  <c r="G176" i="1" s="1"/>
  <c r="F172" i="1"/>
  <c r="E172" i="1"/>
  <c r="E175" i="1" s="1"/>
  <c r="E176" i="1" s="1"/>
  <c r="D172" i="1"/>
  <c r="D175" i="1" s="1"/>
  <c r="D176" i="1" s="1"/>
  <c r="C172" i="1"/>
  <c r="C175" i="1" s="1"/>
  <c r="C176" i="1" s="1"/>
  <c r="B172" i="1"/>
  <c r="B175" i="1" s="1"/>
  <c r="B176" i="1" s="1"/>
  <c r="H163" i="1"/>
  <c r="H164" i="1" s="1"/>
  <c r="H165" i="1" s="1"/>
  <c r="B163" i="1"/>
  <c r="I161" i="1"/>
  <c r="I163" i="1" s="1"/>
  <c r="I164" i="1" s="1"/>
  <c r="I165" i="1" s="1"/>
  <c r="H161" i="1"/>
  <c r="G161" i="1"/>
  <c r="G163" i="1" s="1"/>
  <c r="F161" i="1"/>
  <c r="F163" i="1" s="1"/>
  <c r="E161" i="1"/>
  <c r="E163" i="1" s="1"/>
  <c r="D161" i="1"/>
  <c r="D163" i="1" s="1"/>
  <c r="C161" i="1"/>
  <c r="C163" i="1" s="1"/>
  <c r="B161" i="1"/>
  <c r="H125" i="1"/>
  <c r="I125" i="1"/>
  <c r="H154" i="1"/>
  <c r="C154" i="1"/>
  <c r="I150" i="1"/>
  <c r="I153" i="1" s="1"/>
  <c r="I154" i="1" s="1"/>
  <c r="H150" i="1"/>
  <c r="H153" i="1" s="1"/>
  <c r="G150" i="1"/>
  <c r="G153" i="1" s="1"/>
  <c r="G154" i="1" s="1"/>
  <c r="F150" i="1"/>
  <c r="F153" i="1" s="1"/>
  <c r="F154" i="1" s="1"/>
  <c r="E150" i="1"/>
  <c r="E153" i="1" s="1"/>
  <c r="E154" i="1" s="1"/>
  <c r="D150" i="1"/>
  <c r="D153" i="1" s="1"/>
  <c r="D154" i="1" s="1"/>
  <c r="C150" i="1"/>
  <c r="C153" i="1" s="1"/>
  <c r="B150" i="1"/>
  <c r="B153" i="1" s="1"/>
  <c r="B154" i="1" s="1"/>
  <c r="N49" i="5" l="1"/>
  <c r="N16" i="5"/>
  <c r="N19" i="5" s="1"/>
  <c r="B164" i="1"/>
  <c r="B165" i="1" s="1"/>
  <c r="M41" i="3"/>
  <c r="C36" i="3"/>
  <c r="G36" i="3"/>
  <c r="H36" i="3"/>
  <c r="D36" i="3"/>
  <c r="D37" i="3"/>
  <c r="F36" i="3"/>
  <c r="E36" i="3"/>
  <c r="E37" i="3"/>
  <c r="L32" i="3"/>
  <c r="M33" i="3"/>
  <c r="L31" i="3"/>
  <c r="L28" i="3"/>
  <c r="L27" i="3" s="1"/>
  <c r="M29" i="3"/>
  <c r="K21"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21" i="3" s="1"/>
  <c r="H37" i="3" s="1"/>
  <c r="G107" i="1"/>
  <c r="G21" i="3" s="1"/>
  <c r="F107" i="1"/>
  <c r="F21" i="3" s="1"/>
  <c r="F37" i="3" s="1"/>
  <c r="E107" i="1"/>
  <c r="E21" i="3" s="1"/>
  <c r="D107" i="1"/>
  <c r="D21" i="3" s="1"/>
  <c r="C107" i="1"/>
  <c r="C21" i="3" s="1"/>
  <c r="B107" i="1"/>
  <c r="B21" i="3" s="1"/>
  <c r="I107" i="1"/>
  <c r="I21" i="3" s="1"/>
  <c r="I50" i="3" s="1"/>
  <c r="J50" i="3" s="1"/>
  <c r="I139" i="1"/>
  <c r="I142" i="1" s="1"/>
  <c r="H139" i="1"/>
  <c r="H142" i="1" s="1"/>
  <c r="G139" i="1"/>
  <c r="G142" i="1" s="1"/>
  <c r="F139" i="1"/>
  <c r="F142" i="1" s="1"/>
  <c r="E139" i="1"/>
  <c r="E142" i="1" s="1"/>
  <c r="D139" i="1"/>
  <c r="D142" i="1" s="1"/>
  <c r="C139" i="1"/>
  <c r="C142" i="1" s="1"/>
  <c r="B139" i="1"/>
  <c r="B142" i="1" s="1"/>
  <c r="G44" i="3" l="1"/>
  <c r="G50" i="3"/>
  <c r="G47" i="3"/>
  <c r="G40" i="3"/>
  <c r="G22" i="3"/>
  <c r="G37" i="3"/>
  <c r="F50" i="3"/>
  <c r="F47" i="3"/>
  <c r="F40" i="3"/>
  <c r="F44" i="3"/>
  <c r="F22" i="3"/>
  <c r="H50" i="3"/>
  <c r="H44" i="3"/>
  <c r="H22" i="3"/>
  <c r="H47" i="3"/>
  <c r="H40" i="3"/>
  <c r="J49" i="3"/>
  <c r="K50" i="3"/>
  <c r="K48" i="3" s="1"/>
  <c r="K38" i="3" s="1"/>
  <c r="B22" i="3"/>
  <c r="B50" i="3"/>
  <c r="B44" i="3"/>
  <c r="B47" i="3"/>
  <c r="B40" i="3"/>
  <c r="C50" i="3"/>
  <c r="C22" i="3"/>
  <c r="C44" i="3"/>
  <c r="C47" i="3"/>
  <c r="C40" i="3"/>
  <c r="C37" i="3"/>
  <c r="N41" i="3"/>
  <c r="J48" i="3"/>
  <c r="J38" i="3" s="1"/>
  <c r="D22" i="3"/>
  <c r="D40" i="3"/>
  <c r="D50" i="3"/>
  <c r="D44" i="3"/>
  <c r="D47" i="3"/>
  <c r="E50" i="3"/>
  <c r="E22" i="3"/>
  <c r="E44" i="3"/>
  <c r="E47" i="3"/>
  <c r="E40" i="3"/>
  <c r="B37" i="3"/>
  <c r="I22" i="3"/>
  <c r="I44" i="3"/>
  <c r="J22" i="3"/>
  <c r="I40" i="3"/>
  <c r="I47" i="3"/>
  <c r="J47" i="3" s="1"/>
  <c r="I37" i="3"/>
  <c r="J37" i="3" s="1"/>
  <c r="K22" i="3"/>
  <c r="M32" i="3"/>
  <c r="M31" i="3" s="1"/>
  <c r="N33" i="3"/>
  <c r="N32" i="3" s="1"/>
  <c r="L21" i="3"/>
  <c r="M28" i="3"/>
  <c r="M27" i="3" s="1"/>
  <c r="N29" i="3"/>
  <c r="N28" i="3" s="1"/>
  <c r="H124" i="1"/>
  <c r="H131" i="1" s="1"/>
  <c r="H132" i="1" s="1"/>
  <c r="C124" i="1"/>
  <c r="I124" i="1"/>
  <c r="E124" i="1"/>
  <c r="F124" i="1"/>
  <c r="D124" i="1"/>
  <c r="B124" i="1"/>
  <c r="B131" i="1" s="1"/>
  <c r="G124" i="1"/>
  <c r="K47" i="3" l="1"/>
  <c r="J45" i="3"/>
  <c r="J46" i="3" s="1"/>
  <c r="N31" i="3"/>
  <c r="L50" i="3"/>
  <c r="K49" i="3"/>
  <c r="K37" i="3"/>
  <c r="J35" i="3"/>
  <c r="J36" i="3" s="1"/>
  <c r="L22" i="3"/>
  <c r="N27" i="3"/>
  <c r="M21"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N21" i="3" l="1"/>
  <c r="L49" i="3"/>
  <c r="M50" i="3"/>
  <c r="L48" i="3"/>
  <c r="L38" i="3" s="1"/>
  <c r="M48" i="3"/>
  <c r="M38" i="3" s="1"/>
  <c r="J42" i="3"/>
  <c r="L47" i="3"/>
  <c r="K45" i="3"/>
  <c r="K46" i="3" s="1"/>
  <c r="L37" i="3"/>
  <c r="K35" i="3"/>
  <c r="M22" i="3"/>
  <c r="N22" i="3"/>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H64" i="1"/>
  <c r="H76" i="1" s="1"/>
  <c r="H94" i="1" s="1"/>
  <c r="H96" i="1" s="1"/>
  <c r="B60" i="1"/>
  <c r="E60" i="1"/>
  <c r="F60" i="1"/>
  <c r="G10" i="1"/>
  <c r="I59" i="1"/>
  <c r="I60" i="1" s="1"/>
  <c r="G60" i="1"/>
  <c r="H60" i="1"/>
  <c r="C60" i="1"/>
  <c r="D60" i="1"/>
  <c r="J43" i="3" l="1"/>
  <c r="J44" i="3"/>
  <c r="K36" i="3"/>
  <c r="K42" i="3"/>
  <c r="M49" i="3"/>
  <c r="N50" i="3"/>
  <c r="N49" i="3" s="1"/>
  <c r="M47" i="3"/>
  <c r="L45" i="3"/>
  <c r="L46" i="3" s="1"/>
  <c r="M37" i="3"/>
  <c r="L35" i="3"/>
  <c r="L36" i="3" s="1"/>
  <c r="I64" i="1"/>
  <c r="I76" i="1" s="1"/>
  <c r="I94" i="1" s="1"/>
  <c r="G12" i="1"/>
  <c r="G20" i="1" s="1"/>
  <c r="G143" i="1"/>
  <c r="I95" i="1"/>
  <c r="I96" i="1" s="1"/>
  <c r="I97" i="1" s="1"/>
  <c r="H97" i="1"/>
  <c r="K43" i="3" l="1"/>
  <c r="K44" i="3"/>
  <c r="N48" i="3"/>
  <c r="N38" i="3" s="1"/>
  <c r="N47" i="3"/>
  <c r="M45" i="3"/>
  <c r="M46" i="3" s="1"/>
  <c r="L42" i="3"/>
  <c r="N37" i="3"/>
  <c r="N35" i="3" s="1"/>
  <c r="M35" i="3"/>
  <c r="H1" i="1"/>
  <c r="G1" i="1" s="1"/>
  <c r="F1" i="1" s="1"/>
  <c r="E1" i="1" s="1"/>
  <c r="D1" i="1" s="1"/>
  <c r="C1" i="1" s="1"/>
  <c r="B1" i="1" s="1"/>
  <c r="M36" i="3" l="1"/>
  <c r="M42" i="3"/>
  <c r="L44" i="3"/>
  <c r="L43" i="3"/>
  <c r="N45" i="3"/>
  <c r="N46" i="3" s="1"/>
  <c r="N42" i="3"/>
  <c r="N36" i="3"/>
  <c r="N44" i="3" l="1"/>
  <c r="N43" i="3"/>
  <c r="M43" i="3"/>
  <c r="M44" i="3"/>
  <c r="K39" i="3"/>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tc={441CAE3A-B011-4B51-AEA7-585D05E9AC89}</author>
    <author>tc={3CF1F838-E9BB-4F3C-AA16-AD99615DBEC7}</author>
    <author>tc={0A331921-4AA7-4746-A51E-18BC83CBB5EE}</author>
  </authors>
  <commentList>
    <comment ref="O13" authorId="0" shapeId="0" xr:uid="{441CAE3A-B011-4B51-AEA7-585D05E9AC89}">
      <text>
        <t>[Threaded comment]
Your version of Excel allows you to read this threaded comment; however, any edits to it will get removed if the file is opened in a newer version of Excel. Learn more: https://go.microsoft.com/fwlink/?linkid=870924
Comment:
    Based on average % movement in the tax rates between 2015 and 2022</t>
      </text>
    </comment>
    <comment ref="O15" authorId="1" shapeId="0" xr:uid="{3CF1F838-E9BB-4F3C-AA16-AD99615DBEC7}">
      <text>
        <t>[Threaded comment]
Your version of Excel allows you to read this threaded comment; however, any edits to it will get removed if the file is opened in a newer version of Excel. Learn more: https://go.microsoft.com/fwlink/?linkid=870924
Comment:
    Based on Nike’s announcement of share buyback programme in 2022, to take place in the next 4 years. Equated to a buyback of 50 million shares circa per year.</t>
      </text>
    </comment>
    <comment ref="O60" authorId="2" shapeId="0" xr:uid="{0A331921-4AA7-4746-A51E-18BC83CBB5EE}">
      <text>
        <t>[Threaded comment]
Your version of Excel allows you to read this threaded comment; however, any edits to it will get removed if the file is opened in a newer version of Excel. Learn more: https://go.microsoft.com/fwlink/?linkid=870924
Comment:
    Share buybacks for the 4 years after 2022 reflected in the cashflow statement.</t>
      </text>
    </comment>
  </commentList>
</comments>
</file>

<file path=xl/sharedStrings.xml><?xml version="1.0" encoding="utf-8"?>
<sst xmlns="http://schemas.openxmlformats.org/spreadsheetml/2006/main" count="337" uniqueCount="209">
  <si>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</si>
  <si>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</si>
  <si>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</si>
  <si>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</si>
  <si>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</si>
  <si>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</si>
  <si>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</si>
  <si>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</si>
  <si>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</si>
  <si>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</si>
  <si>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</si>
  <si>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</si>
  <si>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</si>
  <si>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</si>
  <si>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</si>
  <si>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</si>
  <si>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</si>
  <si>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</si>
  <si>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</si>
  <si>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</si>
  <si>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</si>
  <si>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</si>
  <si>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</si>
  <si>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</si>
  <si>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</si>
  <si>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</si>
  <si>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</si>
  <si>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</si>
  <si>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</si>
  <si>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</si>
  <si>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</si>
  <si>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</si>
  <si>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</si>
  <si>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</si>
  <si>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</si>
  <si>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</si>
  <si>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</si>
  <si>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</si>
  <si>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</si>
  <si>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</si>
  <si>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</si>
  <si>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</si>
  <si>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</si>
  <si>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</si>
  <si>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</si>
  <si>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</si>
  <si>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</si>
  <si>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</si>
  <si>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</si>
  <si>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</si>
  <si>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</si>
  <si>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</si>
  <si>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</si>
  <si>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</si>
  <si>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</si>
  <si>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</si>
  <si>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</si>
  <si>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</si>
  <si>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</si>
  <si>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</si>
  <si>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</si>
  <si>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</si>
  <si>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</si>
  <si>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</si>
  <si>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</si>
  <si>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</si>
  <si>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</si>
  <si>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</si>
  <si>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</si>
  <si>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</si>
  <si>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</si>
  <si>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</si>
  <si>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</si>
  <si>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</si>
  <si>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</si>
  <si>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</si>
  <si>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</si>
  <si>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</si>
  <si>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</si>
  <si>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</si>
  <si>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</si>
  <si>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</si>
  <si>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</si>
  <si>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</si>
  <si>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</si>
  <si>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</si>
  <si>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</si>
  <si>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</si>
  <si>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</si>
  <si>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</si>
  <si>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</si>
  <si>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</si>
  <si>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</si>
  <si>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</si>
  <si>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</si>
  <si>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</si>
  <si>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</si>
  <si>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</si>
  <si>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</si>
  <si>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</si>
  <si>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</si>
  <si>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</si>
  <si>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</si>
  <si>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</si>
  <si>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</si>
  <si>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</si>
  <si>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</si>
  <si>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</si>
  <si>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</si>
  <si>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</si>
  <si>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</si>
  <si>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</si>
  <si>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</si>
  <si>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</si>
  <si>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</si>
  <si>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</si>
  <si>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</si>
  <si>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</si>
  <si>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</si>
  <si>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</si>
  <si>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</si>
  <si>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</si>
  <si>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</si>
  <si>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</si>
  <si>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</si>
  <si>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</si>
  <si>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</si>
  <si>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</si>
  <si>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</si>
  <si>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</si>
  <si>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</si>
  <si>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</si>
  <si>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</si>
  <si>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</si>
  <si>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</si>
  <si>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</si>
  <si>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</si>
  <si>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</si>
  <si>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</si>
  <si>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</si>
  <si>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</si>
  <si>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</si>
  <si>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</si>
  <si>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</si>
  <si>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</si>
  <si>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</si>
  <si>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</si>
  <si>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</si>
  <si>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</si>
  <si>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</si>
  <si>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</si>
  <si>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</si>
  <si>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</si>
  <si>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</si>
  <si>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</si>
  <si>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</si>
  <si>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</si>
  <si>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</si>
  <si>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</si>
  <si>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</si>
  <si>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</si>
  <si>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</si>
  <si>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</si>
  <si>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</si>
  <si>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</si>
  <si>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</si>
  <si>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</si>
  <si>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</si>
  <si>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</si>
  <si>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</si>
  <si>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</si>
  <si>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</si>
  <si>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</si>
  <si>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</si>
  <si>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</si>
  <si>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</si>
  <si>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</si>
  <si>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</si>
  <si>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</si>
  <si>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</si>
  <si>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</si>
  <si>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</si>
  <si>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</si>
  <si>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</si>
  <si>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</si>
  <si>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</si>
  <si>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</si>
  <si>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</si>
  <si>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</si>
  <si>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</si>
  <si>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</si>
  <si>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</si>
  <si>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</si>
  <si>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</si>
  <si>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</si>
  <si>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</si>
  <si>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</si>
  <si>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</si>
  <si>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</si>
  <si>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</si>
  <si>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</si>
  <si>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</si>
  <si>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</si>
  <si>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</si>
  <si>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</si>
  <si>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</si>
  <si>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Link from Segmental Forecast sheet</t>
  </si>
  <si>
    <t>Calculate</t>
  </si>
  <si>
    <t>Cashflow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</si>
</sst>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9" fontId="13" fillId="0" borderId="0" xfId="2" applyFont="1" applyBorder="1" applyAlignment="1">
      <alignment horizontal="right"/>
    </xf>
    <xf numFmtId="1" fontId="2" fillId="0" borderId="0" xfId="0" applyNumberFormat="1" applyFont="1"/>
    <xf numFmtId="1" fontId="2" fillId="0" borderId="0" xfId="1" applyNumberFormat="1" applyFont="1"/>
    <xf numFmtId="10" fontId="0" fillId="0" borderId="0" xfId="2" applyNumberFormat="1" applyFont="1"/>
    <xf numFmtId="9" fontId="0" fillId="0" borderId="0" xfId="2" applyFont="1"/>
    <xf numFmtId="164" fontId="16" fillId="0" borderId="0" xfId="1" applyFont="1" applyBorder="1"/>
    <xf numFmtId="167" fontId="2" fillId="0" borderId="5" xfId="0" applyNumberFormat="1" applyFont="1" applyBorder="1"/>
    <xf numFmtId="3" fontId="0" fillId="0" borderId="0" xfId="2" applyNumberFormat="1" applyFont="1"/>
    <xf numFmtId="9" fontId="2" fillId="0" borderId="0" xfId="2" applyFont="1" applyBorder="1"/>
    <xf numFmtId="1" fontId="2" fillId="0" borderId="0" xfId="2" applyNumberFormat="1" applyFont="1" applyBorder="1"/>
    <xf numFmtId="1" fontId="2" fillId="0" borderId="0" xfId="2" applyNumberFormat="1" applyFont="1"/>
    <xf numFmtId="1" fontId="0" fillId="0" borderId="0" xfId="2" applyNumberFormat="1" applyFont="1"/>
    <xf numFmtId="0" fontId="0" fillId="0" borderId="0" xfId="2"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en\Downloads\1730913522_Task%2010%20-%20Linking%20Balance%20sheet%20(1).xlsx" TargetMode="External"/><Relationship Id="rId1" Type="http://schemas.openxmlformats.org/officeDocument/2006/relationships/externalLinkPath" Target="1730913522_Task%2010%20-%20Linking%20Balance%20shee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31">
          <cell r="B31">
            <v>15976</v>
          </cell>
          <cell r="C31">
            <v>15025</v>
          </cell>
          <cell r="D31">
            <v>16061</v>
          </cell>
          <cell r="E31">
            <v>15134</v>
          </cell>
          <cell r="F31">
            <v>16525</v>
          </cell>
          <cell r="G31">
            <v>20556</v>
          </cell>
          <cell r="H31">
            <v>26291</v>
          </cell>
          <cell r="I31">
            <v>28213</v>
          </cell>
        </row>
        <row r="46">
          <cell r="B46">
            <v>6334</v>
          </cell>
          <cell r="C46">
            <v>5358</v>
          </cell>
          <cell r="D46">
            <v>5474</v>
          </cell>
          <cell r="E46">
            <v>6040</v>
          </cell>
          <cell r="F46">
            <v>7866</v>
          </cell>
          <cell r="G46">
            <v>8284</v>
          </cell>
          <cell r="H46">
            <v>9674</v>
          </cell>
          <cell r="I46">
            <v>10730</v>
          </cell>
        </row>
        <row r="77">
          <cell r="B77">
            <v>4680</v>
          </cell>
          <cell r="C77">
            <v>3096</v>
          </cell>
          <cell r="D77">
            <v>3640</v>
          </cell>
          <cell r="E77">
            <v>4955</v>
          </cell>
          <cell r="F77">
            <v>5903</v>
          </cell>
          <cell r="G77">
            <v>2485</v>
          </cell>
          <cell r="H77">
            <v>6657</v>
          </cell>
          <cell r="I77">
            <v>5188</v>
          </cell>
        </row>
        <row r="79">
          <cell r="B79">
            <v>-4936</v>
          </cell>
          <cell r="C79">
            <v>-5367</v>
          </cell>
          <cell r="D79">
            <v>-5928</v>
          </cell>
          <cell r="E79">
            <v>-4783</v>
          </cell>
          <cell r="F79">
            <v>-2937</v>
          </cell>
          <cell r="G79">
            <v>-2426</v>
          </cell>
          <cell r="H79">
            <v>-9961</v>
          </cell>
          <cell r="I79">
            <v>-12913</v>
          </cell>
        </row>
        <row r="80">
          <cell r="B80">
            <v>3655</v>
          </cell>
          <cell r="C80">
            <v>2924</v>
          </cell>
          <cell r="D80">
            <v>3623</v>
          </cell>
          <cell r="E80">
            <v>3613</v>
          </cell>
          <cell r="F80">
            <v>1715</v>
          </cell>
          <cell r="G80">
            <v>74</v>
          </cell>
          <cell r="H80">
            <v>4236</v>
          </cell>
          <cell r="I80">
            <v>8199</v>
          </cell>
        </row>
        <row r="81">
          <cell r="B81">
            <v>2216</v>
          </cell>
          <cell r="C81">
            <v>2386</v>
          </cell>
          <cell r="D81">
            <v>2423</v>
          </cell>
          <cell r="E81">
            <v>2496</v>
          </cell>
          <cell r="F81">
            <v>2072</v>
          </cell>
          <cell r="G81">
            <v>2379</v>
          </cell>
          <cell r="H81">
            <v>2449</v>
          </cell>
          <cell r="I81">
            <v>3967</v>
          </cell>
        </row>
        <row r="82">
          <cell r="B82">
            <v>-963</v>
          </cell>
          <cell r="C82">
            <v>-1143</v>
          </cell>
          <cell r="D82">
            <v>-1105</v>
          </cell>
          <cell r="E82">
            <v>-1028</v>
          </cell>
          <cell r="F82">
            <v>-1119</v>
          </cell>
          <cell r="G82">
            <v>-1086</v>
          </cell>
          <cell r="H82">
            <v>-695</v>
          </cell>
          <cell r="I82">
            <v>-758</v>
          </cell>
        </row>
        <row r="83">
          <cell r="B83">
            <v>3</v>
          </cell>
          <cell r="C83">
            <v>10</v>
          </cell>
          <cell r="D83">
            <v>13</v>
          </cell>
          <cell r="E83">
            <v>3</v>
          </cell>
          <cell r="F83">
            <v>5</v>
          </cell>
        </row>
        <row r="84">
          <cell r="B84">
            <v>-150</v>
          </cell>
          <cell r="C84">
            <v>150</v>
          </cell>
          <cell r="D84">
            <v>-34</v>
          </cell>
        </row>
        <row r="85">
          <cell r="C85">
            <v>6</v>
          </cell>
          <cell r="E85">
            <v>-25</v>
          </cell>
          <cell r="H85">
            <v>171</v>
          </cell>
          <cell r="I85">
            <v>-19</v>
          </cell>
        </row>
        <row r="94">
          <cell r="B94">
            <v>514</v>
          </cell>
          <cell r="C94">
            <v>507</v>
          </cell>
          <cell r="D94">
            <v>489</v>
          </cell>
          <cell r="E94">
            <v>733</v>
          </cell>
          <cell r="F94">
            <v>700</v>
          </cell>
          <cell r="G94">
            <v>885</v>
          </cell>
          <cell r="H94">
            <v>1172</v>
          </cell>
          <cell r="I94">
            <v>1151</v>
          </cell>
        </row>
        <row r="95">
          <cell r="B95">
            <v>-2534</v>
          </cell>
          <cell r="C95">
            <v>-3238</v>
          </cell>
          <cell r="D95">
            <v>-3223</v>
          </cell>
          <cell r="E95">
            <v>-4254</v>
          </cell>
          <cell r="F95">
            <v>-4286</v>
          </cell>
          <cell r="G95">
            <v>-3067</v>
          </cell>
          <cell r="H95">
            <v>-608</v>
          </cell>
          <cell r="I95">
            <v>-4014</v>
          </cell>
        </row>
        <row r="97">
          <cell r="B97">
            <v>-899</v>
          </cell>
          <cell r="C97">
            <v>-1022</v>
          </cell>
          <cell r="D97">
            <v>-1133</v>
          </cell>
          <cell r="E97">
            <v>-1243</v>
          </cell>
          <cell r="F97">
            <v>-1332</v>
          </cell>
          <cell r="G97">
            <v>-1452</v>
          </cell>
          <cell r="H97">
            <v>-1638</v>
          </cell>
          <cell r="I97">
            <v>-1837</v>
          </cell>
        </row>
      </sheetData>
      <sheetData sheetId="2"/>
      <sheetData sheetId="3">
        <row r="14">
          <cell r="B14">
            <v>3271</v>
          </cell>
          <cell r="C14">
            <v>3760</v>
          </cell>
          <cell r="D14">
            <v>4240</v>
          </cell>
          <cell r="E14">
            <v>1933</v>
          </cell>
          <cell r="F14">
            <v>4029</v>
          </cell>
          <cell r="G14">
            <v>2539</v>
          </cell>
          <cell r="H14">
            <v>5727</v>
          </cell>
          <cell r="I14">
            <v>6046</v>
          </cell>
        </row>
        <row r="15">
          <cell r="B15">
            <v>884.4</v>
          </cell>
          <cell r="C15">
            <v>1742.5</v>
          </cell>
          <cell r="D15">
            <v>1692</v>
          </cell>
          <cell r="E15">
            <v>1659.1</v>
          </cell>
          <cell r="F15">
            <v>1618.4</v>
          </cell>
          <cell r="G15">
            <v>1591.6</v>
          </cell>
          <cell r="H15">
            <v>1609.4</v>
          </cell>
          <cell r="I15">
            <v>1610.8</v>
          </cell>
        </row>
        <row r="53">
          <cell r="B53">
            <v>1003</v>
          </cell>
          <cell r="C53">
            <v>1191</v>
          </cell>
          <cell r="D53">
            <v>1201</v>
          </cell>
          <cell r="E53">
            <v>1194</v>
          </cell>
          <cell r="F53">
            <v>1075</v>
          </cell>
          <cell r="G53">
            <v>1124</v>
          </cell>
          <cell r="H53">
            <v>695</v>
          </cell>
          <cell r="I53">
            <v>758</v>
          </cell>
        </row>
      </sheetData>
    </sheetDataSet>
  </externalBook>
</externalLink>
</file>

<file path=xl/persons/person.xml><?xml version="1.0" encoding="utf-8"?>
<personList xmlns="http://schemas.microsoft.com/office/spreadsheetml/2018/threadedcomments" xmlns:x="http://schemas.openxmlformats.org/spreadsheetml/2006/main">
  <person displayName="BENJAMIN BAZINI" id="{FB1A57A2-EC67-410E-9F0B-2450CE06F1AE}" userId="S::2025588@buckingham.ac.uk::714eb7d7-6572-451f-9102-aa08de046ef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3" dT="2024-12-10T15:26:50.13" personId="{FB1A57A2-EC67-410E-9F0B-2450CE06F1AE}" id="{441CAE3A-B011-4B51-AEA7-585D05E9AC89}">
    <text>Based on average % movement in the tax rates between 2015 and 2022</text>
  </threadedComment>
  <threadedComment ref="O15" dT="2024-12-10T15:29:24.14" personId="{FB1A57A2-EC67-410E-9F0B-2450CE06F1AE}" id="{3CF1F838-E9BB-4F3C-AA16-AD99615DBEC7}">
    <text>Based on Nike’s announcement of share buyback programme in 2022, to take place in the next 4 years. Equated to a buyback of 50 million shares circa per year.</text>
  </threadedComment>
  <threadedComment ref="O60" dT="2024-12-10T15:34:09.64" personId="{FB1A57A2-EC67-410E-9F0B-2450CE06F1AE}" id="{0A331921-4AA7-4746-A51E-18BC83CBB5EE}">
    <text>Share buybacks for the 4 years after 2022 reflected in the cashflow statement.</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abSelected="1" workbookViewId="0">
      <selection activeCell="A8" sqref="A8"/>
    </sheetView>
  </sheetViews>
  <sheetFormatPr defaultRowHeight="14.4" x14ac:dyDescent="0.3"/>
  <cols>
    <col min="1" max="1" width="176.109375" style="19" customWidth="1"/>
  </cols>
  <sheetData>
    <row r="1" spans="1:1" ht="23.4" x14ac:dyDescent="0.45">
      <c r="A1" s="18" t="s">
        <v>20</v>
      </c>
    </row>
    <row r="2" spans="1:1" x14ac:dyDescent="0.3">
      <c r="A2" s="1" t="s">
        <v>196</v>
      </c>
    </row>
    <row r="3" spans="1:1" x14ac:dyDescent="0.3">
      <c r="A3" t="s">
        <v>197</v>
      </c>
    </row>
    <row r="4" spans="1:1" x14ac:dyDescent="0.3">
      <c r="A4" t="s">
        <v>198</v>
      </c>
    </row>
    <row r="5" spans="1:1" x14ac:dyDescent="0.3">
      <c r="A5" t="s">
        <v>199</v>
      </c>
    </row>
    <row r="6" spans="1:1" x14ac:dyDescent="0.3">
      <c r="A6" t="s">
        <v>200</v>
      </c>
    </row>
    <row r="7" spans="1:1" x14ac:dyDescent="0.3">
      <c r="A7" t="s">
        <v>204</v>
      </c>
    </row>
    <row r="8" spans="1:1" x14ac:dyDescent="0.3">
      <c r="A8" s="2" t="s">
        <v>201</v>
      </c>
    </row>
    <row r="9" spans="1:1" x14ac:dyDescent="0.3">
      <c r="A9" t="s">
        <v>202</v>
      </c>
    </row>
    <row r="10" spans="1:1" x14ac:dyDescent="0.3">
      <c r="A10"/>
    </row>
    <row r="11" spans="1:1" x14ac:dyDescent="0.3">
      <c r="A11" t="s">
        <v>203</v>
      </c>
    </row>
    <row r="12" spans="1:1" x14ac:dyDescent="0.3">
      <c r="A12" t="s">
        <v>205</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03" activePane="bottomLeft" state="frozen"/>
      <selection pane="bottomLeft" activeCell="A138" sqref="A13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c r="C2" s="3"/>
      <c r="D2" s="3"/>
      <c r="E2" s="3"/>
      <c r="F2" s="3"/>
      <c r="G2" s="3"/>
      <c r="H2" s="3">
        <v>44538</v>
      </c>
      <c r="I2" s="3">
        <v>46710</v>
      </c>
    </row>
    <row r="3" spans="1:9" x14ac:dyDescent="0.3">
      <c r="A3" s="22" t="s">
        <v>28</v>
      </c>
      <c r="B3" s="23"/>
      <c r="C3" s="23"/>
      <c r="D3" s="23"/>
      <c r="E3" s="23"/>
      <c r="F3" s="23"/>
      <c r="G3" s="23"/>
      <c r="H3" s="23">
        <v>24576</v>
      </c>
      <c r="I3" s="23">
        <v>25231</v>
      </c>
    </row>
    <row r="4" spans="1:9" s="1" customFormat="1" x14ac:dyDescent="0.3">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21</v>
      </c>
      <c r="B5" s="3"/>
      <c r="C5" s="3"/>
      <c r="D5" s="3"/>
      <c r="E5" s="3"/>
      <c r="F5" s="3"/>
      <c r="G5" s="3"/>
      <c r="H5" s="3">
        <v>3114</v>
      </c>
      <c r="I5" s="3">
        <v>3850</v>
      </c>
    </row>
    <row r="6" spans="1:9" x14ac:dyDescent="0.3">
      <c r="A6" s="11" t="s">
        <v>22</v>
      </c>
      <c r="B6" s="3"/>
      <c r="C6" s="3"/>
      <c r="D6" s="3"/>
      <c r="E6" s="3"/>
      <c r="F6" s="3"/>
      <c r="G6" s="3"/>
      <c r="H6" s="3">
        <v>9911</v>
      </c>
      <c r="I6" s="3">
        <v>10954</v>
      </c>
    </row>
    <row r="7" spans="1:9" x14ac:dyDescent="0.3">
      <c r="A7" s="21" t="s">
        <v>23</v>
      </c>
      <c r="B7" s="20">
        <f t="shared" ref="B7:H7" si="2">+B5+B6</f>
        <v>0</v>
      </c>
      <c r="C7" s="20">
        <f t="shared" si="2"/>
        <v>0</v>
      </c>
      <c r="D7" s="20">
        <f t="shared" si="2"/>
        <v>0</v>
      </c>
      <c r="E7" s="20">
        <f t="shared" si="2"/>
        <v>0</v>
      </c>
      <c r="F7" s="20">
        <f t="shared" si="2"/>
        <v>0</v>
      </c>
      <c r="G7" s="20">
        <f t="shared" si="2"/>
        <v>0</v>
      </c>
      <c r="H7" s="20">
        <f t="shared" si="2"/>
        <v>13025</v>
      </c>
      <c r="I7" s="20">
        <f>+I5+I6</f>
        <v>14804</v>
      </c>
    </row>
    <row r="8" spans="1:9" x14ac:dyDescent="0.3">
      <c r="A8" s="2" t="s">
        <v>24</v>
      </c>
      <c r="B8" s="3"/>
      <c r="C8" s="3"/>
      <c r="D8" s="3"/>
      <c r="E8" s="3"/>
      <c r="F8" s="3"/>
      <c r="G8" s="3"/>
      <c r="H8" s="3">
        <v>262</v>
      </c>
      <c r="I8" s="3">
        <v>205</v>
      </c>
    </row>
    <row r="9" spans="1:9" x14ac:dyDescent="0.3">
      <c r="A9" s="2" t="s">
        <v>5</v>
      </c>
      <c r="B9" s="3"/>
      <c r="C9" s="3"/>
      <c r="D9" s="3"/>
      <c r="E9" s="3"/>
      <c r="F9" s="3"/>
      <c r="G9" s="3"/>
      <c r="H9" s="3">
        <v>14</v>
      </c>
      <c r="I9" s="3">
        <v>-181</v>
      </c>
    </row>
    <row r="10" spans="1:9" x14ac:dyDescent="0.3">
      <c r="A10" s="4" t="s">
        <v>25</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26</v>
      </c>
      <c r="B11" s="3"/>
      <c r="C11" s="3"/>
      <c r="D11" s="3"/>
      <c r="E11" s="3"/>
      <c r="F11" s="3"/>
      <c r="G11" s="3"/>
      <c r="H11" s="3">
        <v>934</v>
      </c>
      <c r="I11" s="3">
        <v>605</v>
      </c>
    </row>
    <row r="12" spans="1:9" ht="15" thickBot="1" x14ac:dyDescent="0.35">
      <c r="A12" s="6" t="s">
        <v>29</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8</v>
      </c>
    </row>
    <row r="14" spans="1:9" x14ac:dyDescent="0.3">
      <c r="A14" s="2" t="s">
        <v>6</v>
      </c>
      <c r="H14">
        <v>3.64</v>
      </c>
      <c r="I14">
        <v>3.83</v>
      </c>
    </row>
    <row r="15" spans="1:9" x14ac:dyDescent="0.3">
      <c r="A15" s="2" t="s">
        <v>7</v>
      </c>
      <c r="H15">
        <v>3.56</v>
      </c>
      <c r="I15">
        <v>3.75</v>
      </c>
    </row>
    <row r="16" spans="1:9" x14ac:dyDescent="0.3">
      <c r="A16" s="1" t="s">
        <v>9</v>
      </c>
    </row>
    <row r="17" spans="1:9" x14ac:dyDescent="0.3">
      <c r="A17" s="2" t="s">
        <v>6</v>
      </c>
      <c r="G17" s="8"/>
      <c r="H17" s="8">
        <v>1573</v>
      </c>
      <c r="I17" s="8">
        <v>1578.8</v>
      </c>
    </row>
    <row r="18" spans="1:9" x14ac:dyDescent="0.3">
      <c r="A18" s="2" t="s">
        <v>7</v>
      </c>
      <c r="G18" s="8"/>
      <c r="H18" s="8">
        <v>1609.4</v>
      </c>
      <c r="I18" s="8">
        <v>1610.8</v>
      </c>
    </row>
    <row r="20" spans="1:9" s="12" customFormat="1" x14ac:dyDescent="0.3">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c r="C25" s="3"/>
      <c r="D25" s="3"/>
      <c r="E25" s="3"/>
      <c r="F25" s="3"/>
      <c r="G25" s="3"/>
      <c r="H25" s="3">
        <v>9889</v>
      </c>
      <c r="I25" s="3">
        <v>8574</v>
      </c>
    </row>
    <row r="26" spans="1:9" x14ac:dyDescent="0.3">
      <c r="A26" s="11" t="s">
        <v>33</v>
      </c>
      <c r="B26" s="3"/>
      <c r="C26" s="3"/>
      <c r="D26" s="3"/>
      <c r="E26" s="3"/>
      <c r="F26" s="3"/>
      <c r="G26" s="3"/>
      <c r="H26" s="3">
        <v>3587</v>
      </c>
      <c r="I26" s="3">
        <v>4423</v>
      </c>
    </row>
    <row r="27" spans="1:9" x14ac:dyDescent="0.3">
      <c r="A27" s="11" t="s">
        <v>34</v>
      </c>
      <c r="B27" s="3"/>
      <c r="C27" s="3"/>
      <c r="D27" s="3"/>
      <c r="E27" s="3"/>
      <c r="F27" s="3"/>
      <c r="G27" s="3"/>
      <c r="H27" s="3">
        <v>4463</v>
      </c>
      <c r="I27" s="3">
        <v>4667</v>
      </c>
    </row>
    <row r="28" spans="1:9" x14ac:dyDescent="0.3">
      <c r="A28" s="11" t="s">
        <v>35</v>
      </c>
      <c r="B28" s="3"/>
      <c r="C28" s="3"/>
      <c r="D28" s="3"/>
      <c r="E28" s="3"/>
      <c r="F28" s="3"/>
      <c r="G28" s="3"/>
      <c r="H28" s="3">
        <v>6854</v>
      </c>
      <c r="I28" s="3">
        <v>8420</v>
      </c>
    </row>
    <row r="29" spans="1:9" x14ac:dyDescent="0.3">
      <c r="A29" s="11" t="s">
        <v>36</v>
      </c>
      <c r="B29" s="3"/>
      <c r="C29" s="3"/>
      <c r="D29" s="3"/>
      <c r="E29" s="3"/>
      <c r="F29" s="3"/>
      <c r="G29" s="3"/>
      <c r="H29" s="3">
        <v>1498</v>
      </c>
      <c r="I29" s="3">
        <v>2129</v>
      </c>
    </row>
    <row r="30" spans="1:9" x14ac:dyDescent="0.3">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37</v>
      </c>
      <c r="B31" s="3"/>
      <c r="C31" s="3"/>
      <c r="D31" s="3"/>
      <c r="E31" s="3"/>
      <c r="F31" s="3"/>
      <c r="G31" s="3"/>
      <c r="H31" s="3">
        <v>4904</v>
      </c>
      <c r="I31" s="3">
        <v>4791</v>
      </c>
    </row>
    <row r="32" spans="1:9" x14ac:dyDescent="0.3">
      <c r="A32" s="2" t="s">
        <v>38</v>
      </c>
      <c r="B32" s="3"/>
      <c r="C32" s="3"/>
      <c r="D32" s="3"/>
      <c r="E32" s="3"/>
      <c r="F32" s="3"/>
      <c r="G32" s="3"/>
      <c r="H32" s="3">
        <v>3113</v>
      </c>
      <c r="I32" s="3">
        <v>2926</v>
      </c>
    </row>
    <row r="33" spans="1:9" x14ac:dyDescent="0.3">
      <c r="A33" s="2" t="s">
        <v>39</v>
      </c>
      <c r="B33" s="3"/>
      <c r="C33" s="3"/>
      <c r="D33" s="3"/>
      <c r="E33" s="3"/>
      <c r="F33" s="3"/>
      <c r="G33" s="3"/>
      <c r="H33" s="3">
        <v>269</v>
      </c>
      <c r="I33" s="3">
        <v>286</v>
      </c>
    </row>
    <row r="34" spans="1:9" x14ac:dyDescent="0.3">
      <c r="A34" s="2" t="s">
        <v>40</v>
      </c>
      <c r="B34" s="3"/>
      <c r="C34" s="3"/>
      <c r="D34" s="3"/>
      <c r="E34" s="3"/>
      <c r="F34" s="3"/>
      <c r="G34" s="3"/>
      <c r="H34" s="3">
        <v>242</v>
      </c>
      <c r="I34" s="3">
        <v>284</v>
      </c>
    </row>
    <row r="35" spans="1:9" x14ac:dyDescent="0.3">
      <c r="A35" s="2" t="s">
        <v>41</v>
      </c>
      <c r="B35" s="3"/>
      <c r="C35" s="3"/>
      <c r="D35" s="3"/>
      <c r="E35" s="3"/>
      <c r="F35" s="3"/>
      <c r="G35" s="3"/>
      <c r="H35" s="3">
        <v>2921</v>
      </c>
      <c r="I35" s="3">
        <v>3821</v>
      </c>
    </row>
    <row r="36" spans="1:9" ht="15" thickBot="1" x14ac:dyDescent="0.35">
      <c r="A36" s="6" t="s">
        <v>42</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c r="C39" s="3"/>
      <c r="D39" s="3"/>
      <c r="E39" s="3"/>
      <c r="F39" s="3"/>
      <c r="G39" s="3"/>
      <c r="H39" s="3">
        <v>0</v>
      </c>
      <c r="I39" s="3">
        <v>500</v>
      </c>
    </row>
    <row r="40" spans="1:9" x14ac:dyDescent="0.3">
      <c r="A40" s="11" t="s">
        <v>46</v>
      </c>
      <c r="B40" s="3"/>
      <c r="C40" s="3"/>
      <c r="D40" s="3"/>
      <c r="E40" s="3"/>
      <c r="F40" s="3"/>
      <c r="G40" s="3"/>
      <c r="H40" s="3">
        <v>2</v>
      </c>
      <c r="I40" s="3">
        <v>10</v>
      </c>
    </row>
    <row r="41" spans="1:9" x14ac:dyDescent="0.3">
      <c r="A41" s="11" t="s">
        <v>11</v>
      </c>
      <c r="B41" s="3"/>
      <c r="C41" s="3"/>
      <c r="D41" s="3"/>
      <c r="E41" s="3"/>
      <c r="F41" s="3"/>
      <c r="G41" s="3"/>
      <c r="H41" s="3">
        <v>2836</v>
      </c>
      <c r="I41" s="3">
        <v>3358</v>
      </c>
    </row>
    <row r="42" spans="1:9" x14ac:dyDescent="0.3">
      <c r="A42" s="11" t="s">
        <v>47</v>
      </c>
      <c r="B42" s="3"/>
      <c r="C42" s="3"/>
      <c r="D42" s="3"/>
      <c r="E42" s="3"/>
      <c r="F42" s="3"/>
      <c r="G42" s="3"/>
      <c r="H42" s="3">
        <v>467</v>
      </c>
      <c r="I42" s="3">
        <v>420</v>
      </c>
    </row>
    <row r="43" spans="1:9" x14ac:dyDescent="0.3">
      <c r="A43" s="11" t="s">
        <v>12</v>
      </c>
      <c r="B43" s="3"/>
      <c r="C43" s="3"/>
      <c r="D43" s="3"/>
      <c r="E43" s="3"/>
      <c r="F43" s="3"/>
      <c r="G43" s="3"/>
      <c r="H43" s="3">
        <v>6063</v>
      </c>
      <c r="I43" s="3">
        <v>6220</v>
      </c>
    </row>
    <row r="44" spans="1:9" x14ac:dyDescent="0.3">
      <c r="A44" s="11" t="s">
        <v>48</v>
      </c>
      <c r="B44" s="3"/>
      <c r="C44" s="3"/>
      <c r="D44" s="3"/>
      <c r="E44" s="3"/>
      <c r="F44" s="3"/>
      <c r="G44" s="3"/>
      <c r="H44" s="3">
        <v>306</v>
      </c>
      <c r="I44" s="3">
        <v>222</v>
      </c>
    </row>
    <row r="45" spans="1:9" x14ac:dyDescent="0.3">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49</v>
      </c>
      <c r="B46" s="3"/>
      <c r="C46" s="3"/>
      <c r="D46" s="3"/>
      <c r="E46" s="3"/>
      <c r="F46" s="3"/>
      <c r="G46" s="3"/>
      <c r="H46" s="3">
        <v>9413</v>
      </c>
      <c r="I46" s="3">
        <v>8920</v>
      </c>
    </row>
    <row r="47" spans="1:9" x14ac:dyDescent="0.3">
      <c r="A47" s="2" t="s">
        <v>50</v>
      </c>
      <c r="B47" s="3"/>
      <c r="C47" s="3"/>
      <c r="D47" s="3"/>
      <c r="E47" s="3"/>
      <c r="F47" s="3"/>
      <c r="G47" s="3"/>
      <c r="H47" s="3">
        <v>2931</v>
      </c>
      <c r="I47" s="3">
        <v>2777</v>
      </c>
    </row>
    <row r="48" spans="1:9" x14ac:dyDescent="0.3">
      <c r="A48" s="2" t="s">
        <v>51</v>
      </c>
      <c r="B48" s="3"/>
      <c r="C48" s="3"/>
      <c r="D48" s="3"/>
      <c r="E48" s="3"/>
      <c r="F48" s="3"/>
      <c r="G48" s="3"/>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c r="C54" s="3"/>
      <c r="D54" s="3"/>
      <c r="E54" s="3"/>
      <c r="F54" s="3"/>
      <c r="G54" s="3"/>
      <c r="H54" s="3">
        <v>3</v>
      </c>
      <c r="I54" s="3">
        <v>3</v>
      </c>
    </row>
    <row r="55" spans="1:9" x14ac:dyDescent="0.3">
      <c r="A55" s="17" t="s">
        <v>58</v>
      </c>
      <c r="B55" s="3"/>
      <c r="C55" s="3"/>
      <c r="D55" s="3"/>
      <c r="E55" s="3"/>
      <c r="F55" s="3"/>
      <c r="G55" s="3"/>
      <c r="H55" s="3">
        <v>9965</v>
      </c>
      <c r="I55" s="3">
        <v>11484</v>
      </c>
    </row>
    <row r="56" spans="1:9" x14ac:dyDescent="0.3">
      <c r="A56" s="17" t="s">
        <v>59</v>
      </c>
      <c r="B56" s="3"/>
      <c r="C56" s="3"/>
      <c r="D56" s="3"/>
      <c r="E56" s="3"/>
      <c r="F56" s="3"/>
      <c r="G56" s="3"/>
      <c r="H56" s="3">
        <v>-380</v>
      </c>
      <c r="I56" s="3">
        <v>318</v>
      </c>
    </row>
    <row r="57" spans="1:9" x14ac:dyDescent="0.3">
      <c r="A57" s="17" t="s">
        <v>60</v>
      </c>
      <c r="B57" s="3"/>
      <c r="C57" s="3"/>
      <c r="D57" s="3"/>
      <c r="E57" s="3"/>
      <c r="F57" s="3"/>
      <c r="G57" s="3"/>
      <c r="H57" s="3">
        <v>3179</v>
      </c>
      <c r="I57" s="3">
        <v>3476</v>
      </c>
    </row>
    <row r="58" spans="1:9" x14ac:dyDescent="0.3">
      <c r="A58" s="4" t="s">
        <v>61</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62</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x14ac:dyDescent="0.3">
      <c r="A66" s="11" t="s">
        <v>66</v>
      </c>
      <c r="B66" s="3"/>
      <c r="C66" s="3"/>
      <c r="D66" s="3"/>
      <c r="E66" s="3"/>
      <c r="F66" s="3"/>
      <c r="G66" s="3"/>
      <c r="H66" s="3">
        <v>744</v>
      </c>
      <c r="I66" s="3">
        <v>717</v>
      </c>
    </row>
    <row r="67" spans="1:9" x14ac:dyDescent="0.3">
      <c r="A67" s="11" t="s">
        <v>67</v>
      </c>
      <c r="B67" s="3"/>
      <c r="C67" s="3"/>
      <c r="D67" s="3"/>
      <c r="E67" s="3"/>
      <c r="F67" s="3"/>
      <c r="G67" s="3"/>
      <c r="H67" s="3">
        <v>-385</v>
      </c>
      <c r="I67" s="3">
        <v>-650</v>
      </c>
    </row>
    <row r="68" spans="1:9" x14ac:dyDescent="0.3">
      <c r="A68" s="11" t="s">
        <v>68</v>
      </c>
      <c r="B68" s="3"/>
      <c r="C68" s="3"/>
      <c r="D68" s="3"/>
      <c r="E68" s="3"/>
      <c r="F68" s="3"/>
      <c r="G68" s="3"/>
      <c r="H68" s="3">
        <v>611</v>
      </c>
      <c r="I68" s="3">
        <v>638</v>
      </c>
    </row>
    <row r="69" spans="1:9" x14ac:dyDescent="0.3">
      <c r="A69" s="11" t="s">
        <v>69</v>
      </c>
      <c r="B69" s="3"/>
      <c r="C69" s="3"/>
      <c r="D69" s="3"/>
      <c r="E69" s="3"/>
      <c r="F69" s="3"/>
      <c r="G69" s="3"/>
      <c r="H69" s="3">
        <v>53</v>
      </c>
      <c r="I69" s="3">
        <v>123</v>
      </c>
    </row>
    <row r="70" spans="1:9" x14ac:dyDescent="0.3">
      <c r="A70" s="11" t="s">
        <v>70</v>
      </c>
      <c r="B70" s="3"/>
      <c r="C70" s="3"/>
      <c r="D70" s="3"/>
      <c r="E70" s="3"/>
      <c r="F70" s="3"/>
      <c r="G70" s="3"/>
      <c r="H70" s="3">
        <v>-138</v>
      </c>
      <c r="I70" s="3">
        <v>-26</v>
      </c>
    </row>
    <row r="71" spans="1:9" x14ac:dyDescent="0.3">
      <c r="A71" s="2" t="s">
        <v>71</v>
      </c>
      <c r="B71" s="3"/>
      <c r="C71" s="3"/>
      <c r="D71" s="3"/>
      <c r="E71" s="3"/>
      <c r="F71" s="3"/>
      <c r="G71" s="3"/>
      <c r="H71" s="3"/>
      <c r="I71" s="3"/>
    </row>
    <row r="72" spans="1:9" x14ac:dyDescent="0.3">
      <c r="A72" s="11" t="s">
        <v>72</v>
      </c>
      <c r="B72" s="3"/>
      <c r="C72" s="3"/>
      <c r="D72" s="3"/>
      <c r="E72" s="3"/>
      <c r="F72" s="3"/>
      <c r="G72" s="3"/>
      <c r="H72" s="3">
        <v>-1606</v>
      </c>
      <c r="I72" s="3">
        <v>-504</v>
      </c>
    </row>
    <row r="73" spans="1:9" x14ac:dyDescent="0.3">
      <c r="A73" s="11" t="s">
        <v>73</v>
      </c>
      <c r="B73" s="3"/>
      <c r="C73" s="3"/>
      <c r="D73" s="3"/>
      <c r="E73" s="3"/>
      <c r="F73" s="3"/>
      <c r="G73" s="3"/>
      <c r="H73" s="3">
        <v>507</v>
      </c>
      <c r="I73" s="3">
        <v>-1676</v>
      </c>
    </row>
    <row r="74" spans="1:9" x14ac:dyDescent="0.3">
      <c r="A74" s="11" t="s">
        <v>98</v>
      </c>
      <c r="B74" s="3"/>
      <c r="C74" s="3"/>
      <c r="D74" s="3"/>
      <c r="E74" s="3"/>
      <c r="F74" s="3"/>
      <c r="G74" s="3"/>
      <c r="H74" s="3">
        <v>-182</v>
      </c>
      <c r="I74" s="3">
        <v>-845</v>
      </c>
    </row>
    <row r="75" spans="1:9" x14ac:dyDescent="0.3">
      <c r="A75" s="11" t="s">
        <v>97</v>
      </c>
      <c r="B75" s="3"/>
      <c r="C75" s="3"/>
      <c r="D75" s="3"/>
      <c r="E75" s="3"/>
      <c r="F75" s="3"/>
      <c r="G75" s="3"/>
      <c r="H75" s="3">
        <v>1326</v>
      </c>
      <c r="I75" s="3">
        <v>1365</v>
      </c>
    </row>
    <row r="76" spans="1:9" x14ac:dyDescent="0.3">
      <c r="A76" s="24" t="s">
        <v>74</v>
      </c>
      <c r="B76" s="25">
        <f t="shared" ref="B76:H76" si="12">+SUM(B64:B75)</f>
        <v>0</v>
      </c>
      <c r="C76" s="25">
        <f t="shared" si="12"/>
        <v>0</v>
      </c>
      <c r="D76" s="25">
        <f t="shared" si="12"/>
        <v>0</v>
      </c>
      <c r="E76" s="25">
        <f t="shared" si="12"/>
        <v>0</v>
      </c>
      <c r="F76" s="25">
        <f t="shared" si="12"/>
        <v>0</v>
      </c>
      <c r="G76" s="25">
        <f t="shared" si="12"/>
        <v>0</v>
      </c>
      <c r="H76" s="25">
        <f t="shared" si="12"/>
        <v>6657</v>
      </c>
      <c r="I76" s="25">
        <f>+SUM(I64:I75)</f>
        <v>5188</v>
      </c>
    </row>
    <row r="77" spans="1:9" x14ac:dyDescent="0.3">
      <c r="A77" s="1" t="s">
        <v>75</v>
      </c>
      <c r="B77" s="3"/>
      <c r="C77" s="3"/>
      <c r="D77" s="3"/>
      <c r="E77" s="3"/>
      <c r="F77" s="3"/>
      <c r="G77" s="3"/>
      <c r="H77" s="3"/>
      <c r="I77" s="3"/>
    </row>
    <row r="78" spans="1:9" x14ac:dyDescent="0.3">
      <c r="A78" s="2" t="s">
        <v>76</v>
      </c>
      <c r="B78" s="3"/>
      <c r="C78" s="3"/>
      <c r="D78" s="3"/>
      <c r="E78" s="3"/>
      <c r="F78" s="3"/>
      <c r="G78" s="3"/>
      <c r="H78" s="3">
        <v>-9961</v>
      </c>
      <c r="I78" s="3">
        <v>-12913</v>
      </c>
    </row>
    <row r="79" spans="1:9" x14ac:dyDescent="0.3">
      <c r="A79" s="2" t="s">
        <v>77</v>
      </c>
      <c r="B79" s="3"/>
      <c r="C79" s="3"/>
      <c r="D79" s="3"/>
      <c r="E79" s="3"/>
      <c r="F79" s="3"/>
      <c r="G79" s="3"/>
      <c r="H79" s="3">
        <v>4236</v>
      </c>
      <c r="I79" s="3">
        <v>8199</v>
      </c>
    </row>
    <row r="80" spans="1:9" x14ac:dyDescent="0.3">
      <c r="A80" s="2" t="s">
        <v>78</v>
      </c>
      <c r="B80" s="3"/>
      <c r="C80" s="3"/>
      <c r="D80" s="3"/>
      <c r="E80" s="3"/>
      <c r="F80" s="3"/>
      <c r="G80" s="3"/>
      <c r="H80" s="3">
        <v>2449</v>
      </c>
      <c r="I80" s="3">
        <v>3967</v>
      </c>
    </row>
    <row r="81" spans="1:9" x14ac:dyDescent="0.3">
      <c r="A81" s="2" t="s">
        <v>14</v>
      </c>
      <c r="B81" s="3"/>
      <c r="C81" s="3"/>
      <c r="D81" s="3"/>
      <c r="E81" s="3"/>
      <c r="F81" s="3"/>
      <c r="G81" s="3"/>
      <c r="H81" s="3">
        <v>-695</v>
      </c>
      <c r="I81" s="3">
        <v>-758</v>
      </c>
    </row>
    <row r="82" spans="1:9" x14ac:dyDescent="0.3">
      <c r="A82" s="2" t="s">
        <v>79</v>
      </c>
      <c r="B82" s="3"/>
      <c r="C82" s="3"/>
      <c r="D82" s="3"/>
      <c r="E82" s="3"/>
      <c r="F82" s="3"/>
      <c r="G82" s="3"/>
      <c r="H82" s="3">
        <v>171</v>
      </c>
      <c r="I82" s="3">
        <v>-19</v>
      </c>
    </row>
    <row r="83" spans="1:9" x14ac:dyDescent="0.3">
      <c r="A83" s="26" t="s">
        <v>80</v>
      </c>
      <c r="B83" s="25">
        <f t="shared" ref="B83:H83" si="13">+SUM(B78:B82)</f>
        <v>0</v>
      </c>
      <c r="C83" s="25">
        <f t="shared" si="13"/>
        <v>0</v>
      </c>
      <c r="D83" s="25">
        <f t="shared" si="13"/>
        <v>0</v>
      </c>
      <c r="E83" s="25">
        <f t="shared" si="13"/>
        <v>0</v>
      </c>
      <c r="F83" s="25">
        <f t="shared" si="13"/>
        <v>0</v>
      </c>
      <c r="G83" s="25">
        <f t="shared" si="13"/>
        <v>0</v>
      </c>
      <c r="H83" s="25">
        <f t="shared" si="13"/>
        <v>-3800</v>
      </c>
      <c r="I83" s="25">
        <f>+SUM(I78:I82)</f>
        <v>-1524</v>
      </c>
    </row>
    <row r="84" spans="1:9" x14ac:dyDescent="0.3">
      <c r="A84" s="1" t="s">
        <v>81</v>
      </c>
      <c r="B84" s="3"/>
      <c r="C84" s="3"/>
      <c r="D84" s="3"/>
      <c r="E84" s="3"/>
      <c r="F84" s="3"/>
      <c r="G84" s="3"/>
      <c r="H84" s="3"/>
      <c r="I84" s="3"/>
    </row>
    <row r="85" spans="1:9" x14ac:dyDescent="0.3">
      <c r="A85" s="2" t="s">
        <v>82</v>
      </c>
      <c r="B85" s="3"/>
      <c r="C85" s="3"/>
      <c r="D85" s="3"/>
      <c r="E85" s="3"/>
      <c r="F85" s="3"/>
      <c r="G85" s="3"/>
      <c r="H85" s="3">
        <v>0</v>
      </c>
      <c r="I85" s="3">
        <v>0</v>
      </c>
    </row>
    <row r="86" spans="1:9" x14ac:dyDescent="0.3">
      <c r="A86" s="2" t="s">
        <v>83</v>
      </c>
      <c r="B86" s="3"/>
      <c r="C86" s="3"/>
      <c r="D86" s="3"/>
      <c r="E86" s="3"/>
      <c r="F86" s="3"/>
      <c r="G86" s="3"/>
      <c r="H86" s="3">
        <v>-52</v>
      </c>
      <c r="I86" s="3">
        <v>15</v>
      </c>
    </row>
    <row r="87" spans="1:9" x14ac:dyDescent="0.3">
      <c r="A87" s="2" t="s">
        <v>84</v>
      </c>
      <c r="B87" s="3"/>
      <c r="C87" s="3"/>
      <c r="D87" s="3"/>
      <c r="E87" s="3"/>
      <c r="F87" s="3"/>
      <c r="G87" s="3"/>
      <c r="H87" s="3">
        <v>-197</v>
      </c>
      <c r="I87" s="3">
        <v>0</v>
      </c>
    </row>
    <row r="88" spans="1:9" x14ac:dyDescent="0.3">
      <c r="A88" s="2" t="s">
        <v>85</v>
      </c>
      <c r="B88" s="3"/>
      <c r="C88" s="3"/>
      <c r="D88" s="3"/>
      <c r="E88" s="3"/>
      <c r="F88" s="3"/>
      <c r="G88" s="3"/>
      <c r="H88" s="3">
        <v>1172</v>
      </c>
      <c r="I88" s="3">
        <v>1151</v>
      </c>
    </row>
    <row r="89" spans="1:9" x14ac:dyDescent="0.3">
      <c r="A89" s="2" t="s">
        <v>16</v>
      </c>
      <c r="B89" s="3"/>
      <c r="C89" s="3"/>
      <c r="D89" s="3"/>
      <c r="E89" s="3"/>
      <c r="F89" s="3"/>
      <c r="G89" s="3"/>
      <c r="H89" s="3">
        <v>-608</v>
      </c>
      <c r="I89" s="3">
        <v>-4014</v>
      </c>
    </row>
    <row r="90" spans="1:9" x14ac:dyDescent="0.3">
      <c r="A90" s="2" t="s">
        <v>86</v>
      </c>
      <c r="B90" s="3"/>
      <c r="C90" s="3"/>
      <c r="D90" s="3"/>
      <c r="E90" s="3"/>
      <c r="F90" s="3"/>
      <c r="G90" s="3"/>
      <c r="H90" s="3">
        <v>-1638</v>
      </c>
      <c r="I90" s="3">
        <v>-1837</v>
      </c>
    </row>
    <row r="91" spans="1:9" x14ac:dyDescent="0.3">
      <c r="A91" s="2" t="s">
        <v>87</v>
      </c>
      <c r="B91" s="3"/>
      <c r="C91" s="3"/>
      <c r="D91" s="3"/>
      <c r="E91" s="3"/>
      <c r="F91" s="3"/>
      <c r="G91" s="3"/>
      <c r="H91" s="3">
        <v>-136</v>
      </c>
      <c r="I91" s="3">
        <v>-151</v>
      </c>
    </row>
    <row r="92" spans="1:9" x14ac:dyDescent="0.3">
      <c r="A92" s="26" t="s">
        <v>88</v>
      </c>
      <c r="B92" s="25">
        <f t="shared" ref="B92:H92" si="14">+SUM(B85:B91)</f>
        <v>0</v>
      </c>
      <c r="C92" s="25">
        <f t="shared" si="14"/>
        <v>0</v>
      </c>
      <c r="D92" s="25">
        <f t="shared" si="14"/>
        <v>0</v>
      </c>
      <c r="E92" s="25">
        <f t="shared" si="14"/>
        <v>0</v>
      </c>
      <c r="F92" s="25">
        <f t="shared" si="14"/>
        <v>0</v>
      </c>
      <c r="G92" s="25">
        <f t="shared" si="14"/>
        <v>0</v>
      </c>
      <c r="H92" s="25">
        <f t="shared" si="14"/>
        <v>-1459</v>
      </c>
      <c r="I92" s="25">
        <f>+SUM(I85:I91)</f>
        <v>-4836</v>
      </c>
    </row>
    <row r="93" spans="1:9" x14ac:dyDescent="0.3">
      <c r="A93" s="2" t="s">
        <v>89</v>
      </c>
      <c r="B93" s="3"/>
      <c r="C93" s="3"/>
      <c r="D93" s="3"/>
      <c r="E93" s="3"/>
      <c r="F93" s="3"/>
      <c r="G93" s="3"/>
      <c r="H93" s="3">
        <v>143</v>
      </c>
      <c r="I93" s="3">
        <v>-143</v>
      </c>
    </row>
    <row r="94" spans="1:9" x14ac:dyDescent="0.3">
      <c r="A94" s="26" t="s">
        <v>90</v>
      </c>
      <c r="B94" s="25">
        <f t="shared" ref="B94:H94" si="15">+B76+B83+B92+B93</f>
        <v>0</v>
      </c>
      <c r="C94" s="25">
        <f t="shared" si="15"/>
        <v>0</v>
      </c>
      <c r="D94" s="25">
        <f t="shared" si="15"/>
        <v>0</v>
      </c>
      <c r="E94" s="25">
        <f t="shared" si="15"/>
        <v>0</v>
      </c>
      <c r="F94" s="25">
        <f t="shared" si="15"/>
        <v>0</v>
      </c>
      <c r="G94" s="25">
        <f t="shared" si="15"/>
        <v>0</v>
      </c>
      <c r="H94" s="25">
        <f t="shared" si="15"/>
        <v>1541</v>
      </c>
      <c r="I94" s="25">
        <f>+I76+I83+I92+I93</f>
        <v>-1315</v>
      </c>
    </row>
    <row r="95" spans="1:9" x14ac:dyDescent="0.3">
      <c r="A95" t="s">
        <v>91</v>
      </c>
      <c r="B95" s="3"/>
      <c r="C95" s="3"/>
      <c r="D95" s="3"/>
      <c r="E95" s="3"/>
      <c r="F95" s="3"/>
      <c r="G95" s="3"/>
      <c r="H95" s="3">
        <v>8348</v>
      </c>
      <c r="I95" s="3">
        <f>+H96</f>
        <v>9889</v>
      </c>
    </row>
    <row r="96" spans="1:9" ht="15" thickBot="1" x14ac:dyDescent="0.35">
      <c r="A96" s="6" t="s">
        <v>92</v>
      </c>
      <c r="B96" s="7"/>
      <c r="C96" s="7"/>
      <c r="D96" s="7"/>
      <c r="E96" s="7"/>
      <c r="F96" s="7"/>
      <c r="G96" s="7"/>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c r="C100" s="3"/>
      <c r="D100" s="3"/>
      <c r="E100" s="3"/>
      <c r="F100" s="3"/>
      <c r="G100" s="3"/>
      <c r="H100" s="3">
        <v>293</v>
      </c>
      <c r="I100" s="3">
        <v>290</v>
      </c>
    </row>
    <row r="101" spans="1:9" x14ac:dyDescent="0.3">
      <c r="A101" s="11" t="s">
        <v>18</v>
      </c>
      <c r="B101" s="3"/>
      <c r="C101" s="3"/>
      <c r="D101" s="3"/>
      <c r="E101" s="3"/>
      <c r="F101" s="3"/>
      <c r="G101" s="3"/>
      <c r="H101" s="3">
        <v>1177</v>
      </c>
      <c r="I101" s="3">
        <v>1231</v>
      </c>
    </row>
    <row r="102" spans="1:9" x14ac:dyDescent="0.3">
      <c r="A102" s="11" t="s">
        <v>95</v>
      </c>
      <c r="B102" s="3"/>
      <c r="C102" s="3"/>
      <c r="D102" s="3"/>
      <c r="E102" s="3"/>
      <c r="F102" s="3"/>
      <c r="G102" s="3"/>
      <c r="H102" s="3">
        <v>179</v>
      </c>
      <c r="I102" s="3">
        <v>160</v>
      </c>
    </row>
    <row r="103" spans="1:9" x14ac:dyDescent="0.3">
      <c r="A103" s="11" t="s">
        <v>96</v>
      </c>
      <c r="B103" s="3"/>
      <c r="C103" s="3"/>
      <c r="D103" s="3"/>
      <c r="E103" s="3"/>
      <c r="F103" s="3"/>
      <c r="G103" s="3"/>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
      <c r="A108" s="11" t="s">
        <v>113</v>
      </c>
      <c r="H108" s="8">
        <v>11644</v>
      </c>
      <c r="I108" s="8">
        <v>12228</v>
      </c>
    </row>
    <row r="109" spans="1:9" x14ac:dyDescent="0.3">
      <c r="A109" s="11" t="s">
        <v>114</v>
      </c>
      <c r="H109" s="8">
        <v>5028</v>
      </c>
      <c r="I109" s="8">
        <v>5492</v>
      </c>
    </row>
    <row r="110" spans="1:9" x14ac:dyDescent="0.3">
      <c r="A110" s="11" t="s">
        <v>115</v>
      </c>
      <c r="H110">
        <v>507</v>
      </c>
      <c r="I110">
        <v>633</v>
      </c>
    </row>
    <row r="111" spans="1:9" x14ac:dyDescent="0.3">
      <c r="A111" s="2" t="s">
        <v>101</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
      <c r="A112" s="11" t="s">
        <v>113</v>
      </c>
      <c r="H112" s="8">
        <v>6970</v>
      </c>
      <c r="I112" s="8">
        <v>7388</v>
      </c>
    </row>
    <row r="113" spans="1:9" x14ac:dyDescent="0.3">
      <c r="A113" s="11" t="s">
        <v>114</v>
      </c>
      <c r="H113" s="8">
        <v>3996</v>
      </c>
      <c r="I113" s="8">
        <v>4527</v>
      </c>
    </row>
    <row r="114" spans="1:9" x14ac:dyDescent="0.3">
      <c r="A114" s="11" t="s">
        <v>115</v>
      </c>
      <c r="H114">
        <v>490</v>
      </c>
      <c r="I114">
        <v>564</v>
      </c>
    </row>
    <row r="115" spans="1:9" x14ac:dyDescent="0.3">
      <c r="A115" s="2" t="s">
        <v>102</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
      <c r="A116" s="11" t="s">
        <v>113</v>
      </c>
      <c r="H116" s="8">
        <v>5748</v>
      </c>
      <c r="I116" s="8">
        <v>5416</v>
      </c>
    </row>
    <row r="117" spans="1:9" x14ac:dyDescent="0.3">
      <c r="A117" s="11" t="s">
        <v>114</v>
      </c>
      <c r="H117" s="8">
        <v>2347</v>
      </c>
      <c r="I117" s="8">
        <v>1938</v>
      </c>
    </row>
    <row r="118" spans="1:9" x14ac:dyDescent="0.3">
      <c r="A118" s="11" t="s">
        <v>115</v>
      </c>
      <c r="H118">
        <v>195</v>
      </c>
      <c r="I118">
        <v>193</v>
      </c>
    </row>
    <row r="119" spans="1:9" x14ac:dyDescent="0.3">
      <c r="A119" s="2" t="s">
        <v>106</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
      <c r="A120" s="11" t="s">
        <v>113</v>
      </c>
      <c r="H120" s="8">
        <v>3659</v>
      </c>
      <c r="I120" s="8">
        <v>4111</v>
      </c>
    </row>
    <row r="121" spans="1:9" x14ac:dyDescent="0.3">
      <c r="A121" s="11" t="s">
        <v>114</v>
      </c>
      <c r="H121" s="8">
        <v>1494</v>
      </c>
      <c r="I121" s="8">
        <v>1610</v>
      </c>
    </row>
    <row r="122" spans="1:9" x14ac:dyDescent="0.3">
      <c r="A122" s="11" t="s">
        <v>115</v>
      </c>
      <c r="H122">
        <v>190</v>
      </c>
      <c r="I122">
        <v>234</v>
      </c>
    </row>
    <row r="123" spans="1:9" x14ac:dyDescent="0.3">
      <c r="A123" s="2" t="s">
        <v>107</v>
      </c>
      <c r="B123" s="3"/>
      <c r="C123" s="3"/>
      <c r="D123" s="3"/>
      <c r="E123" s="3"/>
      <c r="F123" s="3"/>
      <c r="G123" s="3"/>
      <c r="H123" s="3">
        <v>25</v>
      </c>
      <c r="I123" s="3">
        <v>102</v>
      </c>
    </row>
    <row r="124" spans="1:9" x14ac:dyDescent="0.3">
      <c r="A124" s="4" t="s">
        <v>103</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
      <c r="A125" s="2" t="s">
        <v>104</v>
      </c>
      <c r="B125" s="3"/>
      <c r="C125" s="3"/>
      <c r="D125" s="3"/>
      <c r="E125" s="3"/>
      <c r="F125" s="3"/>
      <c r="G125" s="3"/>
      <c r="H125" s="3">
        <f>+SUM(H126:H129)</f>
        <v>2205</v>
      </c>
      <c r="I125" s="3">
        <f>+SUM(I126:I129)</f>
        <v>2346</v>
      </c>
    </row>
    <row r="126" spans="1:9" x14ac:dyDescent="0.3">
      <c r="A126" s="11" t="s">
        <v>113</v>
      </c>
      <c r="B126" s="3"/>
      <c r="C126" s="3"/>
      <c r="D126" s="3"/>
      <c r="E126" s="3"/>
      <c r="F126" s="3"/>
      <c r="G126" s="3"/>
      <c r="H126" s="3">
        <v>1986</v>
      </c>
      <c r="I126" s="3">
        <v>2094</v>
      </c>
    </row>
    <row r="127" spans="1:9" x14ac:dyDescent="0.3">
      <c r="A127" s="11" t="s">
        <v>114</v>
      </c>
      <c r="B127" s="3"/>
      <c r="C127" s="3"/>
      <c r="D127" s="3"/>
      <c r="E127" s="3"/>
      <c r="F127" s="3"/>
      <c r="G127" s="3"/>
      <c r="H127" s="3">
        <v>104</v>
      </c>
      <c r="I127" s="3">
        <v>103</v>
      </c>
    </row>
    <row r="128" spans="1:9" x14ac:dyDescent="0.3">
      <c r="A128" s="11" t="s">
        <v>115</v>
      </c>
      <c r="B128" s="3"/>
      <c r="C128" s="3"/>
      <c r="D128" s="3"/>
      <c r="E128" s="3"/>
      <c r="F128" s="3"/>
      <c r="G128" s="3"/>
      <c r="H128" s="3">
        <v>29</v>
      </c>
      <c r="I128" s="3">
        <v>26</v>
      </c>
    </row>
    <row r="129" spans="1:9" x14ac:dyDescent="0.3">
      <c r="A129" s="11" t="s">
        <v>121</v>
      </c>
      <c r="B129" s="3"/>
      <c r="C129" s="3"/>
      <c r="D129" s="3"/>
      <c r="E129" s="3"/>
      <c r="F129" s="3"/>
      <c r="G129" s="3"/>
      <c r="H129" s="3">
        <v>86</v>
      </c>
      <c r="I129" s="3">
        <v>123</v>
      </c>
    </row>
    <row r="130" spans="1:9" x14ac:dyDescent="0.3">
      <c r="A130" s="2" t="s">
        <v>108</v>
      </c>
      <c r="B130" s="3"/>
      <c r="C130" s="3"/>
      <c r="D130" s="3"/>
      <c r="E130" s="3"/>
      <c r="F130" s="3"/>
      <c r="G130" s="3"/>
      <c r="H130" s="3">
        <v>40</v>
      </c>
      <c r="I130" s="3">
        <v>-72</v>
      </c>
    </row>
    <row r="131" spans="1:9" ht="15" thickBot="1" x14ac:dyDescent="0.35">
      <c r="A131" s="6" t="s">
        <v>105</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
      <c r="A132" s="12" t="s">
        <v>111</v>
      </c>
      <c r="B132" s="13">
        <f>+I131-I2</f>
        <v>0</v>
      </c>
      <c r="C132" s="13">
        <f t="shared" ref="C132:G132" si="41">+C131-C2</f>
        <v>0</v>
      </c>
      <c r="D132" s="13">
        <f t="shared" si="41"/>
        <v>0</v>
      </c>
      <c r="E132" s="13">
        <f t="shared" si="41"/>
        <v>0</v>
      </c>
      <c r="F132" s="13">
        <f t="shared" si="41"/>
        <v>0</v>
      </c>
      <c r="G132" s="13">
        <f t="shared" si="41"/>
        <v>0</v>
      </c>
      <c r="H132" s="13">
        <f>+H131-H2</f>
        <v>0</v>
      </c>
    </row>
    <row r="133" spans="1:9" x14ac:dyDescent="0.3">
      <c r="A133" s="1" t="s">
        <v>110</v>
      </c>
    </row>
    <row r="134" spans="1:9" x14ac:dyDescent="0.3">
      <c r="A134" s="2" t="s">
        <v>100</v>
      </c>
      <c r="B134" s="3"/>
      <c r="C134" s="3"/>
      <c r="D134" s="3"/>
      <c r="E134" s="3"/>
      <c r="F134" s="3"/>
      <c r="G134" s="3"/>
      <c r="H134" s="3">
        <v>5089</v>
      </c>
      <c r="I134" s="3">
        <v>5114</v>
      </c>
    </row>
    <row r="135" spans="1:9" x14ac:dyDescent="0.3">
      <c r="A135" s="2" t="s">
        <v>101</v>
      </c>
      <c r="B135" s="3"/>
      <c r="C135" s="3"/>
      <c r="D135" s="3"/>
      <c r="E135" s="3"/>
      <c r="F135" s="3"/>
      <c r="G135" s="3"/>
      <c r="H135" s="3">
        <v>2435</v>
      </c>
      <c r="I135" s="3">
        <v>3293</v>
      </c>
    </row>
    <row r="136" spans="1:9" x14ac:dyDescent="0.3">
      <c r="A136" s="2" t="s">
        <v>102</v>
      </c>
      <c r="B136" s="3"/>
      <c r="C136" s="3"/>
      <c r="D136" s="3"/>
      <c r="E136" s="3"/>
      <c r="F136" s="3"/>
      <c r="G136" s="3"/>
      <c r="H136" s="3">
        <v>3243</v>
      </c>
      <c r="I136" s="3">
        <v>2365</v>
      </c>
    </row>
    <row r="137" spans="1:9" x14ac:dyDescent="0.3">
      <c r="A137" s="2" t="s">
        <v>106</v>
      </c>
      <c r="B137" s="3"/>
      <c r="C137" s="3"/>
      <c r="D137" s="3"/>
      <c r="E137" s="3"/>
      <c r="F137" s="3"/>
      <c r="G137" s="3"/>
      <c r="H137" s="3">
        <v>1530</v>
      </c>
      <c r="I137" s="3">
        <v>1896</v>
      </c>
    </row>
    <row r="138" spans="1:9" x14ac:dyDescent="0.3">
      <c r="A138" s="2" t="s">
        <v>107</v>
      </c>
      <c r="B138" s="3"/>
      <c r="C138" s="3"/>
      <c r="D138" s="3"/>
      <c r="E138" s="3"/>
      <c r="F138" s="3"/>
      <c r="G138" s="3"/>
      <c r="H138" s="3">
        <v>-3656</v>
      </c>
      <c r="I138" s="3">
        <v>-4262</v>
      </c>
    </row>
    <row r="139" spans="1:9" x14ac:dyDescent="0.3">
      <c r="A139" s="4" t="s">
        <v>103</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
      <c r="A140" s="2" t="s">
        <v>104</v>
      </c>
      <c r="B140" s="3"/>
      <c r="C140" s="3"/>
      <c r="D140" s="3"/>
      <c r="E140" s="3"/>
      <c r="F140" s="3"/>
      <c r="G140" s="3"/>
      <c r="H140" s="3">
        <v>543</v>
      </c>
      <c r="I140" s="3">
        <v>669</v>
      </c>
    </row>
    <row r="141" spans="1:9" x14ac:dyDescent="0.3">
      <c r="A141" s="2" t="s">
        <v>108</v>
      </c>
      <c r="B141" s="3"/>
      <c r="C141" s="3"/>
      <c r="D141" s="3"/>
      <c r="E141" s="3"/>
      <c r="F141" s="3"/>
      <c r="G141" s="3"/>
      <c r="H141" s="3">
        <v>-2261</v>
      </c>
      <c r="I141" s="3">
        <v>-2219</v>
      </c>
    </row>
    <row r="142" spans="1:9" ht="15" thickBot="1" x14ac:dyDescent="0.35">
      <c r="A142" s="6" t="s">
        <v>112</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
      <c r="A143" s="12" t="s">
        <v>111</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
      <c r="A144" s="1" t="s">
        <v>117</v>
      </c>
    </row>
    <row r="145" spans="1:9" x14ac:dyDescent="0.3">
      <c r="A145" s="2" t="s">
        <v>100</v>
      </c>
      <c r="B145" s="3"/>
      <c r="C145" s="3"/>
      <c r="D145" s="3"/>
      <c r="E145" s="3"/>
      <c r="F145" s="3"/>
      <c r="G145" s="3"/>
      <c r="H145" s="3">
        <v>617</v>
      </c>
      <c r="I145" s="3">
        <v>639</v>
      </c>
    </row>
    <row r="146" spans="1:9" x14ac:dyDescent="0.3">
      <c r="A146" s="2" t="s">
        <v>101</v>
      </c>
      <c r="B146" s="3"/>
      <c r="C146" s="3"/>
      <c r="D146" s="3"/>
      <c r="E146" s="3"/>
      <c r="F146" s="3"/>
      <c r="G146" s="3"/>
      <c r="H146" s="3">
        <v>982</v>
      </c>
      <c r="I146" s="3">
        <v>920</v>
      </c>
    </row>
    <row r="147" spans="1:9" x14ac:dyDescent="0.3">
      <c r="A147" s="2" t="s">
        <v>102</v>
      </c>
      <c r="B147" s="3"/>
      <c r="C147" s="3"/>
      <c r="D147" s="3"/>
      <c r="E147" s="3"/>
      <c r="F147" s="3"/>
      <c r="G147" s="3"/>
      <c r="H147" s="3">
        <v>288</v>
      </c>
      <c r="I147" s="3">
        <v>303</v>
      </c>
    </row>
    <row r="148" spans="1:9" x14ac:dyDescent="0.3">
      <c r="A148" s="2" t="s">
        <v>118</v>
      </c>
      <c r="B148" s="3"/>
      <c r="C148" s="3"/>
      <c r="D148" s="3"/>
      <c r="E148" s="3"/>
      <c r="F148" s="3"/>
      <c r="G148" s="3"/>
      <c r="H148" s="3">
        <v>304</v>
      </c>
      <c r="I148" s="3">
        <v>274</v>
      </c>
    </row>
    <row r="149" spans="1:9" x14ac:dyDescent="0.3">
      <c r="A149" s="2" t="s">
        <v>107</v>
      </c>
      <c r="B149" s="3"/>
      <c r="C149" s="3"/>
      <c r="D149" s="3"/>
      <c r="E149" s="3"/>
      <c r="F149" s="3"/>
      <c r="G149" s="3"/>
      <c r="H149" s="3">
        <v>780</v>
      </c>
      <c r="I149" s="3">
        <v>789</v>
      </c>
    </row>
    <row r="150" spans="1:9" x14ac:dyDescent="0.3">
      <c r="A150" s="4" t="s">
        <v>119</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104</v>
      </c>
      <c r="B151" s="3"/>
      <c r="C151" s="3"/>
      <c r="D151" s="3"/>
      <c r="E151" s="3"/>
      <c r="F151" s="3"/>
      <c r="G151" s="3"/>
      <c r="H151" s="3">
        <v>63</v>
      </c>
      <c r="I151" s="3">
        <v>49</v>
      </c>
    </row>
    <row r="152" spans="1:9" x14ac:dyDescent="0.3">
      <c r="A152" s="2" t="s">
        <v>108</v>
      </c>
      <c r="B152" s="3"/>
      <c r="C152" s="3"/>
      <c r="D152" s="3"/>
      <c r="E152" s="3"/>
      <c r="F152" s="3"/>
      <c r="G152" s="3"/>
      <c r="H152" s="3">
        <v>1870</v>
      </c>
      <c r="I152" s="3">
        <v>1817</v>
      </c>
    </row>
    <row r="153" spans="1:9" ht="15" thickBot="1" x14ac:dyDescent="0.35">
      <c r="A153" s="6" t="s">
        <v>120</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111</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122</v>
      </c>
    </row>
    <row r="156" spans="1:9" x14ac:dyDescent="0.3">
      <c r="A156" s="2" t="s">
        <v>100</v>
      </c>
      <c r="B156" s="3"/>
      <c r="C156" s="3"/>
      <c r="D156" s="3"/>
      <c r="E156" s="3"/>
      <c r="F156" s="3"/>
      <c r="G156" s="3"/>
      <c r="H156" s="3">
        <v>98</v>
      </c>
      <c r="I156" s="3">
        <v>146</v>
      </c>
    </row>
    <row r="157" spans="1:9" x14ac:dyDescent="0.3">
      <c r="A157" s="2" t="s">
        <v>101</v>
      </c>
      <c r="B157" s="3"/>
      <c r="C157" s="3"/>
      <c r="D157" s="3"/>
      <c r="E157" s="3"/>
      <c r="F157" s="3"/>
      <c r="G157" s="3"/>
      <c r="H157" s="3">
        <v>153</v>
      </c>
      <c r="I157" s="3">
        <v>197</v>
      </c>
    </row>
    <row r="158" spans="1:9" x14ac:dyDescent="0.3">
      <c r="A158" s="2" t="s">
        <v>102</v>
      </c>
      <c r="B158" s="3"/>
      <c r="C158" s="3"/>
      <c r="D158" s="3"/>
      <c r="E158" s="3"/>
      <c r="F158" s="3"/>
      <c r="G158" s="3"/>
      <c r="H158" s="3">
        <v>94</v>
      </c>
      <c r="I158" s="3">
        <v>78</v>
      </c>
    </row>
    <row r="159" spans="1:9" x14ac:dyDescent="0.3">
      <c r="A159" s="2" t="s">
        <v>118</v>
      </c>
      <c r="B159" s="3"/>
      <c r="C159" s="3"/>
      <c r="D159" s="3"/>
      <c r="E159" s="3"/>
      <c r="F159" s="3"/>
      <c r="G159" s="3"/>
      <c r="H159" s="3">
        <v>54</v>
      </c>
      <c r="I159" s="3">
        <v>56</v>
      </c>
    </row>
    <row r="160" spans="1:9" x14ac:dyDescent="0.3">
      <c r="A160" s="2" t="s">
        <v>107</v>
      </c>
      <c r="B160" s="3"/>
      <c r="C160" s="3"/>
      <c r="D160" s="3"/>
      <c r="E160" s="3"/>
      <c r="F160" s="3"/>
      <c r="G160" s="3"/>
      <c r="H160" s="3">
        <v>278</v>
      </c>
      <c r="I160" s="3">
        <v>222</v>
      </c>
    </row>
    <row r="161" spans="1:9" x14ac:dyDescent="0.3">
      <c r="A161" s="4" t="s">
        <v>119</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
      <c r="A162" s="2" t="s">
        <v>104</v>
      </c>
      <c r="B162" s="3"/>
      <c r="C162" s="3"/>
      <c r="D162" s="3"/>
      <c r="E162" s="3"/>
      <c r="F162" s="3"/>
      <c r="G162" s="3"/>
      <c r="H162" s="3">
        <v>7</v>
      </c>
      <c r="I162" s="3">
        <v>9</v>
      </c>
    </row>
    <row r="163" spans="1:9" x14ac:dyDescent="0.3">
      <c r="A163" s="2" t="s">
        <v>108</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35">
      <c r="A164" s="6" t="s">
        <v>123</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
      <c r="A165" s="12" t="s">
        <v>111</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124</v>
      </c>
    </row>
    <row r="167" spans="1:9" x14ac:dyDescent="0.3">
      <c r="A167" s="2" t="s">
        <v>100</v>
      </c>
      <c r="B167" s="3"/>
      <c r="C167" s="3"/>
      <c r="D167" s="3"/>
      <c r="E167" s="3"/>
      <c r="F167" s="3"/>
      <c r="G167" s="3"/>
      <c r="H167" s="3">
        <v>130</v>
      </c>
      <c r="I167" s="3">
        <v>124</v>
      </c>
    </row>
    <row r="168" spans="1:9" x14ac:dyDescent="0.3">
      <c r="A168" s="2" t="s">
        <v>101</v>
      </c>
      <c r="B168" s="3"/>
      <c r="C168" s="3"/>
      <c r="D168" s="3"/>
      <c r="E168" s="3"/>
      <c r="F168" s="3"/>
      <c r="G168" s="3"/>
      <c r="H168" s="3">
        <v>136</v>
      </c>
      <c r="I168" s="3">
        <v>134</v>
      </c>
    </row>
    <row r="169" spans="1:9" x14ac:dyDescent="0.3">
      <c r="A169" s="2" t="s">
        <v>102</v>
      </c>
      <c r="B169" s="3"/>
      <c r="C169" s="3"/>
      <c r="D169" s="3"/>
      <c r="E169" s="3"/>
      <c r="F169" s="3"/>
      <c r="G169" s="3"/>
      <c r="H169" s="3">
        <v>46</v>
      </c>
      <c r="I169" s="3">
        <v>41</v>
      </c>
    </row>
    <row r="170" spans="1:9" x14ac:dyDescent="0.3">
      <c r="A170" s="2" t="s">
        <v>106</v>
      </c>
      <c r="B170" s="3"/>
      <c r="C170" s="3"/>
      <c r="D170" s="3"/>
      <c r="E170" s="3"/>
      <c r="F170" s="3"/>
      <c r="G170" s="3"/>
      <c r="H170" s="3">
        <v>43</v>
      </c>
      <c r="I170" s="3">
        <v>42</v>
      </c>
    </row>
    <row r="171" spans="1:9" x14ac:dyDescent="0.3">
      <c r="A171" s="2" t="s">
        <v>107</v>
      </c>
      <c r="B171" s="3"/>
      <c r="C171" s="3"/>
      <c r="D171" s="3"/>
      <c r="E171" s="3"/>
      <c r="F171" s="3"/>
      <c r="G171" s="3"/>
      <c r="H171" s="3">
        <v>222</v>
      </c>
      <c r="I171" s="3">
        <v>220</v>
      </c>
    </row>
    <row r="172" spans="1:9" x14ac:dyDescent="0.3">
      <c r="A172" s="4" t="s">
        <v>119</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
      <c r="A173" s="2" t="s">
        <v>104</v>
      </c>
      <c r="B173" s="3"/>
      <c r="C173" s="3"/>
      <c r="D173" s="3"/>
      <c r="E173" s="3"/>
      <c r="F173" s="3"/>
      <c r="G173" s="3"/>
      <c r="H173" s="3">
        <v>26</v>
      </c>
      <c r="I173" s="3">
        <v>22</v>
      </c>
    </row>
    <row r="174" spans="1:9" x14ac:dyDescent="0.3">
      <c r="A174" s="2" t="s">
        <v>108</v>
      </c>
      <c r="B174" s="3"/>
      <c r="C174" s="3"/>
      <c r="D174" s="3"/>
      <c r="E174" s="3"/>
      <c r="F174" s="3"/>
      <c r="G174" s="3"/>
      <c r="H174" s="3">
        <v>141</v>
      </c>
      <c r="I174" s="3">
        <v>134</v>
      </c>
    </row>
    <row r="175" spans="1:9" ht="15" thickBot="1" x14ac:dyDescent="0.35">
      <c r="A175" s="6" t="s">
        <v>125</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c r="C179" s="33"/>
      <c r="D179" s="33"/>
      <c r="E179" s="33"/>
      <c r="F179" s="33"/>
      <c r="G179" s="33"/>
      <c r="H179" s="33"/>
      <c r="I179" s="33">
        <v>7.0000000000000007E-2</v>
      </c>
    </row>
    <row r="180" spans="1:9" x14ac:dyDescent="0.3">
      <c r="A180" s="30" t="s">
        <v>113</v>
      </c>
      <c r="B180" s="29"/>
      <c r="C180" s="29"/>
      <c r="D180" s="29"/>
      <c r="E180" s="29"/>
      <c r="F180" s="29"/>
      <c r="G180" s="29"/>
      <c r="H180" s="29"/>
      <c r="I180" s="29">
        <v>0.05</v>
      </c>
    </row>
    <row r="181" spans="1:9" x14ac:dyDescent="0.3">
      <c r="A181" s="30" t="s">
        <v>114</v>
      </c>
      <c r="B181" s="29"/>
      <c r="C181" s="29"/>
      <c r="D181" s="29"/>
      <c r="E181" s="29"/>
      <c r="F181" s="29"/>
      <c r="G181" s="29"/>
      <c r="H181" s="29"/>
      <c r="I181" s="29">
        <v>0.09</v>
      </c>
    </row>
    <row r="182" spans="1:9" x14ac:dyDescent="0.3">
      <c r="A182" s="30" t="s">
        <v>115</v>
      </c>
      <c r="B182" s="29"/>
      <c r="C182" s="29"/>
      <c r="D182" s="29"/>
      <c r="E182" s="29"/>
      <c r="F182" s="29"/>
      <c r="G182" s="29"/>
      <c r="H182" s="29"/>
      <c r="I182" s="29">
        <v>0.25</v>
      </c>
    </row>
    <row r="183" spans="1:9" x14ac:dyDescent="0.3">
      <c r="A183" s="32" t="s">
        <v>101</v>
      </c>
      <c r="B183" s="33"/>
      <c r="C183" s="33"/>
      <c r="D183" s="33"/>
      <c r="E183" s="33"/>
      <c r="F183" s="33"/>
      <c r="G183" s="33"/>
      <c r="H183" s="33"/>
      <c r="I183" s="33">
        <v>0.12</v>
      </c>
    </row>
    <row r="184" spans="1:9" x14ac:dyDescent="0.3">
      <c r="A184" s="30" t="s">
        <v>113</v>
      </c>
      <c r="B184" s="29"/>
      <c r="C184" s="29"/>
      <c r="D184" s="29"/>
      <c r="E184" s="29"/>
      <c r="F184" s="29"/>
      <c r="G184" s="29"/>
      <c r="H184" s="29"/>
      <c r="I184" s="29">
        <v>0.09</v>
      </c>
    </row>
    <row r="185" spans="1:9" x14ac:dyDescent="0.3">
      <c r="A185" s="30" t="s">
        <v>114</v>
      </c>
      <c r="B185" s="29"/>
      <c r="C185" s="29"/>
      <c r="D185" s="29"/>
      <c r="E185" s="29"/>
      <c r="F185" s="29"/>
      <c r="G185" s="29"/>
      <c r="H185" s="29"/>
      <c r="I185" s="29">
        <v>0.16</v>
      </c>
    </row>
    <row r="186" spans="1:9" x14ac:dyDescent="0.3">
      <c r="A186" s="30" t="s">
        <v>115</v>
      </c>
      <c r="B186" s="29"/>
      <c r="C186" s="29"/>
      <c r="D186" s="29"/>
      <c r="E186" s="29"/>
      <c r="F186" s="29"/>
      <c r="G186" s="29"/>
      <c r="H186" s="29"/>
      <c r="I186" s="29">
        <v>0.17</v>
      </c>
    </row>
    <row r="187" spans="1:9" x14ac:dyDescent="0.3">
      <c r="A187" s="32" t="s">
        <v>102</v>
      </c>
      <c r="B187" s="33"/>
      <c r="C187" s="33"/>
      <c r="D187" s="33"/>
      <c r="E187" s="33"/>
      <c r="F187" s="33"/>
      <c r="G187" s="33"/>
      <c r="H187" s="33"/>
      <c r="I187" s="33">
        <v>-0.13</v>
      </c>
    </row>
    <row r="188" spans="1:9" x14ac:dyDescent="0.3">
      <c r="A188" s="30" t="s">
        <v>113</v>
      </c>
      <c r="B188" s="29"/>
      <c r="C188" s="29"/>
      <c r="D188" s="29"/>
      <c r="E188" s="29"/>
      <c r="F188" s="29"/>
      <c r="G188" s="29"/>
      <c r="H188" s="29"/>
      <c r="I188" s="29">
        <v>-0.1</v>
      </c>
    </row>
    <row r="189" spans="1:9" x14ac:dyDescent="0.3">
      <c r="A189" s="30" t="s">
        <v>114</v>
      </c>
      <c r="B189" s="29"/>
      <c r="C189" s="29"/>
      <c r="D189" s="29"/>
      <c r="E189" s="29"/>
      <c r="F189" s="29"/>
      <c r="G189" s="29"/>
      <c r="H189" s="29"/>
      <c r="I189" s="29">
        <v>-0.21</v>
      </c>
    </row>
    <row r="190" spans="1:9" x14ac:dyDescent="0.3">
      <c r="A190" s="30" t="s">
        <v>115</v>
      </c>
      <c r="B190" s="29"/>
      <c r="C190" s="29"/>
      <c r="D190" s="29"/>
      <c r="E190" s="29"/>
      <c r="F190" s="29"/>
      <c r="G190" s="29"/>
      <c r="H190" s="29"/>
      <c r="I190" s="29">
        <v>-0.06</v>
      </c>
    </row>
    <row r="191" spans="1:9" x14ac:dyDescent="0.3">
      <c r="A191" s="32" t="s">
        <v>106</v>
      </c>
      <c r="B191" s="33"/>
      <c r="C191" s="33"/>
      <c r="D191" s="33"/>
      <c r="E191" s="33"/>
      <c r="F191" s="33"/>
      <c r="G191" s="33"/>
      <c r="H191" s="33"/>
      <c r="I191" s="33">
        <v>0.16</v>
      </c>
    </row>
    <row r="192" spans="1:9" x14ac:dyDescent="0.3">
      <c r="A192" s="30" t="s">
        <v>113</v>
      </c>
      <c r="B192" s="29"/>
      <c r="C192" s="29"/>
      <c r="D192" s="29"/>
      <c r="E192" s="29"/>
      <c r="F192" s="29"/>
      <c r="G192" s="29"/>
      <c r="H192" s="29"/>
      <c r="I192" s="29">
        <v>0.17</v>
      </c>
    </row>
    <row r="193" spans="1:9" x14ac:dyDescent="0.3">
      <c r="A193" s="30" t="s">
        <v>114</v>
      </c>
      <c r="B193" s="29"/>
      <c r="C193" s="29"/>
      <c r="D193" s="29"/>
      <c r="E193" s="29"/>
      <c r="F193" s="29"/>
      <c r="G193" s="29"/>
      <c r="H193" s="29"/>
      <c r="I193" s="29">
        <v>0.12</v>
      </c>
    </row>
    <row r="194" spans="1:9" x14ac:dyDescent="0.3">
      <c r="A194" s="30" t="s">
        <v>115</v>
      </c>
      <c r="B194" s="29"/>
      <c r="C194" s="29"/>
      <c r="D194" s="29"/>
      <c r="E194" s="29"/>
      <c r="F194" s="29"/>
      <c r="G194" s="29"/>
      <c r="H194" s="29"/>
      <c r="I194" s="29">
        <v>0.28000000000000003</v>
      </c>
    </row>
    <row r="195" spans="1:9" x14ac:dyDescent="0.3">
      <c r="A195" s="32" t="s">
        <v>107</v>
      </c>
      <c r="B195" s="33"/>
      <c r="C195" s="33"/>
      <c r="D195" s="33"/>
      <c r="E195" s="33"/>
      <c r="F195" s="33"/>
      <c r="G195" s="33"/>
      <c r="H195" s="33"/>
      <c r="I195" s="33">
        <v>3.02</v>
      </c>
    </row>
    <row r="196" spans="1:9" x14ac:dyDescent="0.3">
      <c r="A196" s="34" t="s">
        <v>103</v>
      </c>
      <c r="B196" s="36"/>
      <c r="C196" s="36"/>
      <c r="D196" s="36"/>
      <c r="E196" s="36"/>
      <c r="F196" s="36"/>
      <c r="G196" s="36"/>
      <c r="H196" s="36"/>
      <c r="I196" s="36">
        <v>0.06</v>
      </c>
    </row>
    <row r="197" spans="1:9" x14ac:dyDescent="0.3">
      <c r="A197" s="32" t="s">
        <v>104</v>
      </c>
      <c r="B197" s="33"/>
      <c r="C197" s="33"/>
      <c r="D197" s="33"/>
      <c r="E197" s="33"/>
      <c r="F197" s="33"/>
      <c r="G197" s="33"/>
      <c r="H197" s="33"/>
      <c r="I197" s="33">
        <v>7.0000000000000007E-2</v>
      </c>
    </row>
    <row r="198" spans="1:9" x14ac:dyDescent="0.3">
      <c r="A198" s="30" t="s">
        <v>113</v>
      </c>
      <c r="B198" s="29"/>
      <c r="C198" s="29"/>
      <c r="D198" s="29"/>
      <c r="E198" s="29"/>
      <c r="F198" s="29"/>
      <c r="G198" s="29"/>
      <c r="H198" s="29"/>
      <c r="I198" s="29">
        <v>0.06</v>
      </c>
    </row>
    <row r="199" spans="1:9" x14ac:dyDescent="0.3">
      <c r="A199" s="30" t="s">
        <v>114</v>
      </c>
      <c r="B199" s="29"/>
      <c r="C199" s="29"/>
      <c r="D199" s="29"/>
      <c r="E199" s="29"/>
      <c r="F199" s="29"/>
      <c r="G199" s="29"/>
      <c r="H199" s="29"/>
      <c r="I199" s="29">
        <v>-0.03</v>
      </c>
    </row>
    <row r="200" spans="1:9" x14ac:dyDescent="0.3">
      <c r="A200" s="30" t="s">
        <v>115</v>
      </c>
      <c r="B200" s="29"/>
      <c r="C200" s="29"/>
      <c r="D200" s="29"/>
      <c r="E200" s="29"/>
      <c r="F200" s="29"/>
      <c r="G200" s="29"/>
      <c r="H200" s="29"/>
      <c r="I200" s="29">
        <v>-0.16</v>
      </c>
    </row>
    <row r="201" spans="1:9" x14ac:dyDescent="0.3">
      <c r="A201" s="30" t="s">
        <v>121</v>
      </c>
      <c r="B201" s="29"/>
      <c r="C201" s="29"/>
      <c r="D201" s="29"/>
      <c r="E201" s="29"/>
      <c r="F201" s="29"/>
      <c r="G201" s="29"/>
      <c r="H201" s="29"/>
      <c r="I201" s="29">
        <v>0.42</v>
      </c>
    </row>
    <row r="202" spans="1:9" x14ac:dyDescent="0.3">
      <c r="A202" s="28" t="s">
        <v>108</v>
      </c>
      <c r="B202" s="29"/>
      <c r="C202" s="29"/>
      <c r="D202" s="29"/>
      <c r="E202" s="29"/>
      <c r="F202" s="29"/>
      <c r="G202" s="29"/>
      <c r="H202" s="29"/>
      <c r="I202" s="29">
        <v>0</v>
      </c>
    </row>
    <row r="203" spans="1:9" ht="15" thickBot="1" x14ac:dyDescent="0.35">
      <c r="A203" s="31" t="s">
        <v>105</v>
      </c>
      <c r="B203" s="35"/>
      <c r="C203" s="35"/>
      <c r="D203" s="35"/>
      <c r="E203" s="35"/>
      <c r="F203" s="35"/>
      <c r="G203" s="35"/>
      <c r="H203" s="35"/>
      <c r="I203" s="35">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workbookViewId="0"/>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c r="C3" s="3"/>
      <c r="D3" s="3"/>
      <c r="E3" s="3"/>
      <c r="F3" s="3"/>
      <c r="G3" s="3"/>
      <c r="H3" s="3"/>
      <c r="I3" s="3"/>
      <c r="J3" s="3"/>
      <c r="K3" s="3"/>
      <c r="L3" s="3"/>
      <c r="M3" s="3"/>
      <c r="N3" s="3"/>
      <c r="O3" t="s">
        <v>142</v>
      </c>
    </row>
    <row r="4" spans="1:15" x14ac:dyDescent="0.3">
      <c r="A4" s="40" t="s">
        <v>129</v>
      </c>
      <c r="B4" s="45" t="str">
        <f t="shared" ref="B4:H4" si="2">+IFERROR(B3/A3-1,"nm")</f>
        <v>nm</v>
      </c>
      <c r="C4" s="45" t="str">
        <f t="shared" si="2"/>
        <v>nm</v>
      </c>
      <c r="D4" s="45" t="str">
        <f t="shared" si="2"/>
        <v>nm</v>
      </c>
      <c r="E4" s="45" t="str">
        <f t="shared" si="2"/>
        <v>nm</v>
      </c>
      <c r="F4" s="45" t="str">
        <f t="shared" si="2"/>
        <v>nm</v>
      </c>
      <c r="G4" s="45" t="str">
        <f t="shared" si="2"/>
        <v>nm</v>
      </c>
      <c r="H4" s="45" t="str">
        <f t="shared" si="2"/>
        <v>nm</v>
      </c>
      <c r="I4" s="45" t="str">
        <f>+IFERROR(I3/H3-1,"nm")</f>
        <v>nm</v>
      </c>
      <c r="J4" s="45" t="str">
        <f t="shared" ref="J4:N4" si="3">+IFERROR(J3/I3-1,"nm")</f>
        <v>nm</v>
      </c>
      <c r="K4" s="45" t="str">
        <f t="shared" si="3"/>
        <v>nm</v>
      </c>
      <c r="L4" s="45" t="str">
        <f t="shared" si="3"/>
        <v>nm</v>
      </c>
      <c r="M4" s="45" t="str">
        <f t="shared" si="3"/>
        <v>nm</v>
      </c>
      <c r="N4" s="45" t="str">
        <f t="shared" si="3"/>
        <v>nm</v>
      </c>
    </row>
    <row r="5" spans="1:15" x14ac:dyDescent="0.3">
      <c r="A5" s="39" t="s">
        <v>130</v>
      </c>
      <c r="O5" t="s">
        <v>143</v>
      </c>
    </row>
    <row r="6" spans="1:15" x14ac:dyDescent="0.3">
      <c r="A6" s="40" t="s">
        <v>129</v>
      </c>
      <c r="B6" s="45" t="str">
        <f t="shared" ref="B6:H6" si="4">+IFERROR(B5/A5-1,"nm")</f>
        <v>nm</v>
      </c>
      <c r="C6" s="45" t="str">
        <f t="shared" si="4"/>
        <v>nm</v>
      </c>
      <c r="D6" s="45" t="str">
        <f t="shared" si="4"/>
        <v>nm</v>
      </c>
      <c r="E6" s="45" t="str">
        <f t="shared" si="4"/>
        <v>nm</v>
      </c>
      <c r="F6" s="45" t="str">
        <f t="shared" si="4"/>
        <v>nm</v>
      </c>
      <c r="G6" s="45" t="str">
        <f t="shared" si="4"/>
        <v>nm</v>
      </c>
      <c r="H6" s="45" t="str">
        <f t="shared" si="4"/>
        <v>nm</v>
      </c>
      <c r="I6" s="45" t="str">
        <f>+IFERROR(I5/H5-1,"nm")</f>
        <v>nm</v>
      </c>
      <c r="J6" s="45" t="str">
        <f t="shared" ref="J6:N6" si="5">+IFERROR(J5/I5-1,"nm")</f>
        <v>nm</v>
      </c>
      <c r="K6" s="45" t="str">
        <f t="shared" si="5"/>
        <v>nm</v>
      </c>
      <c r="L6" s="45" t="str">
        <f t="shared" si="5"/>
        <v>nm</v>
      </c>
      <c r="M6" s="45" t="str">
        <f t="shared" si="5"/>
        <v>nm</v>
      </c>
      <c r="N6" s="45" t="str">
        <f t="shared" si="5"/>
        <v>nm</v>
      </c>
    </row>
    <row r="7" spans="1:15" x14ac:dyDescent="0.3">
      <c r="A7" s="40" t="s">
        <v>131</v>
      </c>
      <c r="B7" s="45" t="str">
        <f>+IFERROR(B5/B$3,"nm")</f>
        <v>nm</v>
      </c>
      <c r="C7" s="45" t="str">
        <f t="shared" ref="C7:I7" si="6">+IFERROR(C5/C$3,"nm")</f>
        <v>nm</v>
      </c>
      <c r="D7" s="45" t="str">
        <f t="shared" si="6"/>
        <v>nm</v>
      </c>
      <c r="E7" s="45" t="str">
        <f t="shared" si="6"/>
        <v>nm</v>
      </c>
      <c r="F7" s="45" t="str">
        <f t="shared" si="6"/>
        <v>nm</v>
      </c>
      <c r="G7" s="45" t="str">
        <f t="shared" si="6"/>
        <v>nm</v>
      </c>
      <c r="H7" s="45" t="str">
        <f t="shared" si="6"/>
        <v>nm</v>
      </c>
      <c r="I7" s="45" t="str">
        <f t="shared" si="6"/>
        <v>nm</v>
      </c>
      <c r="J7" s="45" t="str">
        <f t="shared" ref="J7:N7" si="7">+IFERROR(J5/J$3,"nm")</f>
        <v>nm</v>
      </c>
      <c r="K7" s="45" t="str">
        <f t="shared" si="7"/>
        <v>nm</v>
      </c>
      <c r="L7" s="45" t="str">
        <f t="shared" si="7"/>
        <v>nm</v>
      </c>
      <c r="M7" s="45" t="str">
        <f t="shared" si="7"/>
        <v>nm</v>
      </c>
      <c r="N7" s="45" t="str">
        <f t="shared" si="7"/>
        <v>nm</v>
      </c>
    </row>
    <row r="8" spans="1:15" x14ac:dyDescent="0.3">
      <c r="A8" s="39" t="s">
        <v>132</v>
      </c>
      <c r="O8" t="s">
        <v>144</v>
      </c>
    </row>
    <row r="9" spans="1:15" x14ac:dyDescent="0.3">
      <c r="A9" s="40" t="s">
        <v>129</v>
      </c>
      <c r="B9" s="45" t="str">
        <f t="shared" ref="B9:H9" si="8">+IFERROR(B8/A8-1,"nm")</f>
        <v>nm</v>
      </c>
      <c r="C9" s="45" t="str">
        <f t="shared" si="8"/>
        <v>nm</v>
      </c>
      <c r="D9" s="45" t="str">
        <f t="shared" si="8"/>
        <v>nm</v>
      </c>
      <c r="E9" s="45" t="str">
        <f t="shared" si="8"/>
        <v>nm</v>
      </c>
      <c r="F9" s="45" t="str">
        <f t="shared" si="8"/>
        <v>nm</v>
      </c>
      <c r="G9" s="45" t="str">
        <f t="shared" si="8"/>
        <v>nm</v>
      </c>
      <c r="H9" s="45" t="str">
        <f t="shared" si="8"/>
        <v>nm</v>
      </c>
      <c r="I9" s="45" t="str">
        <f>+IFERROR(I8/H8-1,"nm")</f>
        <v>nm</v>
      </c>
      <c r="J9" s="45" t="str">
        <f t="shared" ref="J9:N9" si="9">+IFERROR(J8/I8-1,"nm")</f>
        <v>nm</v>
      </c>
      <c r="K9" s="45" t="str">
        <f t="shared" si="9"/>
        <v>nm</v>
      </c>
      <c r="L9" s="45" t="str">
        <f t="shared" si="9"/>
        <v>nm</v>
      </c>
      <c r="M9" s="45" t="str">
        <f t="shared" si="9"/>
        <v>nm</v>
      </c>
      <c r="N9" s="45" t="str">
        <f t="shared" si="9"/>
        <v>nm</v>
      </c>
    </row>
    <row r="10" spans="1:15" x14ac:dyDescent="0.3">
      <c r="A10" s="40" t="s">
        <v>133</v>
      </c>
      <c r="B10" s="45" t="str">
        <f>+IFERROR(B8/B$3,"nm")</f>
        <v>nm</v>
      </c>
      <c r="C10" s="45" t="str">
        <f t="shared" ref="C10:I10" si="10">+IFERROR(C8/C$3,"nm")</f>
        <v>nm</v>
      </c>
      <c r="D10" s="45" t="str">
        <f t="shared" si="10"/>
        <v>nm</v>
      </c>
      <c r="E10" s="45" t="str">
        <f t="shared" si="10"/>
        <v>nm</v>
      </c>
      <c r="F10" s="45" t="str">
        <f t="shared" si="10"/>
        <v>nm</v>
      </c>
      <c r="G10" s="45" t="str">
        <f t="shared" si="10"/>
        <v>nm</v>
      </c>
      <c r="H10" s="45" t="str">
        <f t="shared" si="10"/>
        <v>nm</v>
      </c>
      <c r="I10" s="45" t="str">
        <f t="shared" si="10"/>
        <v>nm</v>
      </c>
      <c r="J10" s="45" t="str">
        <f t="shared" ref="J10:N10" si="11">+IFERROR(J8/J$3,"nm")</f>
        <v>nm</v>
      </c>
      <c r="K10" s="45" t="str">
        <f t="shared" si="11"/>
        <v>nm</v>
      </c>
      <c r="L10" s="45" t="str">
        <f t="shared" si="11"/>
        <v>nm</v>
      </c>
      <c r="M10" s="45" t="str">
        <f t="shared" si="11"/>
        <v>nm</v>
      </c>
      <c r="N10" s="45" t="str">
        <f t="shared" si="11"/>
        <v>nm</v>
      </c>
    </row>
    <row r="11" spans="1:15" x14ac:dyDescent="0.3">
      <c r="A11" s="39" t="s">
        <v>134</v>
      </c>
      <c r="O11" t="s">
        <v>145</v>
      </c>
    </row>
    <row r="12" spans="1:15" x14ac:dyDescent="0.3">
      <c r="A12" s="40" t="s">
        <v>129</v>
      </c>
      <c r="B12" s="45" t="str">
        <f t="shared" ref="B12:H12" si="12">+IFERROR(B11/A11-1,"nm")</f>
        <v>nm</v>
      </c>
      <c r="C12" s="45" t="str">
        <f t="shared" si="12"/>
        <v>nm</v>
      </c>
      <c r="D12" s="45" t="str">
        <f t="shared" si="12"/>
        <v>nm</v>
      </c>
      <c r="E12" s="45" t="str">
        <f t="shared" si="12"/>
        <v>nm</v>
      </c>
      <c r="F12" s="45" t="str">
        <f t="shared" si="12"/>
        <v>nm</v>
      </c>
      <c r="G12" s="45" t="str">
        <f t="shared" si="12"/>
        <v>nm</v>
      </c>
      <c r="H12" s="45" t="str">
        <f t="shared" si="12"/>
        <v>nm</v>
      </c>
      <c r="I12" s="45" t="str">
        <f>+IFERROR(I11/H11-1,"nm")</f>
        <v>nm</v>
      </c>
      <c r="J12" s="45" t="str">
        <f t="shared" ref="J12:N12" si="13">+IFERROR(J11/I11-1,"nm")</f>
        <v>nm</v>
      </c>
      <c r="K12" s="45" t="str">
        <f t="shared" si="13"/>
        <v>nm</v>
      </c>
      <c r="L12" s="45" t="str">
        <f t="shared" si="13"/>
        <v>nm</v>
      </c>
      <c r="M12" s="45" t="str">
        <f t="shared" si="13"/>
        <v>nm</v>
      </c>
      <c r="N12" s="45" t="str">
        <f t="shared" si="13"/>
        <v>nm</v>
      </c>
    </row>
    <row r="13" spans="1:15" x14ac:dyDescent="0.3">
      <c r="A13" s="40" t="s">
        <v>131</v>
      </c>
      <c r="B13" s="45" t="str">
        <f>+IFERROR(B11/B$3,"nm")</f>
        <v>nm</v>
      </c>
      <c r="C13" s="45" t="str">
        <f t="shared" ref="C13:I13" si="14">+IFERROR(C11/C$3,"nm")</f>
        <v>nm</v>
      </c>
      <c r="D13" s="45" t="str">
        <f t="shared" si="14"/>
        <v>nm</v>
      </c>
      <c r="E13" s="45" t="str">
        <f t="shared" si="14"/>
        <v>nm</v>
      </c>
      <c r="F13" s="45" t="str">
        <f t="shared" si="14"/>
        <v>nm</v>
      </c>
      <c r="G13" s="45" t="str">
        <f t="shared" si="14"/>
        <v>nm</v>
      </c>
      <c r="H13" s="45" t="str">
        <f t="shared" si="14"/>
        <v>nm</v>
      </c>
      <c r="I13" s="45" t="str">
        <f t="shared" si="14"/>
        <v>nm</v>
      </c>
      <c r="J13" s="45" t="str">
        <f t="shared" ref="J13:N13" si="15">+IFERROR(J11/J$3,"nm")</f>
        <v>nm</v>
      </c>
      <c r="K13" s="45" t="str">
        <f t="shared" si="15"/>
        <v>nm</v>
      </c>
      <c r="L13" s="45" t="str">
        <f t="shared" si="15"/>
        <v>nm</v>
      </c>
      <c r="M13" s="45" t="str">
        <f t="shared" si="15"/>
        <v>nm</v>
      </c>
      <c r="N13" s="45" t="str">
        <f t="shared" si="15"/>
        <v>nm</v>
      </c>
    </row>
    <row r="14" spans="1:15" x14ac:dyDescent="0.3">
      <c r="A14" s="39" t="s">
        <v>135</v>
      </c>
      <c r="O14" t="s">
        <v>146</v>
      </c>
    </row>
    <row r="15" spans="1:15" x14ac:dyDescent="0.3">
      <c r="A15" s="40" t="s">
        <v>129</v>
      </c>
      <c r="B15" s="45" t="str">
        <f t="shared" ref="B15:H15" si="16">+IFERROR(B14/A14-1,"nm")</f>
        <v>nm</v>
      </c>
      <c r="C15" s="45" t="str">
        <f t="shared" si="16"/>
        <v>nm</v>
      </c>
      <c r="D15" s="45" t="str">
        <f t="shared" si="16"/>
        <v>nm</v>
      </c>
      <c r="E15" s="45" t="str">
        <f t="shared" si="16"/>
        <v>nm</v>
      </c>
      <c r="F15" s="45" t="str">
        <f t="shared" si="16"/>
        <v>nm</v>
      </c>
      <c r="G15" s="45" t="str">
        <f t="shared" si="16"/>
        <v>nm</v>
      </c>
      <c r="H15" s="45" t="str">
        <f t="shared" si="16"/>
        <v>nm</v>
      </c>
      <c r="I15" s="45" t="str">
        <f>+IFERROR(I14/H14-1,"nm")</f>
        <v>nm</v>
      </c>
      <c r="J15" s="45" t="str">
        <f t="shared" ref="J15:N15" si="17">+IFERROR(J14/I14-1,"nm")</f>
        <v>nm</v>
      </c>
      <c r="K15" s="45" t="str">
        <f t="shared" si="17"/>
        <v>nm</v>
      </c>
      <c r="L15" s="45" t="str">
        <f t="shared" si="17"/>
        <v>nm</v>
      </c>
      <c r="M15" s="45" t="str">
        <f t="shared" si="17"/>
        <v>nm</v>
      </c>
      <c r="N15" s="45" t="str">
        <f t="shared" si="17"/>
        <v>nm</v>
      </c>
    </row>
    <row r="16" spans="1:15" x14ac:dyDescent="0.3">
      <c r="A16" s="40" t="s">
        <v>133</v>
      </c>
      <c r="B16" s="45" t="str">
        <f>+IFERROR(B14/B$3,"nm")</f>
        <v>nm</v>
      </c>
      <c r="C16" s="45" t="str">
        <f t="shared" ref="C16:I16" si="18">+IFERROR(C14/C$3,"nm")</f>
        <v>nm</v>
      </c>
      <c r="D16" s="45" t="str">
        <f t="shared" si="18"/>
        <v>nm</v>
      </c>
      <c r="E16" s="45" t="str">
        <f t="shared" si="18"/>
        <v>nm</v>
      </c>
      <c r="F16" s="45" t="str">
        <f t="shared" si="18"/>
        <v>nm</v>
      </c>
      <c r="G16" s="45" t="str">
        <f t="shared" si="18"/>
        <v>nm</v>
      </c>
      <c r="H16" s="45" t="str">
        <f t="shared" si="18"/>
        <v>nm</v>
      </c>
      <c r="I16" s="45" t="str">
        <f t="shared" si="18"/>
        <v>nm</v>
      </c>
      <c r="J16" s="45" t="str">
        <f t="shared" ref="J16:N16" si="19">+IFERROR(J14/J$3,"nm")</f>
        <v>nm</v>
      </c>
      <c r="K16" s="45" t="str">
        <f t="shared" si="19"/>
        <v>nm</v>
      </c>
      <c r="L16" s="45" t="str">
        <f t="shared" si="19"/>
        <v>nm</v>
      </c>
      <c r="M16" s="45" t="str">
        <f t="shared" si="19"/>
        <v>nm</v>
      </c>
      <c r="N16" s="45" t="str">
        <f t="shared" si="19"/>
        <v>nm</v>
      </c>
    </row>
    <row r="17" spans="1:15" x14ac:dyDescent="0.3">
      <c r="A17" s="9" t="s">
        <v>141</v>
      </c>
      <c r="O17" t="s">
        <v>147</v>
      </c>
    </row>
    <row r="18" spans="1:15" x14ac:dyDescent="0.3">
      <c r="A18" s="40" t="s">
        <v>129</v>
      </c>
      <c r="B18" s="45" t="str">
        <f t="shared" ref="B18:H18" si="20">+IFERROR(B17/A17-1,"nm")</f>
        <v>nm</v>
      </c>
      <c r="C18" s="45" t="str">
        <f t="shared" si="20"/>
        <v>nm</v>
      </c>
      <c r="D18" s="45" t="str">
        <f t="shared" si="20"/>
        <v>nm</v>
      </c>
      <c r="E18" s="45" t="str">
        <f t="shared" si="20"/>
        <v>nm</v>
      </c>
      <c r="F18" s="45" t="str">
        <f t="shared" si="20"/>
        <v>nm</v>
      </c>
      <c r="G18" s="45" t="str">
        <f t="shared" si="20"/>
        <v>nm</v>
      </c>
      <c r="H18" s="45" t="str">
        <f t="shared" si="20"/>
        <v>nm</v>
      </c>
      <c r="I18" s="45" t="str">
        <f>+IFERROR(I17/H17-1,"nm")</f>
        <v>nm</v>
      </c>
      <c r="J18" s="45" t="str">
        <f t="shared" ref="J18:N18" si="21">+IFERROR(J17/I17-1,"nm")</f>
        <v>nm</v>
      </c>
      <c r="K18" s="45" t="str">
        <f t="shared" si="21"/>
        <v>nm</v>
      </c>
      <c r="L18" s="45" t="str">
        <f t="shared" si="21"/>
        <v>nm</v>
      </c>
      <c r="M18" s="45" t="str">
        <f t="shared" si="21"/>
        <v>nm</v>
      </c>
      <c r="N18" s="45" t="str">
        <f t="shared" si="21"/>
        <v>nm</v>
      </c>
    </row>
    <row r="19" spans="1:15" x14ac:dyDescent="0.3">
      <c r="A19" s="40" t="s">
        <v>133</v>
      </c>
      <c r="B19" s="45" t="str">
        <f>+IFERROR(B17/B$3,"nm")</f>
        <v>nm</v>
      </c>
      <c r="C19" s="45" t="str">
        <f t="shared" ref="C19:I19" si="22">+IFERROR(C17/C$3,"nm")</f>
        <v>nm</v>
      </c>
      <c r="D19" s="45" t="str">
        <f t="shared" si="22"/>
        <v>nm</v>
      </c>
      <c r="E19" s="45" t="str">
        <f t="shared" si="22"/>
        <v>nm</v>
      </c>
      <c r="F19" s="45" t="str">
        <f t="shared" si="22"/>
        <v>nm</v>
      </c>
      <c r="G19" s="45" t="str">
        <f t="shared" si="22"/>
        <v>nm</v>
      </c>
      <c r="H19" s="45" t="str">
        <f t="shared" si="22"/>
        <v>nm</v>
      </c>
      <c r="I19" s="45" t="str">
        <f t="shared" si="22"/>
        <v>nm</v>
      </c>
      <c r="J19" s="45" t="str">
        <f t="shared" ref="J19:N19" si="23">+IFERROR(J17/J$3,"nm")</f>
        <v>nm</v>
      </c>
      <c r="K19" s="45" t="str">
        <f t="shared" si="23"/>
        <v>nm</v>
      </c>
      <c r="L19" s="45" t="str">
        <f t="shared" si="23"/>
        <v>nm</v>
      </c>
      <c r="M19" s="45" t="str">
        <f t="shared" si="23"/>
        <v>nm</v>
      </c>
      <c r="N19" s="45" t="str">
        <f t="shared" si="23"/>
        <v>nm</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f>+Historicals!B107</f>
        <v>0</v>
      </c>
      <c r="C21" s="9">
        <f>+Historicals!C107</f>
        <v>0</v>
      </c>
      <c r="D21" s="9">
        <f>+Historicals!D107</f>
        <v>0</v>
      </c>
      <c r="E21" s="9">
        <f>+Historicals!E107</f>
        <v>0</v>
      </c>
      <c r="F21" s="9">
        <f>+Historicals!F107</f>
        <v>0</v>
      </c>
      <c r="G21" s="9">
        <f>+Historicals!G107</f>
        <v>0</v>
      </c>
      <c r="H21" s="9">
        <f>+Historicals!H107</f>
        <v>17179</v>
      </c>
      <c r="I21" s="9">
        <f>+Historicals!I107</f>
        <v>18353</v>
      </c>
      <c r="J21" s="9">
        <f>+SUM(J23+J27+J31)</f>
        <v>18353</v>
      </c>
      <c r="K21" s="9">
        <f t="shared" ref="K21:N21" si="24">+SUM(K23+K27+K31)</f>
        <v>18353</v>
      </c>
      <c r="L21" s="9">
        <f t="shared" si="24"/>
        <v>18353</v>
      </c>
      <c r="M21" s="9">
        <f t="shared" si="24"/>
        <v>18353</v>
      </c>
      <c r="N21" s="9">
        <f t="shared" si="24"/>
        <v>18353</v>
      </c>
    </row>
    <row r="22" spans="1:15" x14ac:dyDescent="0.3">
      <c r="A22" s="42" t="s">
        <v>129</v>
      </c>
      <c r="B22" s="45" t="str">
        <f t="shared" ref="B22:H22" si="25">+IFERROR(B21/A21-1,"nm")</f>
        <v>nm</v>
      </c>
      <c r="C22" s="45" t="str">
        <f t="shared" si="25"/>
        <v>nm</v>
      </c>
      <c r="D22" s="45" t="str">
        <f t="shared" si="25"/>
        <v>nm</v>
      </c>
      <c r="E22" s="45" t="str">
        <f t="shared" si="25"/>
        <v>nm</v>
      </c>
      <c r="F22" s="45" t="str">
        <f t="shared" si="25"/>
        <v>nm</v>
      </c>
      <c r="G22" s="45" t="str">
        <f t="shared" si="25"/>
        <v>nm</v>
      </c>
      <c r="H22" s="45" t="str">
        <f t="shared" si="25"/>
        <v>nm</v>
      </c>
      <c r="I22" s="45">
        <f>+IFERROR(I21/H21-1,"nm")</f>
        <v>6.8339251411607238E-2</v>
      </c>
      <c r="J22" s="45">
        <f t="shared" ref="J22:N22" si="26">+IFERROR(J21/I21-1,"nm")</f>
        <v>0</v>
      </c>
      <c r="K22" s="45">
        <f t="shared" si="26"/>
        <v>0</v>
      </c>
      <c r="L22" s="45">
        <f t="shared" si="26"/>
        <v>0</v>
      </c>
      <c r="M22" s="45">
        <f t="shared" si="26"/>
        <v>0</v>
      </c>
      <c r="N22" s="45">
        <f t="shared" si="26"/>
        <v>0</v>
      </c>
    </row>
    <row r="23" spans="1:15" x14ac:dyDescent="0.3">
      <c r="A23" s="43" t="s">
        <v>113</v>
      </c>
      <c r="B23" s="3">
        <f>+Historicals!B108</f>
        <v>0</v>
      </c>
      <c r="C23" s="3">
        <f>+Historicals!C108</f>
        <v>0</v>
      </c>
      <c r="D23" s="3">
        <f>+Historicals!D108</f>
        <v>0</v>
      </c>
      <c r="E23" s="3">
        <f>+Historicals!E108</f>
        <v>0</v>
      </c>
      <c r="F23" s="3">
        <f>+Historicals!F108</f>
        <v>0</v>
      </c>
      <c r="G23" s="3">
        <f>+Historicals!G108</f>
        <v>0</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3">
      <c r="A24" s="42" t="s">
        <v>129</v>
      </c>
      <c r="B24" s="45" t="str">
        <f t="shared" ref="B24" si="28">+IFERROR(B23/A23-1,"nm")</f>
        <v>nm</v>
      </c>
      <c r="C24" s="45" t="str">
        <f t="shared" ref="C24" si="29">+IFERROR(C23/B23-1,"nm")</f>
        <v>nm</v>
      </c>
      <c r="D24" s="45" t="str">
        <f t="shared" ref="D24" si="30">+IFERROR(D23/C23-1,"nm")</f>
        <v>nm</v>
      </c>
      <c r="E24" s="45" t="str">
        <f t="shared" ref="E24" si="31">+IFERROR(E23/D23-1,"nm")</f>
        <v>nm</v>
      </c>
      <c r="F24" s="45" t="str">
        <f t="shared" ref="F24" si="32">+IFERROR(F23/E23-1,"nm")</f>
        <v>nm</v>
      </c>
      <c r="G24" s="45" t="str">
        <f t="shared" ref="G24" si="33">+IFERROR(G23/F23-1,"nm")</f>
        <v>nm</v>
      </c>
      <c r="H24" s="45" t="str">
        <f t="shared" ref="H24" si="34">+IFERROR(H23/G23-1,"nm")</f>
        <v>nm</v>
      </c>
      <c r="I24" s="45">
        <f>+IFERROR(I23/H23-1,"nm")</f>
        <v>5.0154586052902683E-2</v>
      </c>
      <c r="J24" s="45">
        <f>+J25+J26</f>
        <v>0</v>
      </c>
      <c r="K24" s="45">
        <f t="shared" ref="K24:N24" si="35">+K25+K26</f>
        <v>0</v>
      </c>
      <c r="L24" s="45">
        <f t="shared" si="35"/>
        <v>0</v>
      </c>
      <c r="M24" s="45">
        <f t="shared" si="35"/>
        <v>0</v>
      </c>
      <c r="N24" s="45">
        <f t="shared" si="35"/>
        <v>0</v>
      </c>
    </row>
    <row r="25" spans="1:15" x14ac:dyDescent="0.3">
      <c r="A25" s="42" t="s">
        <v>137</v>
      </c>
      <c r="B25" s="45">
        <f>+Historicals!B180</f>
        <v>0</v>
      </c>
      <c r="C25" s="45">
        <f>+Historicals!C180</f>
        <v>0</v>
      </c>
      <c r="D25" s="45">
        <f>+Historicals!D180</f>
        <v>0</v>
      </c>
      <c r="E25" s="45">
        <f>+Historicals!E180</f>
        <v>0</v>
      </c>
      <c r="F25" s="45">
        <f>+Historicals!F180</f>
        <v>0</v>
      </c>
      <c r="G25" s="45">
        <f>+Historicals!G180</f>
        <v>0</v>
      </c>
      <c r="H25" s="45">
        <f>+Historicals!H180</f>
        <v>0</v>
      </c>
      <c r="I25" s="45">
        <f>+Historicals!I180</f>
        <v>0.05</v>
      </c>
      <c r="J25" s="47">
        <v>0</v>
      </c>
      <c r="K25" s="47">
        <f t="shared" ref="K25:N26" si="36">+J25</f>
        <v>0</v>
      </c>
      <c r="L25" s="47">
        <f t="shared" si="36"/>
        <v>0</v>
      </c>
      <c r="M25" s="47">
        <f t="shared" si="36"/>
        <v>0</v>
      </c>
      <c r="N25" s="47">
        <f t="shared" si="36"/>
        <v>0</v>
      </c>
    </row>
    <row r="26" spans="1:15" x14ac:dyDescent="0.3">
      <c r="A26" s="42" t="s">
        <v>138</v>
      </c>
      <c r="B26" s="45" t="str">
        <f t="shared" ref="B26:H26" si="37">+IFERROR(B24-B25,"nm")</f>
        <v>nm</v>
      </c>
      <c r="C26" s="45" t="str">
        <f t="shared" si="37"/>
        <v>nm</v>
      </c>
      <c r="D26" s="45" t="str">
        <f t="shared" si="37"/>
        <v>nm</v>
      </c>
      <c r="E26" s="45" t="str">
        <f t="shared" si="37"/>
        <v>nm</v>
      </c>
      <c r="F26" s="45" t="str">
        <f t="shared" si="37"/>
        <v>nm</v>
      </c>
      <c r="G26" s="45" t="str">
        <f t="shared" si="37"/>
        <v>nm</v>
      </c>
      <c r="H26" s="45" t="str">
        <f t="shared" si="37"/>
        <v>nm</v>
      </c>
      <c r="I26" s="45">
        <f>+IFERROR(I24-I25,"nm")</f>
        <v>1.5458605290268046E-4</v>
      </c>
      <c r="J26" s="47">
        <v>0</v>
      </c>
      <c r="K26" s="47">
        <f t="shared" si="36"/>
        <v>0</v>
      </c>
      <c r="L26" s="47">
        <f t="shared" si="36"/>
        <v>0</v>
      </c>
      <c r="M26" s="47">
        <f t="shared" si="36"/>
        <v>0</v>
      </c>
      <c r="N26" s="47">
        <f t="shared" si="36"/>
        <v>0</v>
      </c>
    </row>
    <row r="27" spans="1:15" x14ac:dyDescent="0.3">
      <c r="A27" s="43" t="s">
        <v>114</v>
      </c>
      <c r="B27" s="3">
        <f>+Historicals!B109</f>
        <v>0</v>
      </c>
      <c r="C27" s="3">
        <f>+Historicals!C109</f>
        <v>0</v>
      </c>
      <c r="D27" s="3">
        <f>+Historicals!D109</f>
        <v>0</v>
      </c>
      <c r="E27" s="3">
        <f>+Historicals!E109</f>
        <v>0</v>
      </c>
      <c r="F27" s="3">
        <f>+Historicals!F109</f>
        <v>0</v>
      </c>
      <c r="G27" s="3">
        <f>+Historicals!G109</f>
        <v>0</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3">
      <c r="A28" s="42" t="s">
        <v>129</v>
      </c>
      <c r="B28" s="45" t="str">
        <f t="shared" ref="B28" si="42">+IFERROR(B27/A27-1,"nm")</f>
        <v>nm</v>
      </c>
      <c r="C28" s="45" t="str">
        <f t="shared" ref="C28" si="43">+IFERROR(C27/B27-1,"nm")</f>
        <v>nm</v>
      </c>
      <c r="D28" s="45" t="str">
        <f t="shared" ref="D28" si="44">+IFERROR(D27/C27-1,"nm")</f>
        <v>nm</v>
      </c>
      <c r="E28" s="45" t="str">
        <f t="shared" ref="E28" si="45">+IFERROR(E27/D27-1,"nm")</f>
        <v>nm</v>
      </c>
      <c r="F28" s="45" t="str">
        <f t="shared" ref="F28" si="46">+IFERROR(F27/E27-1,"nm")</f>
        <v>nm</v>
      </c>
      <c r="G28" s="45" t="str">
        <f t="shared" ref="G28" si="47">+IFERROR(G27/F27-1,"nm")</f>
        <v>nm</v>
      </c>
      <c r="H28" s="45" t="str">
        <f t="shared" ref="H28" si="48">+IFERROR(H27/G27-1,"nm")</f>
        <v>nm</v>
      </c>
      <c r="I28" s="45">
        <f>+IFERROR(I27/H27-1,"nm")</f>
        <v>9.2283214001591007E-2</v>
      </c>
      <c r="J28" s="45">
        <f>+J29+J30</f>
        <v>0</v>
      </c>
      <c r="K28" s="45">
        <f t="shared" ref="K28" si="49">+K29+K30</f>
        <v>0</v>
      </c>
      <c r="L28" s="45">
        <f t="shared" ref="L28" si="50">+L29+L30</f>
        <v>0</v>
      </c>
      <c r="M28" s="45">
        <f t="shared" ref="M28" si="51">+M29+M30</f>
        <v>0</v>
      </c>
      <c r="N28" s="45">
        <f t="shared" ref="N28" si="52">+N29+N30</f>
        <v>0</v>
      </c>
    </row>
    <row r="29" spans="1:15" x14ac:dyDescent="0.3">
      <c r="A29" s="42" t="s">
        <v>137</v>
      </c>
      <c r="B29" s="45">
        <f>+Historicals!B184</f>
        <v>0</v>
      </c>
      <c r="C29" s="45">
        <f>+Historicals!C184</f>
        <v>0</v>
      </c>
      <c r="D29" s="45">
        <f>+Historicals!D184</f>
        <v>0</v>
      </c>
      <c r="E29" s="45">
        <f>+Historicals!E184</f>
        <v>0</v>
      </c>
      <c r="F29" s="45">
        <f>+Historicals!F184</f>
        <v>0</v>
      </c>
      <c r="G29" s="45">
        <f>+Historicals!G184</f>
        <v>0</v>
      </c>
      <c r="H29" s="45">
        <f>+Historicals!H184</f>
        <v>0</v>
      </c>
      <c r="I29" s="45">
        <f>+Historicals!I184</f>
        <v>0.09</v>
      </c>
      <c r="J29" s="47">
        <v>0</v>
      </c>
      <c r="K29" s="47">
        <f t="shared" ref="K29:N29" si="53">+J29</f>
        <v>0</v>
      </c>
      <c r="L29" s="47">
        <f t="shared" si="53"/>
        <v>0</v>
      </c>
      <c r="M29" s="47">
        <f t="shared" si="53"/>
        <v>0</v>
      </c>
      <c r="N29" s="47">
        <f t="shared" si="53"/>
        <v>0</v>
      </c>
    </row>
    <row r="30" spans="1:15" x14ac:dyDescent="0.3">
      <c r="A30" s="42" t="s">
        <v>138</v>
      </c>
      <c r="B30" s="45" t="str">
        <f t="shared" ref="B30" si="54">+IFERROR(B28-B29,"nm")</f>
        <v>nm</v>
      </c>
      <c r="C30" s="45" t="str">
        <f t="shared" ref="C30" si="55">+IFERROR(C28-C29,"nm")</f>
        <v>nm</v>
      </c>
      <c r="D30" s="45" t="str">
        <f t="shared" ref="D30" si="56">+IFERROR(D28-D29,"nm")</f>
        <v>nm</v>
      </c>
      <c r="E30" s="45" t="str">
        <f t="shared" ref="E30" si="57">+IFERROR(E28-E29,"nm")</f>
        <v>nm</v>
      </c>
      <c r="F30" s="45" t="str">
        <f t="shared" ref="F30" si="58">+IFERROR(F28-F29,"nm")</f>
        <v>nm</v>
      </c>
      <c r="G30" s="45" t="str">
        <f t="shared" ref="G30" si="59">+IFERROR(G28-G29,"nm")</f>
        <v>nm</v>
      </c>
      <c r="H30" s="45" t="str">
        <f t="shared" ref="H30" si="60">+IFERROR(H28-H29,"nm")</f>
        <v>nm</v>
      </c>
      <c r="I30" s="45">
        <f>+IFERROR(I28-I29,"nm")</f>
        <v>2.2832140015910107E-3</v>
      </c>
      <c r="J30" s="47">
        <v>0</v>
      </c>
      <c r="K30" s="47">
        <f t="shared" ref="K30:N30" si="61">+J30</f>
        <v>0</v>
      </c>
      <c r="L30" s="47">
        <f t="shared" si="61"/>
        <v>0</v>
      </c>
      <c r="M30" s="47">
        <f t="shared" si="61"/>
        <v>0</v>
      </c>
      <c r="N30" s="47">
        <f t="shared" si="61"/>
        <v>0</v>
      </c>
    </row>
    <row r="31" spans="1:15" x14ac:dyDescent="0.3">
      <c r="A31" s="43" t="s">
        <v>115</v>
      </c>
      <c r="B31" s="3">
        <f>+Historicals!B110</f>
        <v>0</v>
      </c>
      <c r="C31" s="3">
        <f>+Historicals!C110</f>
        <v>0</v>
      </c>
      <c r="D31" s="3">
        <f>+Historicals!D110</f>
        <v>0</v>
      </c>
      <c r="E31" s="3">
        <f>+Historicals!E110</f>
        <v>0</v>
      </c>
      <c r="F31" s="3">
        <f>+Historicals!F110</f>
        <v>0</v>
      </c>
      <c r="G31" s="3">
        <f>+Historicals!G110</f>
        <v>0</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3">
      <c r="A32" s="42" t="s">
        <v>129</v>
      </c>
      <c r="B32" s="45" t="str">
        <f t="shared" ref="B32" si="66">+IFERROR(B31/A31-1,"nm")</f>
        <v>nm</v>
      </c>
      <c r="C32" s="45" t="str">
        <f t="shared" ref="C32" si="67">+IFERROR(C31/B31-1,"nm")</f>
        <v>nm</v>
      </c>
      <c r="D32" s="45" t="str">
        <f t="shared" ref="D32" si="68">+IFERROR(D31/C31-1,"nm")</f>
        <v>nm</v>
      </c>
      <c r="E32" s="45" t="str">
        <f t="shared" ref="E32" si="69">+IFERROR(E31/D31-1,"nm")</f>
        <v>nm</v>
      </c>
      <c r="F32" s="45" t="str">
        <f t="shared" ref="F32" si="70">+IFERROR(F31/E31-1,"nm")</f>
        <v>nm</v>
      </c>
      <c r="G32" s="45" t="str">
        <f t="shared" ref="G32" si="71">+IFERROR(G31/F31-1,"nm")</f>
        <v>nm</v>
      </c>
      <c r="H32" s="45" t="str">
        <f t="shared" ref="H32" si="72">+IFERROR(H31/G31-1,"nm")</f>
        <v>nm</v>
      </c>
      <c r="I32" s="45">
        <f>+IFERROR(I31/H31-1,"nm")</f>
        <v>0.24852071005917153</v>
      </c>
      <c r="J32" s="45">
        <f>+J33+J34</f>
        <v>0</v>
      </c>
      <c r="K32" s="45">
        <f t="shared" ref="K32" si="73">+K33+K34</f>
        <v>0</v>
      </c>
      <c r="L32" s="45">
        <f t="shared" ref="L32" si="74">+L33+L34</f>
        <v>0</v>
      </c>
      <c r="M32" s="45">
        <f t="shared" ref="M32" si="75">+M33+M34</f>
        <v>0</v>
      </c>
      <c r="N32" s="45">
        <f t="shared" ref="N32" si="76">+N33+N34</f>
        <v>0</v>
      </c>
    </row>
    <row r="33" spans="1:14" x14ac:dyDescent="0.3">
      <c r="A33" s="42" t="s">
        <v>137</v>
      </c>
      <c r="B33" s="45">
        <f>+Historicals!B182</f>
        <v>0</v>
      </c>
      <c r="C33" s="45">
        <f>+Historicals!C182</f>
        <v>0</v>
      </c>
      <c r="D33" s="45">
        <f>+Historicals!D182</f>
        <v>0</v>
      </c>
      <c r="E33" s="45">
        <f>+Historicals!E182</f>
        <v>0</v>
      </c>
      <c r="F33" s="45">
        <f>+Historicals!F182</f>
        <v>0</v>
      </c>
      <c r="G33" s="45">
        <f>+Historicals!G182</f>
        <v>0</v>
      </c>
      <c r="H33" s="45">
        <f>+Historicals!H182</f>
        <v>0</v>
      </c>
      <c r="I33" s="45">
        <f>+Historicals!I182</f>
        <v>0.25</v>
      </c>
      <c r="J33" s="47">
        <v>0</v>
      </c>
      <c r="K33" s="47">
        <f t="shared" ref="K33:N33" si="77">+J33</f>
        <v>0</v>
      </c>
      <c r="L33" s="47">
        <f t="shared" si="77"/>
        <v>0</v>
      </c>
      <c r="M33" s="47">
        <f t="shared" si="77"/>
        <v>0</v>
      </c>
      <c r="N33" s="47">
        <f t="shared" si="77"/>
        <v>0</v>
      </c>
    </row>
    <row r="34" spans="1:14" x14ac:dyDescent="0.3">
      <c r="A34" s="42" t="s">
        <v>138</v>
      </c>
      <c r="B34" s="45" t="str">
        <f t="shared" ref="B34" si="78">+IFERROR(B32-B33,"nm")</f>
        <v>nm</v>
      </c>
      <c r="C34" s="45" t="str">
        <f t="shared" ref="C34" si="79">+IFERROR(C32-C33,"nm")</f>
        <v>nm</v>
      </c>
      <c r="D34" s="45" t="str">
        <f t="shared" ref="D34" si="80">+IFERROR(D32-D33,"nm")</f>
        <v>nm</v>
      </c>
      <c r="E34" s="45" t="str">
        <f t="shared" ref="E34" si="81">+IFERROR(E32-E33,"nm")</f>
        <v>nm</v>
      </c>
      <c r="F34" s="45" t="str">
        <f t="shared" ref="F34" si="82">+IFERROR(F32-F33,"nm")</f>
        <v>nm</v>
      </c>
      <c r="G34" s="45" t="str">
        <f t="shared" ref="G34" si="83">+IFERROR(G32-G33,"nm")</f>
        <v>nm</v>
      </c>
      <c r="H34" s="45" t="str">
        <f t="shared" ref="H34" si="84">+IFERROR(H32-H33,"nm")</f>
        <v>nm</v>
      </c>
      <c r="I34" s="45">
        <f>+IFERROR(I32-I33,"nm")</f>
        <v>-1.4792899408284654E-3</v>
      </c>
      <c r="J34" s="47">
        <v>0</v>
      </c>
      <c r="K34" s="47">
        <f t="shared" ref="K34:N34" si="85">+J34</f>
        <v>0</v>
      </c>
      <c r="L34" s="47">
        <f t="shared" si="85"/>
        <v>0</v>
      </c>
      <c r="M34" s="47">
        <f t="shared" si="85"/>
        <v>0</v>
      </c>
      <c r="N34" s="47">
        <f t="shared" si="85"/>
        <v>0</v>
      </c>
    </row>
    <row r="35" spans="1:14" x14ac:dyDescent="0.3">
      <c r="A35" s="9" t="s">
        <v>130</v>
      </c>
      <c r="B35" s="46">
        <f t="shared" ref="B35:H35" si="86">+B42+B38</f>
        <v>0</v>
      </c>
      <c r="C35" s="46">
        <f t="shared" si="86"/>
        <v>0</v>
      </c>
      <c r="D35" s="46">
        <f t="shared" si="86"/>
        <v>0</v>
      </c>
      <c r="E35" s="46">
        <f t="shared" si="86"/>
        <v>0</v>
      </c>
      <c r="F35" s="46">
        <f t="shared" si="86"/>
        <v>0</v>
      </c>
      <c r="G35" s="46">
        <f t="shared" si="86"/>
        <v>0</v>
      </c>
      <c r="H35" s="46">
        <f t="shared" si="86"/>
        <v>5219</v>
      </c>
      <c r="I35" s="46">
        <f>+I42+I38</f>
        <v>5238</v>
      </c>
      <c r="J35" s="46">
        <f>+J21*J37</f>
        <v>5238</v>
      </c>
      <c r="K35" s="46">
        <f t="shared" ref="K35:N35" si="87">+K21*K37</f>
        <v>5238</v>
      </c>
      <c r="L35" s="46">
        <f t="shared" si="87"/>
        <v>5238</v>
      </c>
      <c r="M35" s="46">
        <f t="shared" si="87"/>
        <v>5238</v>
      </c>
      <c r="N35" s="46">
        <f t="shared" si="87"/>
        <v>5238</v>
      </c>
    </row>
    <row r="36" spans="1:14" x14ac:dyDescent="0.3">
      <c r="A36" s="44" t="s">
        <v>129</v>
      </c>
      <c r="B36" s="45" t="str">
        <f t="shared" ref="B36" si="88">+IFERROR(B35/A35-1,"nm")</f>
        <v>nm</v>
      </c>
      <c r="C36" s="45" t="str">
        <f t="shared" ref="C36" si="89">+IFERROR(C35/B35-1,"nm")</f>
        <v>nm</v>
      </c>
      <c r="D36" s="45" t="str">
        <f t="shared" ref="D36" si="90">+IFERROR(D35/C35-1,"nm")</f>
        <v>nm</v>
      </c>
      <c r="E36" s="45" t="str">
        <f t="shared" ref="E36" si="91">+IFERROR(E35/D35-1,"nm")</f>
        <v>nm</v>
      </c>
      <c r="F36" s="45" t="str">
        <f t="shared" ref="F36" si="92">+IFERROR(F35/E35-1,"nm")</f>
        <v>nm</v>
      </c>
      <c r="G36" s="45" t="str">
        <f t="shared" ref="G36" si="93">+IFERROR(G35/F35-1,"nm")</f>
        <v>nm</v>
      </c>
      <c r="H36" s="45" t="str">
        <f t="shared" ref="H36" si="94">+IFERROR(H35/G35-1,"nm")</f>
        <v>nm</v>
      </c>
      <c r="I36" s="45">
        <f>+IFERROR(I35/H35-1,"nm")</f>
        <v>3.6405441655489312E-3</v>
      </c>
      <c r="J36" s="45">
        <f t="shared" ref="J36:N36" si="95">+IFERROR(J35/I35-1,"nm")</f>
        <v>0</v>
      </c>
      <c r="K36" s="45">
        <f t="shared" si="95"/>
        <v>0</v>
      </c>
      <c r="L36" s="45">
        <f t="shared" si="95"/>
        <v>0</v>
      </c>
      <c r="M36" s="45">
        <f t="shared" si="95"/>
        <v>0</v>
      </c>
      <c r="N36" s="45">
        <f t="shared" si="95"/>
        <v>0</v>
      </c>
    </row>
    <row r="37" spans="1:14" x14ac:dyDescent="0.3">
      <c r="A37" s="44" t="s">
        <v>131</v>
      </c>
      <c r="B37" s="45" t="str">
        <f t="shared" ref="B37:H37" si="96">+IFERROR(B35/B$21,"nm")</f>
        <v>nm</v>
      </c>
      <c r="C37" s="45" t="str">
        <f t="shared" si="96"/>
        <v>nm</v>
      </c>
      <c r="D37" s="45" t="str">
        <f t="shared" si="96"/>
        <v>nm</v>
      </c>
      <c r="E37" s="45" t="str">
        <f t="shared" si="96"/>
        <v>nm</v>
      </c>
      <c r="F37" s="45" t="str">
        <f t="shared" si="96"/>
        <v>nm</v>
      </c>
      <c r="G37" s="45" t="str">
        <f t="shared" si="96"/>
        <v>nm</v>
      </c>
      <c r="H37" s="45">
        <f t="shared" si="96"/>
        <v>0.30380115256999823</v>
      </c>
      <c r="I37" s="45">
        <f>+IFERROR(I35/I$21,"nm")</f>
        <v>0.28540293140086087</v>
      </c>
      <c r="J37" s="47">
        <f>+I37</f>
        <v>0.28540293140086087</v>
      </c>
      <c r="K37" s="47">
        <f t="shared" ref="K37:N37" si="97">+J37</f>
        <v>0.28540293140086087</v>
      </c>
      <c r="L37" s="47">
        <f t="shared" si="97"/>
        <v>0.28540293140086087</v>
      </c>
      <c r="M37" s="47">
        <f t="shared" si="97"/>
        <v>0.28540293140086087</v>
      </c>
      <c r="N37" s="47">
        <f t="shared" si="97"/>
        <v>0.28540293140086087</v>
      </c>
    </row>
    <row r="38" spans="1:14" x14ac:dyDescent="0.3">
      <c r="A38" s="9" t="s">
        <v>132</v>
      </c>
      <c r="B38" s="9">
        <f>+Historicals!B167</f>
        <v>0</v>
      </c>
      <c r="C38" s="9">
        <f>+Historicals!C167</f>
        <v>0</v>
      </c>
      <c r="D38" s="9">
        <f>+Historicals!D167</f>
        <v>0</v>
      </c>
      <c r="E38" s="9">
        <f>+Historicals!E167</f>
        <v>0</v>
      </c>
      <c r="F38" s="9">
        <f>+Historicals!F167</f>
        <v>0</v>
      </c>
      <c r="G38" s="9">
        <f>+Historicals!G167</f>
        <v>0</v>
      </c>
      <c r="H38" s="9">
        <f>+Historicals!H167</f>
        <v>130</v>
      </c>
      <c r="I38" s="9">
        <f>+Historicals!I167</f>
        <v>124</v>
      </c>
      <c r="J38" s="46">
        <f>+J41*J48</f>
        <v>124.00000000000001</v>
      </c>
      <c r="K38" s="46">
        <f t="shared" ref="K38:N38" si="98">+K41*K48</f>
        <v>124.00000000000001</v>
      </c>
      <c r="L38" s="46">
        <f t="shared" si="98"/>
        <v>124.00000000000001</v>
      </c>
      <c r="M38" s="46">
        <f t="shared" si="98"/>
        <v>124.00000000000001</v>
      </c>
      <c r="N38" s="46">
        <f t="shared" si="98"/>
        <v>124.00000000000001</v>
      </c>
    </row>
    <row r="39" spans="1:14" x14ac:dyDescent="0.3">
      <c r="A39" s="44" t="s">
        <v>129</v>
      </c>
      <c r="B39" s="45" t="str">
        <f t="shared" ref="B39" si="99">+IFERROR(B38/A38-1,"nm")</f>
        <v>nm</v>
      </c>
      <c r="C39" s="45" t="str">
        <f t="shared" ref="C39" si="100">+IFERROR(C38/B38-1,"nm")</f>
        <v>nm</v>
      </c>
      <c r="D39" s="45" t="str">
        <f t="shared" ref="D39" si="101">+IFERROR(D38/C38-1,"nm")</f>
        <v>nm</v>
      </c>
      <c r="E39" s="45" t="str">
        <f t="shared" ref="E39" si="102">+IFERROR(E38/D38-1,"nm")</f>
        <v>nm</v>
      </c>
      <c r="F39" s="45" t="str">
        <f t="shared" ref="F39" si="103">+IFERROR(F38/E38-1,"nm")</f>
        <v>nm</v>
      </c>
      <c r="G39" s="45" t="str">
        <f t="shared" ref="G39" si="104">+IFERROR(G38/F38-1,"nm")</f>
        <v>nm</v>
      </c>
      <c r="H39" s="45" t="str">
        <f t="shared" ref="H39" si="105">+IFERROR(H38/G38-1,"nm")</f>
        <v>nm</v>
      </c>
      <c r="I39" s="45">
        <f>+IFERROR(I38/H38-1,"nm")</f>
        <v>-4.6153846153846101E-2</v>
      </c>
      <c r="J39" s="45">
        <f t="shared" ref="J39" si="106">+IFERROR(J38/I38-1,"nm")</f>
        <v>2.2204460492503131E-16</v>
      </c>
      <c r="K39" s="45">
        <f t="shared" ref="K39" si="107">+IFERROR(K38/J38-1,"nm")</f>
        <v>0</v>
      </c>
      <c r="L39" s="45">
        <f t="shared" ref="L39" si="108">+IFERROR(L38/K38-1,"nm")</f>
        <v>0</v>
      </c>
      <c r="M39" s="45">
        <f t="shared" ref="M39" si="109">+IFERROR(M38/L38-1,"nm")</f>
        <v>0</v>
      </c>
      <c r="N39" s="45">
        <f t="shared" ref="N39" si="110">+IFERROR(N38/M38-1,"nm")</f>
        <v>0</v>
      </c>
    </row>
    <row r="40" spans="1:14" x14ac:dyDescent="0.3">
      <c r="A40" s="44" t="s">
        <v>133</v>
      </c>
      <c r="B40" s="45" t="str">
        <f t="shared" ref="B40:H40" si="111">+IFERROR(B38/B$21,"nm")</f>
        <v>nm</v>
      </c>
      <c r="C40" s="45" t="str">
        <f t="shared" si="111"/>
        <v>nm</v>
      </c>
      <c r="D40" s="45" t="str">
        <f t="shared" si="111"/>
        <v>nm</v>
      </c>
      <c r="E40" s="45" t="str">
        <f t="shared" si="111"/>
        <v>nm</v>
      </c>
      <c r="F40" s="45" t="str">
        <f t="shared" si="111"/>
        <v>nm</v>
      </c>
      <c r="G40" s="45" t="str">
        <f t="shared" si="111"/>
        <v>nm</v>
      </c>
      <c r="H40" s="45">
        <f t="shared" si="111"/>
        <v>7.5673787764130628E-3</v>
      </c>
      <c r="I40" s="45">
        <f>+IFERROR(I38/I$21,"nm")</f>
        <v>6.7563886013185855E-3</v>
      </c>
      <c r="J40" s="45">
        <f t="shared" ref="J40:N40" si="112">+IFERROR(J38/J$21,"nm")</f>
        <v>6.7563886013185864E-3</v>
      </c>
      <c r="K40" s="45">
        <f t="shared" si="112"/>
        <v>6.7563886013185864E-3</v>
      </c>
      <c r="L40" s="45">
        <f t="shared" si="112"/>
        <v>6.7563886013185864E-3</v>
      </c>
      <c r="M40" s="45">
        <f t="shared" si="112"/>
        <v>6.7563886013185864E-3</v>
      </c>
      <c r="N40" s="45">
        <f t="shared" si="112"/>
        <v>6.7563886013185864E-3</v>
      </c>
    </row>
    <row r="41" spans="1:14" x14ac:dyDescent="0.3">
      <c r="A41" s="44" t="s">
        <v>140</v>
      </c>
      <c r="B41" s="45" t="str">
        <f t="shared" ref="B41:H41" si="113">+IFERROR(B38/B48,"nm")</f>
        <v>nm</v>
      </c>
      <c r="C41" s="45" t="str">
        <f t="shared" si="113"/>
        <v>nm</v>
      </c>
      <c r="D41" s="45" t="str">
        <f t="shared" si="113"/>
        <v>nm</v>
      </c>
      <c r="E41" s="45" t="str">
        <f t="shared" si="113"/>
        <v>nm</v>
      </c>
      <c r="F41" s="45" t="str">
        <f t="shared" si="113"/>
        <v>nm</v>
      </c>
      <c r="G41" s="45" t="str">
        <f t="shared" si="113"/>
        <v>nm</v>
      </c>
      <c r="H41" s="45">
        <f t="shared" si="113"/>
        <v>0.21069692058346839</v>
      </c>
      <c r="I41" s="45">
        <f>+IFERROR(I38/I48,"nm")</f>
        <v>0.19405320813771518</v>
      </c>
      <c r="J41" s="47">
        <f>+I41</f>
        <v>0.19405320813771518</v>
      </c>
      <c r="K41" s="47">
        <f t="shared" ref="K41:N41" si="114">+J41</f>
        <v>0.19405320813771518</v>
      </c>
      <c r="L41" s="47">
        <f t="shared" si="114"/>
        <v>0.19405320813771518</v>
      </c>
      <c r="M41" s="47">
        <f t="shared" si="114"/>
        <v>0.19405320813771518</v>
      </c>
      <c r="N41" s="47">
        <f t="shared" si="114"/>
        <v>0.19405320813771518</v>
      </c>
    </row>
    <row r="42" spans="1:14" x14ac:dyDescent="0.3">
      <c r="A42" s="9" t="s">
        <v>134</v>
      </c>
      <c r="B42" s="9">
        <f>+Historicals!B134</f>
        <v>0</v>
      </c>
      <c r="C42" s="9">
        <f>+Historicals!C134</f>
        <v>0</v>
      </c>
      <c r="D42" s="9">
        <f>+Historicals!D134</f>
        <v>0</v>
      </c>
      <c r="E42" s="9">
        <f>+Historicals!E134</f>
        <v>0</v>
      </c>
      <c r="F42" s="9">
        <f>+Historicals!F134</f>
        <v>0</v>
      </c>
      <c r="G42" s="9">
        <f>+Historicals!G134</f>
        <v>0</v>
      </c>
      <c r="H42" s="9">
        <f>+Historicals!H134</f>
        <v>5089</v>
      </c>
      <c r="I42" s="9">
        <f>+Historicals!I134</f>
        <v>5114</v>
      </c>
      <c r="J42" s="9">
        <f>+J35-J38</f>
        <v>5114</v>
      </c>
      <c r="K42" s="9">
        <f t="shared" ref="K42:N42" si="115">+K35-K38</f>
        <v>5114</v>
      </c>
      <c r="L42" s="9">
        <f t="shared" si="115"/>
        <v>5114</v>
      </c>
      <c r="M42" s="9">
        <f t="shared" si="115"/>
        <v>5114</v>
      </c>
      <c r="N42" s="9">
        <f t="shared" si="115"/>
        <v>5114</v>
      </c>
    </row>
    <row r="43" spans="1:14" x14ac:dyDescent="0.3">
      <c r="A43" s="44" t="s">
        <v>129</v>
      </c>
      <c r="B43" s="45" t="str">
        <f t="shared" ref="B43" si="116">+IFERROR(B42/A42-1,"nm")</f>
        <v>nm</v>
      </c>
      <c r="C43" s="45" t="str">
        <f t="shared" ref="C43" si="117">+IFERROR(C42/B42-1,"nm")</f>
        <v>nm</v>
      </c>
      <c r="D43" s="45" t="str">
        <f t="shared" ref="D43" si="118">+IFERROR(D42/C42-1,"nm")</f>
        <v>nm</v>
      </c>
      <c r="E43" s="45" t="str">
        <f t="shared" ref="E43" si="119">+IFERROR(E42/D42-1,"nm")</f>
        <v>nm</v>
      </c>
      <c r="F43" s="45" t="str">
        <f t="shared" ref="F43" si="120">+IFERROR(F42/E42-1,"nm")</f>
        <v>nm</v>
      </c>
      <c r="G43" s="45" t="str">
        <f t="shared" ref="G43" si="121">+IFERROR(G42/F42-1,"nm")</f>
        <v>nm</v>
      </c>
      <c r="H43" s="45" t="str">
        <f t="shared" ref="H43" si="122">+IFERROR(H42/G42-1,"nm")</f>
        <v>nm</v>
      </c>
      <c r="I43" s="45">
        <f>+IFERROR(I42/H42-1,"nm")</f>
        <v>4.9125564943997002E-3</v>
      </c>
      <c r="J43" s="45">
        <f t="shared" ref="J43:N43" si="123">+IFERROR(J42/I42-1,"nm")</f>
        <v>0</v>
      </c>
      <c r="K43" s="45">
        <f t="shared" si="123"/>
        <v>0</v>
      </c>
      <c r="L43" s="45">
        <f t="shared" si="123"/>
        <v>0</v>
      </c>
      <c r="M43" s="45">
        <f t="shared" si="123"/>
        <v>0</v>
      </c>
      <c r="N43" s="45">
        <f t="shared" si="123"/>
        <v>0</v>
      </c>
    </row>
    <row r="44" spans="1:14" x14ac:dyDescent="0.3">
      <c r="A44" s="44" t="s">
        <v>131</v>
      </c>
      <c r="B44" s="45" t="str">
        <f t="shared" ref="B44:H44" si="124">+IFERROR(B42/B$21,"nm")</f>
        <v>nm</v>
      </c>
      <c r="C44" s="45" t="str">
        <f t="shared" si="124"/>
        <v>nm</v>
      </c>
      <c r="D44" s="45" t="str">
        <f t="shared" si="124"/>
        <v>nm</v>
      </c>
      <c r="E44" s="45" t="str">
        <f t="shared" si="124"/>
        <v>nm</v>
      </c>
      <c r="F44" s="45" t="str">
        <f t="shared" si="124"/>
        <v>nm</v>
      </c>
      <c r="G44" s="45" t="str">
        <f t="shared" si="124"/>
        <v>nm</v>
      </c>
      <c r="H44" s="45">
        <f t="shared" si="124"/>
        <v>0.29623377379358518</v>
      </c>
      <c r="I44" s="45">
        <f>+IFERROR(I42/I$21,"nm")</f>
        <v>0.27864654279954232</v>
      </c>
      <c r="J44" s="45">
        <f t="shared" ref="J44:N44" si="125">+IFERROR(J42/J$21,"nm")</f>
        <v>0.27864654279954232</v>
      </c>
      <c r="K44" s="45">
        <f t="shared" si="125"/>
        <v>0.27864654279954232</v>
      </c>
      <c r="L44" s="45">
        <f t="shared" si="125"/>
        <v>0.27864654279954232</v>
      </c>
      <c r="M44" s="45">
        <f t="shared" si="125"/>
        <v>0.27864654279954232</v>
      </c>
      <c r="N44" s="45">
        <f t="shared" si="125"/>
        <v>0.27864654279954232</v>
      </c>
    </row>
    <row r="45" spans="1:14" x14ac:dyDescent="0.3">
      <c r="A45" s="9" t="s">
        <v>135</v>
      </c>
      <c r="B45" s="9">
        <f>+Historicals!B156</f>
        <v>0</v>
      </c>
      <c r="C45" s="9">
        <f>+Historicals!C156</f>
        <v>0</v>
      </c>
      <c r="D45" s="9">
        <f>+Historicals!D156</f>
        <v>0</v>
      </c>
      <c r="E45" s="9">
        <f>+Historicals!E156</f>
        <v>0</v>
      </c>
      <c r="F45" s="9">
        <f>+Historicals!F156</f>
        <v>0</v>
      </c>
      <c r="G45" s="9">
        <f>+Historicals!G156</f>
        <v>0</v>
      </c>
      <c r="H45" s="9">
        <f>+Historicals!H156</f>
        <v>98</v>
      </c>
      <c r="I45" s="9">
        <f>+Historicals!I156</f>
        <v>146</v>
      </c>
      <c r="J45" s="46">
        <f>+J21*J47</f>
        <v>146</v>
      </c>
      <c r="K45" s="46">
        <f t="shared" ref="K45:N45" si="126">+K21*K47</f>
        <v>146</v>
      </c>
      <c r="L45" s="46">
        <f t="shared" si="126"/>
        <v>146</v>
      </c>
      <c r="M45" s="46">
        <f t="shared" si="126"/>
        <v>146</v>
      </c>
      <c r="N45" s="46">
        <f t="shared" si="126"/>
        <v>146</v>
      </c>
    </row>
    <row r="46" spans="1:14" x14ac:dyDescent="0.3">
      <c r="A46" s="44" t="s">
        <v>129</v>
      </c>
      <c r="B46" s="45" t="str">
        <f t="shared" ref="B46" si="127">+IFERROR(B45/A45-1,"nm")</f>
        <v>nm</v>
      </c>
      <c r="C46" s="45" t="str">
        <f t="shared" ref="C46" si="128">+IFERROR(C45/B45-1,"nm")</f>
        <v>nm</v>
      </c>
      <c r="D46" s="45" t="str">
        <f t="shared" ref="D46" si="129">+IFERROR(D45/C45-1,"nm")</f>
        <v>nm</v>
      </c>
      <c r="E46" s="45" t="str">
        <f t="shared" ref="E46" si="130">+IFERROR(E45/D45-1,"nm")</f>
        <v>nm</v>
      </c>
      <c r="F46" s="45" t="str">
        <f t="shared" ref="F46" si="131">+IFERROR(F45/E45-1,"nm")</f>
        <v>nm</v>
      </c>
      <c r="G46" s="45" t="str">
        <f t="shared" ref="G46" si="132">+IFERROR(G45/F45-1,"nm")</f>
        <v>nm</v>
      </c>
      <c r="H46" s="45" t="str">
        <f t="shared" ref="H46" si="133">+IFERROR(H45/G45-1,"nm")</f>
        <v>nm</v>
      </c>
      <c r="I46" s="45">
        <f>+IFERROR(I45/H45-1,"nm")</f>
        <v>0.48979591836734704</v>
      </c>
      <c r="J46" s="45">
        <f t="shared" ref="J46" si="134">+IFERROR(J45/I45-1,"nm")</f>
        <v>0</v>
      </c>
      <c r="K46" s="45">
        <f t="shared" ref="K46" si="135">+IFERROR(K45/J45-1,"nm")</f>
        <v>0</v>
      </c>
      <c r="L46" s="45">
        <f t="shared" ref="L46" si="136">+IFERROR(L45/K45-1,"nm")</f>
        <v>0</v>
      </c>
      <c r="M46" s="45">
        <f t="shared" ref="M46" si="137">+IFERROR(M45/L45-1,"nm")</f>
        <v>0</v>
      </c>
      <c r="N46" s="45">
        <f t="shared" ref="N46" si="138">+IFERROR(N45/M45-1,"nm")</f>
        <v>0</v>
      </c>
    </row>
    <row r="47" spans="1:14" x14ac:dyDescent="0.3">
      <c r="A47" s="44" t="s">
        <v>133</v>
      </c>
      <c r="B47" s="45" t="str">
        <f t="shared" ref="B47:H47" si="139">+IFERROR(B45/B$21,"nm")</f>
        <v>nm</v>
      </c>
      <c r="C47" s="45" t="str">
        <f t="shared" si="139"/>
        <v>nm</v>
      </c>
      <c r="D47" s="45" t="str">
        <f t="shared" si="139"/>
        <v>nm</v>
      </c>
      <c r="E47" s="45" t="str">
        <f t="shared" si="139"/>
        <v>nm</v>
      </c>
      <c r="F47" s="45" t="str">
        <f t="shared" si="139"/>
        <v>nm</v>
      </c>
      <c r="G47" s="45" t="str">
        <f t="shared" si="139"/>
        <v>nm</v>
      </c>
      <c r="H47" s="45">
        <f t="shared" si="139"/>
        <v>5.7046393852960009E-3</v>
      </c>
      <c r="I47" s="45">
        <f>+IFERROR(I45/I$21,"nm")</f>
        <v>7.9551027080041418E-3</v>
      </c>
      <c r="J47" s="47">
        <f>+I47</f>
        <v>7.9551027080041418E-3</v>
      </c>
      <c r="K47" s="47">
        <f t="shared" ref="K47:N47" si="140">+J47</f>
        <v>7.9551027080041418E-3</v>
      </c>
      <c r="L47" s="47">
        <f t="shared" si="140"/>
        <v>7.9551027080041418E-3</v>
      </c>
      <c r="M47" s="47">
        <f t="shared" si="140"/>
        <v>7.9551027080041418E-3</v>
      </c>
      <c r="N47" s="47">
        <f t="shared" si="140"/>
        <v>7.9551027080041418E-3</v>
      </c>
    </row>
    <row r="48" spans="1:14" x14ac:dyDescent="0.3">
      <c r="A48" s="9" t="s">
        <v>141</v>
      </c>
      <c r="B48" s="9">
        <f>+Historicals!B145</f>
        <v>0</v>
      </c>
      <c r="C48" s="9">
        <f>+Historicals!C145</f>
        <v>0</v>
      </c>
      <c r="D48" s="9">
        <f>+Historicals!D145</f>
        <v>0</v>
      </c>
      <c r="E48" s="9">
        <f>+Historicals!E145</f>
        <v>0</v>
      </c>
      <c r="F48" s="9">
        <f>+Historicals!F145</f>
        <v>0</v>
      </c>
      <c r="G48" s="9">
        <f>+Historicals!G145</f>
        <v>0</v>
      </c>
      <c r="H48" s="9">
        <f>+Historicals!H145</f>
        <v>617</v>
      </c>
      <c r="I48" s="9">
        <f>+Historicals!I145</f>
        <v>639</v>
      </c>
      <c r="J48" s="46">
        <f>+J21*J50</f>
        <v>639.00000000000011</v>
      </c>
      <c r="K48" s="46">
        <f t="shared" ref="K48:N48" si="141">+K21*K50</f>
        <v>639.00000000000011</v>
      </c>
      <c r="L48" s="46">
        <f t="shared" si="141"/>
        <v>639.00000000000011</v>
      </c>
      <c r="M48" s="46">
        <f t="shared" si="141"/>
        <v>639.00000000000011</v>
      </c>
      <c r="N48" s="46">
        <f t="shared" si="141"/>
        <v>639.00000000000011</v>
      </c>
    </row>
    <row r="49" spans="1:14" x14ac:dyDescent="0.3">
      <c r="A49" s="44" t="s">
        <v>129</v>
      </c>
      <c r="B49" s="45" t="str">
        <f t="shared" ref="B49" si="142">+IFERROR(B48/A48-1,"nm")</f>
        <v>nm</v>
      </c>
      <c r="C49" s="45" t="str">
        <f t="shared" ref="C49" si="143">+IFERROR(C48/B48-1,"nm")</f>
        <v>nm</v>
      </c>
      <c r="D49" s="45" t="str">
        <f t="shared" ref="D49" si="144">+IFERROR(D48/C48-1,"nm")</f>
        <v>nm</v>
      </c>
      <c r="E49" s="45" t="str">
        <f t="shared" ref="E49" si="145">+IFERROR(E48/D48-1,"nm")</f>
        <v>nm</v>
      </c>
      <c r="F49" s="45" t="str">
        <f t="shared" ref="F49" si="146">+IFERROR(F48/E48-1,"nm")</f>
        <v>nm</v>
      </c>
      <c r="G49" s="45" t="str">
        <f t="shared" ref="G49" si="147">+IFERROR(G48/F48-1,"nm")</f>
        <v>nm</v>
      </c>
      <c r="H49" s="45" t="str">
        <f t="shared" ref="H49" si="148">+IFERROR(H48/G48-1,"nm")</f>
        <v>nm</v>
      </c>
      <c r="I49" s="45">
        <f>+IFERROR(I48/H48-1,"nm")</f>
        <v>3.5656401944894611E-2</v>
      </c>
      <c r="J49" s="45">
        <f>+J50+J51</f>
        <v>3.4817196098730456E-2</v>
      </c>
      <c r="K49" s="45">
        <f t="shared" ref="K49" si="149">+K50+K51</f>
        <v>3.4817196098730456E-2</v>
      </c>
      <c r="L49" s="45">
        <f t="shared" ref="L49" si="150">+L50+L51</f>
        <v>3.4817196098730456E-2</v>
      </c>
      <c r="M49" s="45">
        <f t="shared" ref="M49" si="151">+M50+M51</f>
        <v>3.4817196098730456E-2</v>
      </c>
      <c r="N49" s="45">
        <f t="shared" ref="N49" si="152">+N50+N51</f>
        <v>3.4817196098730456E-2</v>
      </c>
    </row>
    <row r="50" spans="1:14" x14ac:dyDescent="0.3">
      <c r="A50" s="44" t="s">
        <v>133</v>
      </c>
      <c r="B50" s="45" t="str">
        <f t="shared" ref="B50:H50" si="153">+IFERROR(B48/B$21,"nm")</f>
        <v>nm</v>
      </c>
      <c r="C50" s="45" t="str">
        <f t="shared" si="153"/>
        <v>nm</v>
      </c>
      <c r="D50" s="45" t="str">
        <f t="shared" si="153"/>
        <v>nm</v>
      </c>
      <c r="E50" s="45" t="str">
        <f t="shared" si="153"/>
        <v>nm</v>
      </c>
      <c r="F50" s="45" t="str">
        <f t="shared" si="153"/>
        <v>nm</v>
      </c>
      <c r="G50" s="45" t="str">
        <f t="shared" si="153"/>
        <v>nm</v>
      </c>
      <c r="H50" s="45">
        <f t="shared" si="153"/>
        <v>3.5915943884975841E-2</v>
      </c>
      <c r="I50" s="45">
        <f>+IFERROR(I48/I$21,"nm")</f>
        <v>3.4817196098730456E-2</v>
      </c>
      <c r="J50" s="47">
        <f>+I50</f>
        <v>3.4817196098730456E-2</v>
      </c>
      <c r="K50" s="47">
        <f t="shared" ref="K50:N50" si="154">+J50</f>
        <v>3.4817196098730456E-2</v>
      </c>
      <c r="L50" s="47">
        <f t="shared" si="154"/>
        <v>3.4817196098730456E-2</v>
      </c>
      <c r="M50" s="47">
        <f t="shared" si="154"/>
        <v>3.4817196098730456E-2</v>
      </c>
      <c r="N50" s="47">
        <f t="shared" si="154"/>
        <v>3.4817196098730456E-2</v>
      </c>
    </row>
    <row r="51" spans="1:14" x14ac:dyDescent="0.3">
      <c r="A51" s="41" t="str">
        <f>+Historicals!A111</f>
        <v>Europe, Middle East &amp; Africa</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D9B1-3500-47A7-BB17-A748D3FFB59E}">
  <dimension ref="A1:O72"/>
  <sheetViews>
    <sheetView topLeftCell="A46" workbookViewId="0">
      <selection activeCell="N72" sqref="N72"/>
    </sheetView>
  </sheetViews>
  <sheetFormatPr defaultRowHeight="14.4" x14ac:dyDescent="0.3"/>
  <cols>
    <col min="1" max="1" width="48.77734375" customWidth="1"/>
    <col min="2" max="14" width="11.77734375" customWidth="1"/>
    <col min="15" max="15" width="39.886718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148</v>
      </c>
      <c r="B2" s="38"/>
      <c r="C2" s="38"/>
      <c r="D2" s="38"/>
      <c r="E2" s="38"/>
      <c r="F2" s="38"/>
      <c r="G2" s="38"/>
      <c r="H2" s="38"/>
      <c r="I2" s="38"/>
      <c r="J2" s="37"/>
      <c r="K2" s="37"/>
      <c r="L2" s="37"/>
      <c r="M2" s="37"/>
      <c r="N2" s="37"/>
    </row>
    <row r="3" spans="1:15" x14ac:dyDescent="0.3">
      <c r="A3" s="1" t="s">
        <v>136</v>
      </c>
      <c r="B3" s="9">
        <v>30601</v>
      </c>
      <c r="C3" s="9">
        <v>32376</v>
      </c>
      <c r="D3" s="9">
        <v>34350</v>
      </c>
      <c r="E3" s="9">
        <v>36397</v>
      </c>
      <c r="F3" s="9">
        <v>39117</v>
      </c>
      <c r="G3" s="9">
        <v>37403</v>
      </c>
      <c r="H3" s="9">
        <v>44538</v>
      </c>
      <c r="I3" s="9">
        <v>46710</v>
      </c>
      <c r="J3" s="9">
        <v>50704.500599999992</v>
      </c>
      <c r="K3" s="9">
        <v>54981.754454679998</v>
      </c>
      <c r="L3" s="9">
        <v>59707.020591682107</v>
      </c>
      <c r="M3" s="9">
        <v>64934.971697428249</v>
      </c>
      <c r="N3" s="9">
        <v>70727.592759607956</v>
      </c>
      <c r="O3" t="s">
        <v>206</v>
      </c>
    </row>
    <row r="4" spans="1:15" x14ac:dyDescent="0.3">
      <c r="A4" s="40" t="s">
        <v>129</v>
      </c>
      <c r="B4" s="48"/>
      <c r="C4" s="58">
        <f>C3/B3-1</f>
        <v>5.8004640371229765E-2</v>
      </c>
      <c r="D4" s="58">
        <f t="shared" ref="D4:N4" si="2">D3/C3-1</f>
        <v>6.0971089696071123E-2</v>
      </c>
      <c r="E4" s="58">
        <f t="shared" si="2"/>
        <v>5.95924308588065E-2</v>
      </c>
      <c r="F4" s="58">
        <f t="shared" si="2"/>
        <v>7.4731433909388079E-2</v>
      </c>
      <c r="G4" s="58">
        <f t="shared" si="2"/>
        <v>-4.3817266150267153E-2</v>
      </c>
      <c r="H4" s="58">
        <f t="shared" si="2"/>
        <v>0.19076009945726269</v>
      </c>
      <c r="I4" s="58">
        <f t="shared" si="2"/>
        <v>4.8767344739323759E-2</v>
      </c>
      <c r="J4" s="58">
        <f t="shared" si="2"/>
        <v>8.5517032755298539E-2</v>
      </c>
      <c r="K4" s="58">
        <f t="shared" si="2"/>
        <v>8.4356493093632912E-2</v>
      </c>
      <c r="L4" s="58">
        <f t="shared" si="2"/>
        <v>8.5942440067041215E-2</v>
      </c>
      <c r="M4" s="58">
        <f t="shared" si="2"/>
        <v>8.7560073404072236E-2</v>
      </c>
      <c r="N4" s="58">
        <f t="shared" si="2"/>
        <v>8.9206492445566443E-2</v>
      </c>
    </row>
    <row r="5" spans="1:15" x14ac:dyDescent="0.3">
      <c r="A5" s="1" t="s">
        <v>149</v>
      </c>
      <c r="B5" s="59">
        <v>4839</v>
      </c>
      <c r="C5" s="59">
        <v>5291</v>
      </c>
      <c r="D5" s="59">
        <v>5651</v>
      </c>
      <c r="E5" s="59">
        <v>5126</v>
      </c>
      <c r="F5" s="59">
        <v>5505</v>
      </c>
      <c r="G5" s="59">
        <v>3697</v>
      </c>
      <c r="H5" s="59">
        <v>5909</v>
      </c>
      <c r="I5" s="59">
        <v>4979</v>
      </c>
      <c r="J5" s="60">
        <v>6950.0173333333323</v>
      </c>
      <c r="K5" s="60">
        <v>7513.1465560000015</v>
      </c>
      <c r="L5" s="60">
        <v>8169.3194214029991</v>
      </c>
      <c r="M5" s="60">
        <v>8853.0749543905549</v>
      </c>
      <c r="N5" s="60">
        <v>9577.9366824109566</v>
      </c>
    </row>
    <row r="6" spans="1:15" x14ac:dyDescent="0.3">
      <c r="A6" s="49" t="s">
        <v>132</v>
      </c>
      <c r="B6" s="50"/>
      <c r="C6" s="45">
        <v>0.16342352359772672</v>
      </c>
      <c r="D6" s="45">
        <v>0.16451237263464338</v>
      </c>
      <c r="E6" s="45">
        <v>0.14083578316894249</v>
      </c>
      <c r="F6" s="45">
        <v>0.14247002581997598</v>
      </c>
      <c r="G6" s="45">
        <v>9.8842338849824879E-2</v>
      </c>
      <c r="H6" s="45">
        <v>0.17214513449189456</v>
      </c>
      <c r="I6" s="45">
        <v>0.16212802397773496</v>
      </c>
      <c r="J6" s="45">
        <v>0.1728345915989061</v>
      </c>
      <c r="K6" s="45">
        <v>0.18424819670449422</v>
      </c>
      <c r="L6" s="45">
        <v>0.1964155304491306</v>
      </c>
      <c r="M6" s="45">
        <v>0.20938636736558261</v>
      </c>
      <c r="N6" s="45">
        <v>0.22321376898406445</v>
      </c>
    </row>
    <row r="7" spans="1:15" x14ac:dyDescent="0.3">
      <c r="A7" s="4" t="s">
        <v>134</v>
      </c>
      <c r="B7" s="59">
        <v>4233</v>
      </c>
      <c r="C7" s="59">
        <v>4642</v>
      </c>
      <c r="D7" s="59">
        <v>4945</v>
      </c>
      <c r="E7" s="59">
        <v>4379</v>
      </c>
      <c r="F7" s="59">
        <v>4850</v>
      </c>
      <c r="G7" s="59">
        <v>2976</v>
      </c>
      <c r="H7" s="59">
        <v>5165</v>
      </c>
      <c r="I7" s="59">
        <v>4262</v>
      </c>
      <c r="J7" s="59">
        <v>6238.0123333333304</v>
      </c>
      <c r="K7" s="59">
        <v>6752.4812560000018</v>
      </c>
      <c r="L7" s="59">
        <v>7385.8303813369994</v>
      </c>
      <c r="M7" s="59">
        <v>8046.0897994096349</v>
      </c>
      <c r="N7" s="59">
        <v>8747</v>
      </c>
    </row>
    <row r="8" spans="1:15" x14ac:dyDescent="0.3">
      <c r="A8" s="40" t="s">
        <v>129</v>
      </c>
      <c r="B8" s="48"/>
      <c r="C8" s="45">
        <v>9.6621781242617555E-2</v>
      </c>
      <c r="D8" s="45">
        <v>6.5273588970271357E-2</v>
      </c>
      <c r="E8" s="45">
        <v>-0.11445904954499497</v>
      </c>
      <c r="F8" s="45">
        <v>0.10755880337976698</v>
      </c>
      <c r="G8" s="45">
        <v>-0.38639175257731961</v>
      </c>
      <c r="H8" s="45">
        <v>1.32627688172043</v>
      </c>
      <c r="I8" s="45">
        <v>-9.67788530983682E-3</v>
      </c>
      <c r="J8" s="45">
        <v>0.14045799299883299</v>
      </c>
      <c r="K8" s="45">
        <v>0.1394450938613474</v>
      </c>
      <c r="L8" s="45">
        <v>0.13853788105245179</v>
      </c>
      <c r="M8" s="45">
        <v>0.13772395686641214</v>
      </c>
      <c r="N8" s="45">
        <v>0.13699262375938392</v>
      </c>
    </row>
    <row r="9" spans="1:15" x14ac:dyDescent="0.3">
      <c r="A9" s="40" t="s">
        <v>131</v>
      </c>
      <c r="B9" s="45">
        <v>1.9803274402797295E-2</v>
      </c>
      <c r="C9" s="45">
        <v>0.14337781072399308</v>
      </c>
      <c r="D9" s="45">
        <v>0.14395924308588065</v>
      </c>
      <c r="E9" s="45">
        <v>0.12031211363573921</v>
      </c>
      <c r="F9" s="45">
        <v>0.12398701331901731</v>
      </c>
      <c r="G9" s="45">
        <v>7.9565810229126011E-2</v>
      </c>
      <c r="H9" s="45">
        <v>0.1554402981723472</v>
      </c>
      <c r="I9" s="45">
        <v>0.14677799186469706</v>
      </c>
      <c r="J9" s="45">
        <v>0.15791899435699194</v>
      </c>
      <c r="K9" s="45">
        <v>0.16975473900716251</v>
      </c>
      <c r="L9" s="45">
        <v>0.18233226495078</v>
      </c>
      <c r="M9" s="45">
        <v>0.19570168485303438</v>
      </c>
      <c r="N9" s="45">
        <v>0.20991638880677702</v>
      </c>
    </row>
    <row r="10" spans="1:15" x14ac:dyDescent="0.3">
      <c r="A10" s="2" t="s">
        <v>24</v>
      </c>
      <c r="B10" s="3">
        <v>-30</v>
      </c>
      <c r="C10" s="3">
        <v>-140</v>
      </c>
      <c r="D10" s="3">
        <v>-137</v>
      </c>
      <c r="E10" s="3">
        <v>66</v>
      </c>
      <c r="F10" s="3">
        <v>-78</v>
      </c>
      <c r="G10" s="3">
        <v>139</v>
      </c>
      <c r="H10" s="3">
        <v>14</v>
      </c>
      <c r="I10" s="3">
        <v>-181</v>
      </c>
      <c r="J10" s="3">
        <f>I10*1.12</f>
        <v>-202.72000000000003</v>
      </c>
      <c r="K10" s="3">
        <f t="shared" ref="K10:N10" si="3">J10*1.12</f>
        <v>-227.04640000000006</v>
      </c>
      <c r="L10" s="3">
        <f t="shared" si="3"/>
        <v>-254.29196800000008</v>
      </c>
      <c r="M10" s="3">
        <f t="shared" si="3"/>
        <v>-284.80700416000013</v>
      </c>
      <c r="N10" s="3">
        <f t="shared" si="3"/>
        <v>-318.9838446592002</v>
      </c>
    </row>
    <row r="11" spans="1:15" x14ac:dyDescent="0.3">
      <c r="A11" s="4" t="s">
        <v>150</v>
      </c>
      <c r="B11" s="5">
        <f>B7+B10</f>
        <v>4203</v>
      </c>
      <c r="C11" s="5">
        <v>4623</v>
      </c>
      <c r="D11" s="5">
        <v>4886</v>
      </c>
      <c r="E11" s="5">
        <v>4325</v>
      </c>
      <c r="F11" s="5">
        <v>4801</v>
      </c>
      <c r="G11" s="5">
        <v>2887</v>
      </c>
      <c r="H11" s="5">
        <v>6661</v>
      </c>
      <c r="I11" s="5">
        <v>6651</v>
      </c>
      <c r="J11" s="5">
        <f t="shared" ref="J11:N11" si="4">J7+J10</f>
        <v>6035.2923333333301</v>
      </c>
      <c r="K11" s="5">
        <f t="shared" si="4"/>
        <v>6525.4348560000017</v>
      </c>
      <c r="L11" s="5">
        <f t="shared" si="4"/>
        <v>7131.5384133369989</v>
      </c>
      <c r="M11" s="5">
        <f t="shared" si="4"/>
        <v>7761.2827952496345</v>
      </c>
      <c r="N11" s="5">
        <f t="shared" si="4"/>
        <v>8428.0161553407997</v>
      </c>
    </row>
    <row r="12" spans="1:15" x14ac:dyDescent="0.3">
      <c r="A12" t="s">
        <v>26</v>
      </c>
      <c r="B12" s="3">
        <v>932</v>
      </c>
      <c r="C12" s="3">
        <v>863</v>
      </c>
      <c r="D12" s="3">
        <v>646</v>
      </c>
      <c r="E12" s="3">
        <v>2392</v>
      </c>
      <c r="F12" s="3">
        <v>772</v>
      </c>
      <c r="G12" s="3">
        <v>348</v>
      </c>
      <c r="H12" s="3">
        <v>934</v>
      </c>
      <c r="I12" s="3">
        <v>605</v>
      </c>
      <c r="J12" s="3">
        <f>I12*1.2</f>
        <v>726</v>
      </c>
      <c r="K12" s="3">
        <f t="shared" ref="K12:M12" si="5">J12*1.2</f>
        <v>871.19999999999993</v>
      </c>
      <c r="L12" s="3">
        <f t="shared" si="5"/>
        <v>1045.4399999999998</v>
      </c>
      <c r="M12" s="3">
        <f t="shared" si="5"/>
        <v>1254.5279999999998</v>
      </c>
      <c r="N12" s="3">
        <f>M12*1.2</f>
        <v>1505.4335999999996</v>
      </c>
    </row>
    <row r="13" spans="1:15" x14ac:dyDescent="0.3">
      <c r="A13" s="51" t="s">
        <v>151</v>
      </c>
      <c r="B13" s="52">
        <f>B12/B11</f>
        <v>0.22174637163930525</v>
      </c>
      <c r="C13" s="52">
        <f t="shared" ref="C13:I13" si="6">C12/C11</f>
        <v>0.18667531905688947</v>
      </c>
      <c r="D13" s="52">
        <f t="shared" si="6"/>
        <v>0.13221449038067951</v>
      </c>
      <c r="E13" s="52">
        <f t="shared" si="6"/>
        <v>0.55306358381502885</v>
      </c>
      <c r="F13" s="52">
        <f t="shared" si="6"/>
        <v>0.16079983336804832</v>
      </c>
      <c r="G13" s="52">
        <f t="shared" si="6"/>
        <v>0.12054035330793211</v>
      </c>
      <c r="H13" s="52">
        <f t="shared" si="6"/>
        <v>0.14021918630836211</v>
      </c>
      <c r="I13" s="52">
        <f t="shared" si="6"/>
        <v>9.0963764847391368E-2</v>
      </c>
      <c r="J13" s="53">
        <f>J12/J11</f>
        <v>0.12029243322485848</v>
      </c>
      <c r="K13" s="53">
        <f t="shared" ref="K13:M13" si="7">K12/K11</f>
        <v>0.13350834376945003</v>
      </c>
      <c r="L13" s="53">
        <f t="shared" si="7"/>
        <v>0.1465938959320302</v>
      </c>
      <c r="M13" s="53">
        <f t="shared" si="7"/>
        <v>0.16163925901113219</v>
      </c>
      <c r="N13" s="53">
        <f>N12/N11</f>
        <v>0.17862253373185721</v>
      </c>
    </row>
    <row r="14" spans="1:15" ht="15" thickBot="1" x14ac:dyDescent="0.35">
      <c r="A14" s="6" t="s">
        <v>152</v>
      </c>
      <c r="B14" s="7">
        <f>B11-B12</f>
        <v>3271</v>
      </c>
      <c r="C14" s="7">
        <f>C11-C12</f>
        <v>3760</v>
      </c>
      <c r="D14" s="7">
        <f>D11-D12</f>
        <v>4240</v>
      </c>
      <c r="E14" s="7">
        <f>E11-E12</f>
        <v>1933</v>
      </c>
      <c r="F14" s="7">
        <f>F11-F12</f>
        <v>4029</v>
      </c>
      <c r="G14" s="7">
        <f t="shared" ref="G14:M14" si="8">G11-G12</f>
        <v>2539</v>
      </c>
      <c r="H14" s="7">
        <f t="shared" si="8"/>
        <v>5727</v>
      </c>
      <c r="I14" s="7">
        <f t="shared" si="8"/>
        <v>6046</v>
      </c>
      <c r="J14" s="7">
        <f>J11-J12</f>
        <v>5309.2923333333301</v>
      </c>
      <c r="K14" s="7">
        <f t="shared" si="8"/>
        <v>5654.2348560000019</v>
      </c>
      <c r="L14" s="7">
        <f t="shared" si="8"/>
        <v>6086.0984133369993</v>
      </c>
      <c r="M14" s="7">
        <f t="shared" si="8"/>
        <v>6506.7547952496352</v>
      </c>
      <c r="N14" s="7">
        <f>N11-N12</f>
        <v>6922.5825553408004</v>
      </c>
    </row>
    <row r="15" spans="1:15" ht="15" thickTop="1" x14ac:dyDescent="0.3">
      <c r="A15" t="s">
        <v>153</v>
      </c>
      <c r="B15">
        <v>884.4</v>
      </c>
      <c r="C15">
        <v>1742.5</v>
      </c>
      <c r="D15">
        <v>1692</v>
      </c>
      <c r="E15">
        <v>1659.1</v>
      </c>
      <c r="F15">
        <v>1618.4</v>
      </c>
      <c r="G15" s="8">
        <v>1591.6</v>
      </c>
      <c r="H15" s="8">
        <v>1609.4</v>
      </c>
      <c r="I15" s="8">
        <v>1610.8</v>
      </c>
      <c r="J15" s="3">
        <v>1864</v>
      </c>
      <c r="K15" s="3">
        <v>2149</v>
      </c>
      <c r="L15" s="3">
        <v>2470</v>
      </c>
      <c r="M15" s="3">
        <v>2841</v>
      </c>
      <c r="N15" s="3">
        <f t="shared" ref="N15" si="9">M15*1.125</f>
        <v>3196.125</v>
      </c>
    </row>
    <row r="16" spans="1:15" x14ac:dyDescent="0.3">
      <c r="A16" t="s">
        <v>154</v>
      </c>
      <c r="B16">
        <v>3.7</v>
      </c>
      <c r="C16">
        <v>2.16</v>
      </c>
      <c r="D16">
        <v>2.16</v>
      </c>
      <c r="E16">
        <v>1.17</v>
      </c>
      <c r="F16">
        <v>2.4900000000000002</v>
      </c>
      <c r="G16">
        <v>1.6</v>
      </c>
      <c r="H16">
        <v>3.56</v>
      </c>
      <c r="I16">
        <v>3.75</v>
      </c>
      <c r="J16" s="54">
        <f>J14/J15</f>
        <v>2.8483327968526448</v>
      </c>
      <c r="K16" s="54">
        <f t="shared" ref="K16:N16" si="10">K14/K15</f>
        <v>2.6311004448580744</v>
      </c>
      <c r="L16" s="54">
        <f t="shared" si="10"/>
        <v>2.4640074547923074</v>
      </c>
      <c r="M16" s="54">
        <f t="shared" si="10"/>
        <v>2.2903043981871294</v>
      </c>
      <c r="N16" s="54">
        <f t="shared" si="10"/>
        <v>2.165929854226853</v>
      </c>
    </row>
    <row r="17" spans="1:15" x14ac:dyDescent="0.3">
      <c r="A17" t="s">
        <v>155</v>
      </c>
      <c r="B17" s="54">
        <f>[1]Historicals!B97/-'[1]Three Statements'!B15</f>
        <v>1.016508367254636</v>
      </c>
      <c r="C17" s="54">
        <f>[1]Historicals!C97/-'[1]Three Statements'!C15</f>
        <v>0.58651362984218081</v>
      </c>
      <c r="D17" s="54">
        <f>[1]Historicals!D97/-'[1]Three Statements'!D15</f>
        <v>0.66962174940898345</v>
      </c>
      <c r="E17" s="54">
        <f>[1]Historicals!E97/-'[1]Three Statements'!E15</f>
        <v>0.74920137423904531</v>
      </c>
      <c r="F17" s="54">
        <f>[1]Historicals!F97/-'[1]Three Statements'!F15</f>
        <v>0.82303509639149774</v>
      </c>
      <c r="G17" s="54">
        <f>[1]Historicals!G97/-'[1]Three Statements'!G15</f>
        <v>0.91228951997989449</v>
      </c>
      <c r="H17" s="54">
        <f>[1]Historicals!H97/-'[1]Three Statements'!H15</f>
        <v>1.0177705977382876</v>
      </c>
      <c r="I17" s="54">
        <f>[1]Historicals!I97/-'[1]Three Statements'!I15</f>
        <v>1.1404271169605165</v>
      </c>
      <c r="J17" s="54">
        <f>I17*1.04</f>
        <v>1.1860442016389372</v>
      </c>
      <c r="K17" s="54">
        <f t="shared" ref="K17:N17" si="11">J17*1.04</f>
        <v>1.2334859697044946</v>
      </c>
      <c r="L17" s="54">
        <f t="shared" si="11"/>
        <v>1.2828254084926745</v>
      </c>
      <c r="M17" s="54">
        <f t="shared" si="11"/>
        <v>1.3341384248323815</v>
      </c>
      <c r="N17" s="54">
        <f t="shared" si="11"/>
        <v>1.3875039618256768</v>
      </c>
    </row>
    <row r="18" spans="1:15" x14ac:dyDescent="0.3">
      <c r="A18" s="51" t="s">
        <v>129</v>
      </c>
      <c r="B18" s="52"/>
      <c r="C18" s="52">
        <f>C17/B17-1</f>
        <v>-0.42301150808406596</v>
      </c>
      <c r="D18" s="52">
        <f t="shared" ref="D18:N18" si="12">D17/C17-1</f>
        <v>0.14169853067040461</v>
      </c>
      <c r="E18" s="52">
        <f t="shared" si="12"/>
        <v>0.11884265243818604</v>
      </c>
      <c r="F18" s="52">
        <f t="shared" si="12"/>
        <v>9.8549902190775418E-2</v>
      </c>
      <c r="G18" s="52">
        <f t="shared" si="12"/>
        <v>0.10844546481641237</v>
      </c>
      <c r="H18" s="52">
        <f t="shared" si="12"/>
        <v>0.11562237146023313</v>
      </c>
      <c r="I18" s="52">
        <f t="shared" si="12"/>
        <v>0.12051489745803123</v>
      </c>
      <c r="J18" s="52">
        <f t="shared" si="12"/>
        <v>4.0000000000000036E-2</v>
      </c>
      <c r="K18" s="52">
        <f t="shared" si="12"/>
        <v>4.0000000000000036E-2</v>
      </c>
      <c r="L18" s="52">
        <f t="shared" si="12"/>
        <v>4.0000000000000036E-2</v>
      </c>
      <c r="M18" s="52">
        <f t="shared" si="12"/>
        <v>4.0000000000000036E-2</v>
      </c>
      <c r="N18" s="52">
        <f t="shared" si="12"/>
        <v>4.0000000000000036E-2</v>
      </c>
    </row>
    <row r="19" spans="1:15" x14ac:dyDescent="0.3">
      <c r="A19" s="51" t="s">
        <v>156</v>
      </c>
      <c r="B19" s="52">
        <f>[1]Historicals!B97/-'[1]Three Statements'!B14</f>
        <v>0.27483949862427393</v>
      </c>
      <c r="C19" s="52">
        <f>[1]Historicals!C97/-'[1]Three Statements'!C14</f>
        <v>0.27180851063829786</v>
      </c>
      <c r="D19" s="52">
        <f>[1]Historicals!D97/-'[1]Three Statements'!D14</f>
        <v>0.26721698113207548</v>
      </c>
      <c r="E19" s="52">
        <f>[1]Historicals!E97/-'[1]Three Statements'!E14</f>
        <v>0.64304190377651316</v>
      </c>
      <c r="F19" s="52">
        <f>[1]Historicals!F97/-'[1]Three Statements'!F14</f>
        <v>0.33060312732688013</v>
      </c>
      <c r="G19" s="52">
        <f>[1]Historicals!G97/-'[1]Three Statements'!G14</f>
        <v>0.57187869239858213</v>
      </c>
      <c r="H19" s="52">
        <f>[1]Historicals!H97/-'[1]Three Statements'!H14</f>
        <v>0.286013619696176</v>
      </c>
      <c r="I19" s="52">
        <f>[1]Historicals!I97/-'[1]Three Statements'!I14</f>
        <v>0.30383724776711873</v>
      </c>
      <c r="J19" s="52">
        <f>J17/J16</f>
        <v>0.41639944705530696</v>
      </c>
      <c r="K19" s="52">
        <f t="shared" ref="K19:M19" si="13">K17/K16</f>
        <v>0.4688099126413362</v>
      </c>
      <c r="L19" s="52">
        <f t="shared" si="13"/>
        <v>0.52062561986071776</v>
      </c>
      <c r="M19" s="52">
        <f t="shared" si="13"/>
        <v>0.58251576772432834</v>
      </c>
      <c r="N19" s="52">
        <f>N17/N16</f>
        <v>0.64060429247878758</v>
      </c>
      <c r="O19" t="s">
        <v>207</v>
      </c>
    </row>
    <row r="20" spans="1:15" x14ac:dyDescent="0.3">
      <c r="A20" s="55" t="s">
        <v>157</v>
      </c>
      <c r="B20" s="38"/>
      <c r="C20" s="38"/>
      <c r="D20" s="38"/>
      <c r="E20" s="38"/>
      <c r="F20" s="38"/>
      <c r="G20" s="38"/>
      <c r="H20" s="38"/>
      <c r="I20" s="38"/>
      <c r="J20" s="37"/>
      <c r="K20" s="37"/>
      <c r="L20" s="37"/>
      <c r="M20" s="37"/>
      <c r="N20" s="37"/>
    </row>
    <row r="21" spans="1:15" x14ac:dyDescent="0.3">
      <c r="A21" t="s">
        <v>158</v>
      </c>
      <c r="B21" s="3">
        <v>3852</v>
      </c>
      <c r="C21" s="3">
        <v>3138</v>
      </c>
      <c r="D21" s="3">
        <v>3808</v>
      </c>
      <c r="E21" s="3">
        <v>4249</v>
      </c>
      <c r="F21" s="3">
        <v>4466</v>
      </c>
      <c r="G21" s="3">
        <v>8348</v>
      </c>
      <c r="H21" s="3">
        <v>9889</v>
      </c>
      <c r="I21" s="3">
        <v>8574</v>
      </c>
      <c r="J21" s="3">
        <v>7799</v>
      </c>
      <c r="K21" s="3">
        <f>K70</f>
        <v>8170.7707511050412</v>
      </c>
      <c r="L21" s="3">
        <f t="shared" ref="L21:N21" si="14">L70</f>
        <v>11538</v>
      </c>
      <c r="M21" s="3">
        <f t="shared" si="14"/>
        <v>17868</v>
      </c>
      <c r="N21" s="3">
        <f t="shared" si="14"/>
        <v>26394</v>
      </c>
    </row>
    <row r="22" spans="1:15" x14ac:dyDescent="0.3">
      <c r="A22" t="s">
        <v>159</v>
      </c>
      <c r="B22" s="3"/>
      <c r="C22" s="61"/>
      <c r="D22" s="61"/>
      <c r="E22" s="61"/>
      <c r="F22" s="61"/>
      <c r="G22" s="61"/>
      <c r="H22" s="61"/>
      <c r="I22" s="61"/>
      <c r="J22" s="3"/>
      <c r="K22" s="3"/>
      <c r="L22" s="3"/>
      <c r="M22" s="3"/>
      <c r="N22" s="3"/>
    </row>
    <row r="23" spans="1:15" x14ac:dyDescent="0.3">
      <c r="A23" t="s">
        <v>160</v>
      </c>
      <c r="B23" s="3">
        <f>[1]Historicals!B31-[1]Historicals!B46</f>
        <v>9642</v>
      </c>
      <c r="C23" s="3">
        <f>[1]Historicals!C31-[1]Historicals!C46</f>
        <v>9667</v>
      </c>
      <c r="D23" s="3">
        <f>[1]Historicals!D31-[1]Historicals!D46</f>
        <v>10587</v>
      </c>
      <c r="E23" s="3">
        <f>[1]Historicals!E31-[1]Historicals!E46</f>
        <v>9094</v>
      </c>
      <c r="F23" s="3">
        <f>[1]Historicals!F31-[1]Historicals!F46</f>
        <v>8659</v>
      </c>
      <c r="G23" s="3">
        <f>[1]Historicals!G31-[1]Historicals!G46</f>
        <v>12272</v>
      </c>
      <c r="H23" s="3">
        <f>[1]Historicals!H31-[1]Historicals!H46</f>
        <v>16617</v>
      </c>
      <c r="I23" s="3">
        <f>[1]Historicals!I31-[1]Historicals!I46</f>
        <v>17483</v>
      </c>
      <c r="J23" s="3">
        <v>20592</v>
      </c>
      <c r="K23" s="3">
        <v>22972</v>
      </c>
      <c r="L23" s="3">
        <v>33986</v>
      </c>
      <c r="M23" s="3">
        <v>30912</v>
      </c>
      <c r="N23" s="3">
        <v>35153</v>
      </c>
    </row>
    <row r="24" spans="1:15" x14ac:dyDescent="0.3">
      <c r="A24" s="51" t="s">
        <v>161</v>
      </c>
      <c r="B24" s="52">
        <f>B23/B3</f>
        <v>0.31508774223064606</v>
      </c>
      <c r="C24" s="52">
        <f t="shared" ref="C24:N24" si="15">C23/C3</f>
        <v>0.29858537188040524</v>
      </c>
      <c r="D24" s="52">
        <f t="shared" si="15"/>
        <v>0.30820960698689959</v>
      </c>
      <c r="E24" s="52">
        <f t="shared" si="15"/>
        <v>0.24985575734263812</v>
      </c>
      <c r="F24" s="52">
        <f t="shared" si="15"/>
        <v>0.22136155635657132</v>
      </c>
      <c r="G24" s="52">
        <f t="shared" si="15"/>
        <v>0.32810202390182608</v>
      </c>
      <c r="H24" s="52">
        <f t="shared" si="15"/>
        <v>0.37309713054021287</v>
      </c>
      <c r="I24" s="52">
        <f t="shared" si="15"/>
        <v>0.37428816099336332</v>
      </c>
      <c r="J24" s="52">
        <f t="shared" si="15"/>
        <v>0.40611779538954779</v>
      </c>
      <c r="K24" s="52">
        <f t="shared" si="15"/>
        <v>0.41781133082857896</v>
      </c>
      <c r="L24" s="52">
        <f t="shared" si="15"/>
        <v>0.56921279379220358</v>
      </c>
      <c r="M24" s="52">
        <f t="shared" si="15"/>
        <v>0.47604548353447995</v>
      </c>
      <c r="N24" s="52">
        <f t="shared" si="15"/>
        <v>0.49701960194629496</v>
      </c>
    </row>
    <row r="25" spans="1:15" x14ac:dyDescent="0.3">
      <c r="A25" t="s">
        <v>162</v>
      </c>
      <c r="B25" s="3">
        <v>12124</v>
      </c>
      <c r="C25" s="3">
        <v>11887</v>
      </c>
      <c r="D25" s="3">
        <v>12253</v>
      </c>
      <c r="E25" s="3">
        <v>10885</v>
      </c>
      <c r="F25" s="3">
        <v>12059</v>
      </c>
      <c r="G25" s="3">
        <v>12208</v>
      </c>
      <c r="H25" s="3">
        <v>16402</v>
      </c>
      <c r="I25" s="3">
        <v>19639</v>
      </c>
      <c r="J25" s="3">
        <f>I25*1.12</f>
        <v>21995.68</v>
      </c>
      <c r="K25" s="3">
        <f t="shared" ref="K25:N26" si="16">J25*1.12</f>
        <v>24635.161600000003</v>
      </c>
      <c r="L25" s="3">
        <f t="shared" si="16"/>
        <v>27591.380992000006</v>
      </c>
      <c r="M25" s="3">
        <f t="shared" si="16"/>
        <v>30902.346711040009</v>
      </c>
      <c r="N25" s="3">
        <f t="shared" si="16"/>
        <v>34610.628316364811</v>
      </c>
    </row>
    <row r="26" spans="1:15" x14ac:dyDescent="0.3">
      <c r="A26" t="s">
        <v>163</v>
      </c>
      <c r="B26" s="3">
        <v>3011</v>
      </c>
      <c r="C26" s="3">
        <v>3520</v>
      </c>
      <c r="D26" s="3">
        <v>3989</v>
      </c>
      <c r="E26" s="3">
        <v>4454</v>
      </c>
      <c r="F26" s="3">
        <v>4744</v>
      </c>
      <c r="G26" s="3">
        <v>4866</v>
      </c>
      <c r="H26" s="3">
        <v>4904</v>
      </c>
      <c r="I26" s="3">
        <v>4791</v>
      </c>
      <c r="J26" s="3">
        <f>I26*1.12</f>
        <v>5365.92</v>
      </c>
      <c r="K26" s="3">
        <f t="shared" si="16"/>
        <v>6009.8304000000007</v>
      </c>
      <c r="L26" s="3">
        <f t="shared" si="16"/>
        <v>6731.0100480000019</v>
      </c>
      <c r="M26" s="3">
        <f t="shared" si="16"/>
        <v>7538.7312537600028</v>
      </c>
      <c r="N26" s="3">
        <f t="shared" si="16"/>
        <v>8443.3790042112032</v>
      </c>
    </row>
    <row r="27" spans="1:15" x14ac:dyDescent="0.3">
      <c r="A27" t="s">
        <v>164</v>
      </c>
      <c r="B27" s="3">
        <v>281</v>
      </c>
      <c r="C27" s="3">
        <v>281</v>
      </c>
      <c r="D27" s="3">
        <v>283</v>
      </c>
      <c r="E27" s="3">
        <v>285</v>
      </c>
      <c r="F27" s="3">
        <v>283</v>
      </c>
      <c r="G27" s="3">
        <v>274</v>
      </c>
      <c r="H27" s="3">
        <v>269</v>
      </c>
      <c r="I27" s="3">
        <v>286</v>
      </c>
      <c r="J27" s="3">
        <f>I27*1.124</f>
        <v>321.46400000000006</v>
      </c>
      <c r="K27" s="3">
        <f t="shared" ref="K27:N28" si="17">J27*1.124</f>
        <v>361.32553600000011</v>
      </c>
      <c r="L27" s="3">
        <f t="shared" si="17"/>
        <v>406.12990246400017</v>
      </c>
      <c r="M27" s="3">
        <f t="shared" si="17"/>
        <v>456.49001036953621</v>
      </c>
      <c r="N27" s="3">
        <f t="shared" si="17"/>
        <v>513.09477165535873</v>
      </c>
    </row>
    <row r="28" spans="1:15" x14ac:dyDescent="0.3">
      <c r="A28" t="s">
        <v>40</v>
      </c>
      <c r="B28" s="3">
        <v>131</v>
      </c>
      <c r="C28" s="3">
        <v>131</v>
      </c>
      <c r="D28" s="3">
        <v>139</v>
      </c>
      <c r="E28" s="3">
        <v>154</v>
      </c>
      <c r="F28" s="3">
        <v>154</v>
      </c>
      <c r="G28" s="3">
        <v>223</v>
      </c>
      <c r="H28" s="3">
        <v>242</v>
      </c>
      <c r="I28" s="3">
        <v>284</v>
      </c>
      <c r="J28" s="3">
        <f>I28*1.124</f>
        <v>319.21600000000001</v>
      </c>
      <c r="K28" s="3">
        <f t="shared" si="17"/>
        <v>358.79878400000007</v>
      </c>
      <c r="L28" s="3">
        <f t="shared" si="17"/>
        <v>403.28983321600009</v>
      </c>
      <c r="M28" s="3">
        <f t="shared" si="17"/>
        <v>453.29777253478414</v>
      </c>
      <c r="N28" s="3">
        <f t="shared" si="17"/>
        <v>509.50669632909745</v>
      </c>
    </row>
    <row r="29" spans="1:15" x14ac:dyDescent="0.3">
      <c r="A29" s="56" t="s">
        <v>38</v>
      </c>
      <c r="B29" s="3"/>
      <c r="C29" s="3"/>
      <c r="D29" s="3"/>
      <c r="E29" s="3"/>
      <c r="F29" s="3"/>
      <c r="G29" s="3">
        <v>3097</v>
      </c>
      <c r="H29" s="3">
        <v>3113</v>
      </c>
      <c r="I29" s="3">
        <v>2926</v>
      </c>
      <c r="J29" s="3">
        <f>I29*0.955</f>
        <v>2794.33</v>
      </c>
      <c r="K29" s="3">
        <f t="shared" ref="K29:N29" si="18">J29*0.955</f>
        <v>2668.5851499999999</v>
      </c>
      <c r="L29" s="3">
        <f t="shared" si="18"/>
        <v>2548.4988182499997</v>
      </c>
      <c r="M29" s="3">
        <f t="shared" si="18"/>
        <v>2433.8163714287498</v>
      </c>
      <c r="N29" s="3">
        <f t="shared" si="18"/>
        <v>2324.2946347144562</v>
      </c>
    </row>
    <row r="30" spans="1:15" x14ac:dyDescent="0.3">
      <c r="A30" t="s">
        <v>165</v>
      </c>
      <c r="B30" s="3">
        <v>2201</v>
      </c>
      <c r="C30" s="3">
        <v>2422</v>
      </c>
      <c r="D30" s="3">
        <v>2787</v>
      </c>
      <c r="E30" s="3">
        <v>2509</v>
      </c>
      <c r="F30" s="3">
        <v>2011</v>
      </c>
      <c r="G30" s="3">
        <v>2326</v>
      </c>
      <c r="H30" s="3">
        <v>2921</v>
      </c>
      <c r="I30" s="3">
        <v>3821</v>
      </c>
      <c r="J30" s="3">
        <f>I30*1.1</f>
        <v>4203.1000000000004</v>
      </c>
      <c r="K30" s="3">
        <f t="shared" ref="K30:N30" si="19">J30*1.1</f>
        <v>4623.4100000000008</v>
      </c>
      <c r="L30" s="3">
        <f t="shared" si="19"/>
        <v>5085.7510000000011</v>
      </c>
      <c r="M30" s="3">
        <f t="shared" si="19"/>
        <v>5594.326100000002</v>
      </c>
      <c r="N30" s="3">
        <f t="shared" si="19"/>
        <v>6153.7587100000028</v>
      </c>
    </row>
    <row r="31" spans="1:15" ht="15" thickBot="1" x14ac:dyDescent="0.35">
      <c r="A31" s="6" t="s">
        <v>166</v>
      </c>
      <c r="B31" s="7">
        <f>B21+B25+B26+B27+B28+B30</f>
        <v>21600</v>
      </c>
      <c r="C31" s="7">
        <f>C30+C28+C27+C26++C25+C21</f>
        <v>21379</v>
      </c>
      <c r="D31" s="7">
        <f>D21+D25+D26+D27+D28+D30</f>
        <v>23259</v>
      </c>
      <c r="E31" s="7">
        <f>E21+E25+E26+E27+E28+E30</f>
        <v>22536</v>
      </c>
      <c r="F31" s="7">
        <f>F21+F25+F26+F27+F28+F30</f>
        <v>23717</v>
      </c>
      <c r="G31" s="7">
        <f>G21+G25+G26+G27+G28+G30+G29</f>
        <v>31342</v>
      </c>
      <c r="H31" s="7">
        <f>H21+H25+H26+H27+H28+H30+H29</f>
        <v>37740</v>
      </c>
      <c r="I31" s="7">
        <f>I21+I25+I26+I27+I28+I30+I29</f>
        <v>40321</v>
      </c>
      <c r="J31" s="7">
        <f>J21+J25+J26+J27+J28+J29+J30</f>
        <v>42798.71</v>
      </c>
      <c r="K31" s="7">
        <f t="shared" ref="K31:L31" si="20">K21+K25+K26+K27+K28+K29+K30</f>
        <v>46827.882221105043</v>
      </c>
      <c r="L31" s="7">
        <f t="shared" si="20"/>
        <v>54304.060593930015</v>
      </c>
      <c r="M31" s="7">
        <f>M21+M25+M26+M27+M28+M29+M30</f>
        <v>65247.008219133073</v>
      </c>
      <c r="N31" s="7">
        <f>N21+N25+N26+N27+N28+N29+N30</f>
        <v>78948.662133274949</v>
      </c>
    </row>
    <row r="32" spans="1:15" ht="15" thickTop="1" x14ac:dyDescent="0.3">
      <c r="A32" t="s">
        <v>167</v>
      </c>
      <c r="B32" s="3"/>
      <c r="C32" s="3"/>
      <c r="D32" s="3"/>
      <c r="E32" s="3"/>
      <c r="F32" s="3"/>
      <c r="G32" s="3"/>
      <c r="H32" s="3"/>
      <c r="I32" s="3"/>
      <c r="J32" s="3"/>
      <c r="K32" s="3"/>
      <c r="L32" s="3"/>
      <c r="M32" s="3"/>
      <c r="N32" s="3"/>
    </row>
    <row r="33" spans="1:14" x14ac:dyDescent="0.3">
      <c r="A33" s="2" t="s">
        <v>45</v>
      </c>
      <c r="B33" s="3">
        <v>107</v>
      </c>
      <c r="C33" s="3">
        <v>44</v>
      </c>
      <c r="D33" s="3">
        <v>6</v>
      </c>
      <c r="E33" s="3">
        <v>6</v>
      </c>
      <c r="F33" s="3">
        <v>6</v>
      </c>
      <c r="G33" s="3">
        <v>3</v>
      </c>
      <c r="H33" s="3">
        <v>0</v>
      </c>
      <c r="I33" s="3">
        <v>500</v>
      </c>
      <c r="J33" s="3">
        <v>84</v>
      </c>
      <c r="K33" s="3">
        <v>80</v>
      </c>
      <c r="L33" s="3">
        <v>400</v>
      </c>
      <c r="M33" s="3">
        <v>375</v>
      </c>
      <c r="N33" s="3">
        <v>134</v>
      </c>
    </row>
    <row r="34" spans="1:14" x14ac:dyDescent="0.3">
      <c r="A34" s="2" t="s">
        <v>46</v>
      </c>
      <c r="B34" s="3">
        <v>74</v>
      </c>
      <c r="C34" s="3">
        <v>1</v>
      </c>
      <c r="D34" s="3">
        <v>325</v>
      </c>
      <c r="E34" s="3">
        <v>336</v>
      </c>
      <c r="F34" s="3">
        <v>9</v>
      </c>
      <c r="G34" s="3">
        <v>248</v>
      </c>
      <c r="H34" s="3">
        <v>2</v>
      </c>
      <c r="I34" s="3">
        <v>10</v>
      </c>
      <c r="J34" s="3">
        <v>126</v>
      </c>
      <c r="K34" s="3">
        <v>120</v>
      </c>
      <c r="L34" s="3">
        <v>110</v>
      </c>
      <c r="M34" s="3">
        <v>124</v>
      </c>
      <c r="N34" s="3">
        <v>132</v>
      </c>
    </row>
    <row r="35" spans="1:14" x14ac:dyDescent="0.3">
      <c r="A35" t="s">
        <v>168</v>
      </c>
      <c r="B35" s="3">
        <v>6153</v>
      </c>
      <c r="C35" s="3">
        <v>5313</v>
      </c>
      <c r="D35" s="3">
        <v>5143</v>
      </c>
      <c r="E35" s="3">
        <v>5698</v>
      </c>
      <c r="F35" s="3">
        <v>7851</v>
      </c>
      <c r="G35" s="3">
        <v>8033</v>
      </c>
      <c r="H35" s="3">
        <v>9672</v>
      </c>
      <c r="I35" s="3">
        <v>10220</v>
      </c>
      <c r="J35" s="3">
        <f>I35*1.09</f>
        <v>11139.800000000001</v>
      </c>
      <c r="K35" s="3">
        <v>13000</v>
      </c>
      <c r="L35" s="3">
        <v>13210</v>
      </c>
      <c r="M35" s="3">
        <v>15016</v>
      </c>
      <c r="N35" s="3">
        <v>21210</v>
      </c>
    </row>
    <row r="36" spans="1:14" x14ac:dyDescent="0.3">
      <c r="A36" t="s">
        <v>49</v>
      </c>
      <c r="B36" s="3">
        <v>1079</v>
      </c>
      <c r="C36" s="3">
        <v>1993</v>
      </c>
      <c r="D36" s="3">
        <v>3471</v>
      </c>
      <c r="E36" s="3">
        <v>3468</v>
      </c>
      <c r="F36" s="3">
        <v>3464</v>
      </c>
      <c r="G36" s="3">
        <v>9406</v>
      </c>
      <c r="H36" s="3">
        <v>9413</v>
      </c>
      <c r="I36" s="3">
        <v>8920</v>
      </c>
      <c r="J36" s="3">
        <v>11004</v>
      </c>
      <c r="K36" s="3">
        <v>12500</v>
      </c>
      <c r="L36" s="3">
        <v>14600</v>
      </c>
      <c r="M36" s="3">
        <v>16450</v>
      </c>
      <c r="N36" s="3">
        <v>22010</v>
      </c>
    </row>
    <row r="37" spans="1:14" x14ac:dyDescent="0.3">
      <c r="A37" s="56" t="s">
        <v>50</v>
      </c>
      <c r="B37" s="3"/>
      <c r="C37" s="3"/>
      <c r="D37" s="3"/>
      <c r="E37" s="3"/>
      <c r="F37" s="3"/>
      <c r="G37" s="3">
        <v>2913</v>
      </c>
      <c r="H37" s="3">
        <v>2931</v>
      </c>
      <c r="I37" s="3">
        <v>2777</v>
      </c>
      <c r="J37" s="3">
        <v>2874</v>
      </c>
      <c r="K37" s="3">
        <v>3210</v>
      </c>
      <c r="L37" s="3">
        <v>2941</v>
      </c>
      <c r="M37" s="3">
        <v>3115</v>
      </c>
      <c r="N37" s="3">
        <v>2966</v>
      </c>
    </row>
    <row r="38" spans="1:14" x14ac:dyDescent="0.3">
      <c r="A38" t="s">
        <v>169</v>
      </c>
      <c r="B38" s="3">
        <v>1480</v>
      </c>
      <c r="C38" s="3">
        <v>1770</v>
      </c>
      <c r="D38" s="3">
        <v>1907</v>
      </c>
      <c r="E38" s="3">
        <v>3216</v>
      </c>
      <c r="F38" s="3">
        <v>3347</v>
      </c>
      <c r="G38" s="3">
        <v>2684</v>
      </c>
      <c r="H38" s="3">
        <v>2955</v>
      </c>
      <c r="I38" s="3">
        <v>2613</v>
      </c>
      <c r="J38" s="3">
        <v>2497</v>
      </c>
      <c r="K38" s="3">
        <v>3296</v>
      </c>
      <c r="L38" s="3">
        <v>4200</v>
      </c>
      <c r="M38" s="3">
        <v>5350</v>
      </c>
      <c r="N38" s="3">
        <v>7780</v>
      </c>
    </row>
    <row r="39" spans="1:14" x14ac:dyDescent="0.3">
      <c r="A39" t="s">
        <v>170</v>
      </c>
      <c r="B39" s="3"/>
      <c r="C39" s="62"/>
      <c r="D39" s="62"/>
      <c r="E39" s="62"/>
      <c r="F39" s="62"/>
      <c r="G39" s="62"/>
      <c r="H39" s="62"/>
      <c r="I39" s="62"/>
      <c r="J39" s="62"/>
      <c r="K39" s="62"/>
      <c r="L39" s="62"/>
      <c r="M39" s="62"/>
      <c r="N39" s="3"/>
    </row>
    <row r="40" spans="1:14" x14ac:dyDescent="0.3">
      <c r="A40" s="2" t="s">
        <v>171</v>
      </c>
      <c r="B40" s="3">
        <v>6776</v>
      </c>
      <c r="C40" s="3">
        <v>7789</v>
      </c>
      <c r="D40" s="3">
        <v>8641</v>
      </c>
      <c r="E40" s="3">
        <v>6387</v>
      </c>
      <c r="F40" s="3">
        <v>7166</v>
      </c>
      <c r="G40" s="3">
        <v>8302</v>
      </c>
      <c r="H40" s="3">
        <v>9968</v>
      </c>
      <c r="I40" s="3">
        <v>11487</v>
      </c>
      <c r="J40" s="3">
        <f>I40*1.09</f>
        <v>12520.830000000002</v>
      </c>
      <c r="K40" s="3">
        <v>11997</v>
      </c>
      <c r="L40" s="3">
        <v>14400</v>
      </c>
      <c r="M40" s="3">
        <f>L40*1.09</f>
        <v>15696.000000000002</v>
      </c>
      <c r="N40" s="3">
        <f>M40*1.09</f>
        <v>17108.640000000003</v>
      </c>
    </row>
    <row r="41" spans="1:14" x14ac:dyDescent="0.3">
      <c r="A41" s="2" t="s">
        <v>172</v>
      </c>
      <c r="B41" s="3">
        <v>4685</v>
      </c>
      <c r="C41" s="3">
        <v>4151</v>
      </c>
      <c r="D41" s="3">
        <v>3979</v>
      </c>
      <c r="E41" s="3">
        <v>3517</v>
      </c>
      <c r="F41" s="3">
        <v>1643</v>
      </c>
      <c r="G41" s="3">
        <v>-191</v>
      </c>
      <c r="H41" s="3">
        <v>3179</v>
      </c>
      <c r="I41" s="3">
        <v>3476</v>
      </c>
      <c r="J41" s="3">
        <v>2226</v>
      </c>
      <c r="K41" s="3">
        <v>1370</v>
      </c>
      <c r="L41" s="3">
        <v>1655</v>
      </c>
      <c r="M41" s="3">
        <v>7094</v>
      </c>
      <c r="N41" s="3">
        <v>4886</v>
      </c>
    </row>
    <row r="42" spans="1:14" x14ac:dyDescent="0.3">
      <c r="A42" s="2" t="s">
        <v>173</v>
      </c>
      <c r="B42" s="3">
        <v>1246</v>
      </c>
      <c r="C42" s="3">
        <v>318</v>
      </c>
      <c r="D42" s="3">
        <v>-213</v>
      </c>
      <c r="E42" s="3">
        <v>-92</v>
      </c>
      <c r="F42" s="3">
        <v>231</v>
      </c>
      <c r="G42" s="3">
        <v>-56</v>
      </c>
      <c r="H42" s="3">
        <v>-380</v>
      </c>
      <c r="I42" s="3">
        <v>318</v>
      </c>
      <c r="J42" s="3">
        <v>327</v>
      </c>
      <c r="K42" s="3">
        <v>1255</v>
      </c>
      <c r="L42" s="3">
        <v>2788</v>
      </c>
      <c r="M42" s="3">
        <v>2027</v>
      </c>
      <c r="N42" s="3">
        <v>2722</v>
      </c>
    </row>
    <row r="43" spans="1:14" ht="15" thickBot="1" x14ac:dyDescent="0.35">
      <c r="A43" s="6" t="s">
        <v>174</v>
      </c>
      <c r="B43" s="7">
        <f>B33+B34+B35+B36+B38+B40+B41+B42</f>
        <v>21600</v>
      </c>
      <c r="C43" s="7">
        <f>C33+C34+C35+C36+C38+C40+C41+C42</f>
        <v>21379</v>
      </c>
      <c r="D43" s="7">
        <f>D33+D34+D35+D36+D38+D40+D41+D42</f>
        <v>23259</v>
      </c>
      <c r="E43" s="7">
        <f>E33+E34+E35+E36+E38+E40+E41+E42</f>
        <v>22536</v>
      </c>
      <c r="F43" s="7">
        <f>F33+F34+F35+F36+F38+F40+F41+F42</f>
        <v>23717</v>
      </c>
      <c r="G43" s="7">
        <f>G33+G34+G35+G36+G38+G40+G41+G42+G37</f>
        <v>31342</v>
      </c>
      <c r="H43" s="7">
        <f>H33+H34+H35+H36+H38+H40+H41+H42+H37</f>
        <v>37740</v>
      </c>
      <c r="I43" s="7">
        <f>I33+I34+I35+I36+I38+I40+I41+I42+I37</f>
        <v>40321</v>
      </c>
      <c r="J43" s="7">
        <f>J33+J34+J35+J36+J37+J38+J40+J41+J42</f>
        <v>42798.630000000005</v>
      </c>
      <c r="K43" s="7">
        <f>K33+K34+K35+K36+K37+K38+K40+K41+K42</f>
        <v>46828</v>
      </c>
      <c r="L43" s="7">
        <v>54304</v>
      </c>
      <c r="M43" s="7">
        <v>65247</v>
      </c>
      <c r="N43" s="7">
        <v>78949</v>
      </c>
    </row>
    <row r="44" spans="1:14" ht="15" thickTop="1" x14ac:dyDescent="0.3">
      <c r="A44" s="63" t="s">
        <v>175</v>
      </c>
      <c r="B44" s="63"/>
      <c r="C44" s="63"/>
      <c r="D44" s="63"/>
      <c r="E44" s="63"/>
      <c r="F44" s="63"/>
      <c r="G44" s="63"/>
      <c r="H44" s="63"/>
      <c r="I44" s="63"/>
      <c r="J44" s="63"/>
      <c r="K44" s="63"/>
      <c r="L44" s="63"/>
      <c r="M44" s="63"/>
      <c r="N44" s="63"/>
    </row>
    <row r="45" spans="1:14" x14ac:dyDescent="0.3">
      <c r="A45" s="55" t="s">
        <v>208</v>
      </c>
      <c r="B45" s="38"/>
      <c r="C45" s="38"/>
      <c r="D45" s="38"/>
      <c r="E45" s="38"/>
      <c r="F45" s="38"/>
      <c r="G45" s="38"/>
      <c r="H45" s="38"/>
      <c r="I45" s="38"/>
      <c r="J45" s="37"/>
      <c r="K45" s="37"/>
      <c r="L45" s="37"/>
      <c r="M45" s="37"/>
      <c r="N45" s="37"/>
    </row>
    <row r="46" spans="1:14" x14ac:dyDescent="0.3">
      <c r="A46" s="1" t="s">
        <v>134</v>
      </c>
      <c r="B46" s="59">
        <v>4233</v>
      </c>
      <c r="C46" s="59">
        <v>4642</v>
      </c>
      <c r="D46" s="59">
        <v>4945</v>
      </c>
      <c r="E46" s="59">
        <v>4379</v>
      </c>
      <c r="F46" s="59">
        <v>4850</v>
      </c>
      <c r="G46" s="59">
        <v>2976</v>
      </c>
      <c r="H46" s="59">
        <v>6923</v>
      </c>
      <c r="I46" s="59">
        <v>6856</v>
      </c>
      <c r="J46" s="59">
        <v>7818.98</v>
      </c>
      <c r="K46" s="59">
        <v>8909.2983999999979</v>
      </c>
      <c r="L46" s="59">
        <v>10143.573721999997</v>
      </c>
      <c r="M46" s="59">
        <v>11540.586831759996</v>
      </c>
      <c r="N46" s="59">
        <v>13121.562101565794</v>
      </c>
    </row>
    <row r="47" spans="1:14" ht="15" thickBot="1" x14ac:dyDescent="0.35">
      <c r="A47" t="s">
        <v>132</v>
      </c>
      <c r="B47" s="7">
        <v>606</v>
      </c>
      <c r="C47" s="7">
        <v>649</v>
      </c>
      <c r="D47" s="7">
        <v>706</v>
      </c>
      <c r="E47" s="7">
        <v>747</v>
      </c>
      <c r="F47" s="7">
        <v>705</v>
      </c>
      <c r="G47" s="7">
        <v>721</v>
      </c>
      <c r="H47" s="7">
        <v>744</v>
      </c>
      <c r="I47" s="7">
        <v>717</v>
      </c>
      <c r="J47" s="64">
        <v>740.49399999999991</v>
      </c>
      <c r="K47" s="64">
        <v>765.66240599999992</v>
      </c>
      <c r="L47" s="64">
        <v>792.62912702199992</v>
      </c>
      <c r="M47" s="64">
        <v>821.52750344700598</v>
      </c>
      <c r="N47" s="64">
        <v>852.50102775831476</v>
      </c>
    </row>
    <row r="48" spans="1:14" ht="15" thickTop="1" x14ac:dyDescent="0.3">
      <c r="A48" t="s">
        <v>176</v>
      </c>
      <c r="B48" s="3">
        <v>-899</v>
      </c>
      <c r="C48" s="3">
        <v>-1022</v>
      </c>
      <c r="D48" s="3">
        <v>-1133</v>
      </c>
      <c r="E48" s="3">
        <v>-1243</v>
      </c>
      <c r="F48" s="3">
        <v>-1332</v>
      </c>
      <c r="G48" s="3">
        <v>-1452</v>
      </c>
      <c r="H48" s="3">
        <v>-1638</v>
      </c>
      <c r="I48" s="3">
        <v>-1837</v>
      </c>
      <c r="J48" s="65">
        <v>-1738</v>
      </c>
      <c r="K48" s="3">
        <v>-1788</v>
      </c>
      <c r="L48" s="3">
        <v>-1763</v>
      </c>
      <c r="M48" s="3">
        <v>-1776</v>
      </c>
      <c r="N48" s="3">
        <v>-1770</v>
      </c>
    </row>
    <row r="49" spans="1:15" ht="15" thickBot="1" x14ac:dyDescent="0.35">
      <c r="A49" s="1" t="s">
        <v>177</v>
      </c>
      <c r="B49" s="7">
        <v>3271</v>
      </c>
      <c r="C49" s="7">
        <v>3760</v>
      </c>
      <c r="D49" s="7">
        <v>4240</v>
      </c>
      <c r="E49" s="7">
        <v>1933</v>
      </c>
      <c r="F49" s="7">
        <v>4029</v>
      </c>
      <c r="G49" s="7">
        <v>2539</v>
      </c>
      <c r="H49" s="7">
        <v>5727</v>
      </c>
      <c r="I49" s="7">
        <v>6046</v>
      </c>
      <c r="J49" s="7">
        <f>J14</f>
        <v>5309.2923333333301</v>
      </c>
      <c r="K49" s="7">
        <f t="shared" ref="K49:N49" si="21">K14</f>
        <v>5654.2348560000019</v>
      </c>
      <c r="L49" s="7">
        <f t="shared" si="21"/>
        <v>6086.0984133369993</v>
      </c>
      <c r="M49" s="7">
        <f t="shared" si="21"/>
        <v>6506.7547952496352</v>
      </c>
      <c r="N49" s="7">
        <f t="shared" si="21"/>
        <v>6922.5825553408004</v>
      </c>
    </row>
    <row r="50" spans="1:15" ht="15" thickTop="1" x14ac:dyDescent="0.3">
      <c r="A50" s="1"/>
      <c r="B50" s="66"/>
      <c r="C50" s="66"/>
      <c r="D50" s="66"/>
      <c r="E50" s="66"/>
      <c r="F50" s="67"/>
      <c r="G50" s="66"/>
      <c r="H50" s="66"/>
      <c r="I50" s="66"/>
      <c r="J50" s="68"/>
      <c r="K50" s="9"/>
      <c r="L50" s="9"/>
      <c r="M50" s="9"/>
      <c r="N50" s="9"/>
    </row>
    <row r="51" spans="1:15" x14ac:dyDescent="0.3">
      <c r="A51" t="s">
        <v>178</v>
      </c>
      <c r="B51" s="3">
        <v>-63</v>
      </c>
      <c r="C51" s="3">
        <v>-67</v>
      </c>
      <c r="D51" s="3">
        <v>327</v>
      </c>
      <c r="E51" s="3">
        <v>13</v>
      </c>
      <c r="F51" s="3">
        <v>-325</v>
      </c>
      <c r="G51" s="3">
        <v>49</v>
      </c>
      <c r="H51" s="3">
        <v>-52</v>
      </c>
      <c r="I51" s="3">
        <v>15</v>
      </c>
      <c r="J51" s="3">
        <v>-103</v>
      </c>
      <c r="K51" s="69">
        <f>J51*1.11</f>
        <v>-114.33000000000001</v>
      </c>
      <c r="L51" s="69">
        <f>K51*1.11</f>
        <v>-126.90630000000003</v>
      </c>
      <c r="M51" s="69">
        <f>L51*1.11</f>
        <v>-140.86599300000006</v>
      </c>
      <c r="N51" s="69">
        <f t="shared" ref="N51" si="22">M51*1.11</f>
        <v>-156.36125223000008</v>
      </c>
    </row>
    <row r="52" spans="1:15" x14ac:dyDescent="0.3">
      <c r="A52" t="s">
        <v>179</v>
      </c>
      <c r="B52" s="3"/>
      <c r="C52" s="3">
        <f>C23-B23</f>
        <v>25</v>
      </c>
      <c r="D52" s="3">
        <f t="shared" ref="D52:H52" si="23">D23-C23</f>
        <v>920</v>
      </c>
      <c r="E52" s="3">
        <f t="shared" si="23"/>
        <v>-1493</v>
      </c>
      <c r="F52" s="3">
        <f t="shared" si="23"/>
        <v>-435</v>
      </c>
      <c r="G52" s="3">
        <f t="shared" si="23"/>
        <v>3613</v>
      </c>
      <c r="H52" s="3">
        <f t="shared" si="23"/>
        <v>4345</v>
      </c>
      <c r="I52" s="3">
        <f>I23-H23</f>
        <v>866</v>
      </c>
      <c r="J52" s="3">
        <f t="shared" ref="J52" si="24">J23-I23</f>
        <v>3109</v>
      </c>
      <c r="K52" s="3">
        <f>K23-J23</f>
        <v>2380</v>
      </c>
      <c r="L52" s="3">
        <f>L23-K23</f>
        <v>11014</v>
      </c>
      <c r="M52" s="3">
        <f>M23-L23</f>
        <v>-3074</v>
      </c>
      <c r="N52" s="3">
        <f>N23-M23</f>
        <v>4241</v>
      </c>
    </row>
    <row r="53" spans="1:15" x14ac:dyDescent="0.3">
      <c r="A53" t="s">
        <v>135</v>
      </c>
      <c r="B53" s="3">
        <v>1003</v>
      </c>
      <c r="C53" s="3">
        <v>1191</v>
      </c>
      <c r="D53" s="3">
        <v>1201</v>
      </c>
      <c r="E53" s="3">
        <v>1194</v>
      </c>
      <c r="F53" s="3">
        <v>1075</v>
      </c>
      <c r="G53" s="3">
        <v>1124</v>
      </c>
      <c r="H53" s="3">
        <v>695</v>
      </c>
      <c r="I53" s="3">
        <v>758</v>
      </c>
      <c r="J53" s="3">
        <v>1875.6680000000001</v>
      </c>
      <c r="K53" s="3">
        <v>2131.285488</v>
      </c>
      <c r="L53" s="3">
        <v>2561.1399155000004</v>
      </c>
      <c r="M53" s="3">
        <v>3353.2525838387046</v>
      </c>
      <c r="N53" s="3">
        <v>4908.9864305227165</v>
      </c>
    </row>
    <row r="54" spans="1:15" x14ac:dyDescent="0.3">
      <c r="A54" s="1" t="s">
        <v>180</v>
      </c>
      <c r="B54" s="9">
        <f>[1]Historicals!B77-'[1]Three Statements'!B53</f>
        <v>3677</v>
      </c>
      <c r="C54" s="9">
        <f>[1]Historicals!C77-'[1]Three Statements'!C53</f>
        <v>1905</v>
      </c>
      <c r="D54" s="9">
        <f>[1]Historicals!D77-'[1]Three Statements'!D53</f>
        <v>2439</v>
      </c>
      <c r="E54" s="9">
        <f>[1]Historicals!E77-'[1]Three Statements'!E53</f>
        <v>3761</v>
      </c>
      <c r="F54" s="9">
        <f>[1]Historicals!F77-'[1]Three Statements'!F53</f>
        <v>4828</v>
      </c>
      <c r="G54" s="9">
        <f>[1]Historicals!G77-'[1]Three Statements'!G53</f>
        <v>1361</v>
      </c>
      <c r="H54" s="9">
        <f>[1]Historicals!H77-'[1]Three Statements'!H53</f>
        <v>5962</v>
      </c>
      <c r="I54" s="9">
        <f>[1]Historicals!I77-'[1]Three Statements'!I53</f>
        <v>4430</v>
      </c>
      <c r="J54" s="9">
        <f>I54*1.37</f>
        <v>6069.1</v>
      </c>
      <c r="K54" s="9">
        <f t="shared" ref="K54:N54" si="25">J54*1.37</f>
        <v>8314.6670000000013</v>
      </c>
      <c r="L54" s="9">
        <f t="shared" si="25"/>
        <v>11391.093790000003</v>
      </c>
      <c r="M54" s="9">
        <f>L54*1.37</f>
        <v>15605.798492300004</v>
      </c>
      <c r="N54" s="9">
        <f t="shared" si="25"/>
        <v>21379.943934451006</v>
      </c>
    </row>
    <row r="55" spans="1:15" x14ac:dyDescent="0.3">
      <c r="A55" t="s">
        <v>181</v>
      </c>
      <c r="B55" s="70"/>
      <c r="C55" s="62"/>
      <c r="D55" s="62"/>
      <c r="E55" s="62"/>
      <c r="F55" s="62"/>
      <c r="G55" s="62"/>
      <c r="H55" s="62"/>
      <c r="I55" s="62"/>
      <c r="J55" s="3"/>
      <c r="K55" s="3"/>
      <c r="L55" s="3"/>
      <c r="M55" s="3"/>
      <c r="N55" s="3"/>
    </row>
    <row r="56" spans="1:15" x14ac:dyDescent="0.3">
      <c r="A56" s="26" t="s">
        <v>182</v>
      </c>
      <c r="B56" s="25">
        <v>4680</v>
      </c>
      <c r="C56" s="25">
        <v>3096</v>
      </c>
      <c r="D56" s="25">
        <v>3640</v>
      </c>
      <c r="E56" s="25">
        <v>4955</v>
      </c>
      <c r="F56" s="25">
        <v>5903</v>
      </c>
      <c r="G56" s="25">
        <v>2485</v>
      </c>
      <c r="H56" s="25">
        <v>6657</v>
      </c>
      <c r="I56" s="25">
        <v>5188</v>
      </c>
      <c r="J56" s="25">
        <f>J53+J54</f>
        <v>7944.768</v>
      </c>
      <c r="K56" s="25">
        <f>K53+K54</f>
        <v>10445.952488000001</v>
      </c>
      <c r="L56" s="25">
        <f t="shared" ref="L56:N56" si="26">L53+L54</f>
        <v>13952.233705500003</v>
      </c>
      <c r="M56" s="25">
        <f>M53+M54</f>
        <v>18959.051076138709</v>
      </c>
      <c r="N56" s="25">
        <f t="shared" si="26"/>
        <v>26288.930364973723</v>
      </c>
    </row>
    <row r="57" spans="1:15" x14ac:dyDescent="0.3">
      <c r="A57" t="s">
        <v>183</v>
      </c>
      <c r="B57">
        <f>[1]Historicals!B79+[1]Historicals!B82+[1]Historicals!B84</f>
        <v>-6049</v>
      </c>
      <c r="C57" s="3">
        <f>[1]Historicals!C79+[1]Historicals!C82</f>
        <v>-6510</v>
      </c>
      <c r="D57" s="3">
        <f>[1]Historicals!D79+[1]Historicals!D82+[1]Historicals!D84</f>
        <v>-7067</v>
      </c>
      <c r="E57" s="3">
        <f>[1]Historicals!E79+[1]Historicals!E82+[1]Historicals!E85</f>
        <v>-5836</v>
      </c>
      <c r="F57" s="3">
        <f>[1]Historicals!F79+[1]Historicals!F82</f>
        <v>-4056</v>
      </c>
      <c r="G57" s="3">
        <f>[1]Historicals!G79+[1]Historicals!G82</f>
        <v>-3512</v>
      </c>
      <c r="H57" s="3">
        <f>[1]Historicals!H79+[1]Historicals!H82</f>
        <v>-10656</v>
      </c>
      <c r="I57" s="3">
        <f>[1]Historicals!I79+[1]Historicals!I82+[1]Historicals!I85</f>
        <v>-13690</v>
      </c>
      <c r="J57" s="3">
        <f>I57*1.27</f>
        <v>-17386.3</v>
      </c>
      <c r="K57" s="3">
        <f t="shared" ref="K57:N58" si="27">J57*1.27</f>
        <v>-22080.600999999999</v>
      </c>
      <c r="L57" s="3">
        <f t="shared" si="27"/>
        <v>-28042.363269999998</v>
      </c>
      <c r="M57" s="3">
        <f t="shared" si="27"/>
        <v>-35613.801352899995</v>
      </c>
      <c r="N57" s="3">
        <f t="shared" si="27"/>
        <v>-45229.527718182995</v>
      </c>
    </row>
    <row r="58" spans="1:15" x14ac:dyDescent="0.3">
      <c r="A58" t="s">
        <v>184</v>
      </c>
      <c r="B58">
        <f>[1]Historicals!B80+[1]Historicals!B81+[1]Historicals!B83</f>
        <v>5874</v>
      </c>
      <c r="C58" s="3">
        <f>[1]Historicals!C80+[1]Historicals!C81+[1]Historicals!C83+[1]Historicals!C84+[1]Historicals!C85</f>
        <v>5476</v>
      </c>
      <c r="D58" s="3">
        <f>[1]Historicals!D80+[1]Historicals!D81+[1]Historicals!D83</f>
        <v>6059</v>
      </c>
      <c r="E58" s="3">
        <f>[1]Historicals!E80+[1]Historicals!E81+[1]Historicals!E83</f>
        <v>6112</v>
      </c>
      <c r="F58" s="3">
        <f>[1]Historicals!F80+[1]Historicals!F81+[1]Historicals!F83</f>
        <v>3792</v>
      </c>
      <c r="G58" s="3">
        <f>[1]Historicals!G80+[1]Historicals!G81</f>
        <v>2453</v>
      </c>
      <c r="H58" s="3">
        <f>[1]Historicals!H80+[1]Historicals!H81+[1]Historicals!H85</f>
        <v>6856</v>
      </c>
      <c r="I58" s="3">
        <f>[1]Historicals!I80+[1]Historicals!I81</f>
        <v>12166</v>
      </c>
      <c r="J58" s="3">
        <f>I58*1.27</f>
        <v>15450.82</v>
      </c>
      <c r="K58" s="3">
        <f t="shared" si="27"/>
        <v>19622.541399999998</v>
      </c>
      <c r="L58" s="3">
        <f t="shared" si="27"/>
        <v>24920.627578</v>
      </c>
      <c r="M58" s="3">
        <f t="shared" si="27"/>
        <v>31649.197024059999</v>
      </c>
      <c r="N58" s="3">
        <f t="shared" si="27"/>
        <v>40194.480220556201</v>
      </c>
    </row>
    <row r="59" spans="1:15" x14ac:dyDescent="0.3">
      <c r="A59" s="26" t="s">
        <v>185</v>
      </c>
      <c r="B59" s="25">
        <v>4505</v>
      </c>
      <c r="C59" s="25">
        <v>2062</v>
      </c>
      <c r="D59" s="25">
        <v>2632</v>
      </c>
      <c r="E59" s="25">
        <v>5231</v>
      </c>
      <c r="F59" s="25">
        <v>5639</v>
      </c>
      <c r="G59" s="25">
        <v>1457</v>
      </c>
      <c r="H59" s="25">
        <v>2857</v>
      </c>
      <c r="I59" s="25">
        <v>3664</v>
      </c>
      <c r="J59" s="25">
        <v>6009</v>
      </c>
      <c r="K59" s="25">
        <v>7988</v>
      </c>
      <c r="L59" s="25">
        <v>10830</v>
      </c>
      <c r="M59" s="25">
        <v>14994</v>
      </c>
      <c r="N59" s="25">
        <v>21254</v>
      </c>
    </row>
    <row r="60" spans="1:15" x14ac:dyDescent="0.3">
      <c r="A60" t="s">
        <v>186</v>
      </c>
      <c r="B60" s="3">
        <f>[1]Historicals!B94+[1]Historicals!B95</f>
        <v>-2020</v>
      </c>
      <c r="C60" s="3">
        <f>[1]Historicals!C94+[1]Historicals!C95</f>
        <v>-2731</v>
      </c>
      <c r="D60" s="3">
        <f>[1]Historicals!D94+[1]Historicals!D95</f>
        <v>-2734</v>
      </c>
      <c r="E60" s="3">
        <f>[1]Historicals!E94+[1]Historicals!E95</f>
        <v>-3521</v>
      </c>
      <c r="F60" s="3">
        <f>[1]Historicals!F94+[1]Historicals!F95</f>
        <v>-3586</v>
      </c>
      <c r="G60" s="3">
        <f>[1]Historicals!G94+[1]Historicals!G95</f>
        <v>-2182</v>
      </c>
      <c r="H60" s="3">
        <f>[1]Historicals!H94+[1]Historicals!H95</f>
        <v>564</v>
      </c>
      <c r="I60" s="3">
        <f>[1]Historicals!I94+[1]Historicals!I95</f>
        <v>-2863</v>
      </c>
      <c r="J60" s="3">
        <v>-4500</v>
      </c>
      <c r="K60" s="3">
        <v>-4500</v>
      </c>
      <c r="L60" s="3">
        <v>-4500</v>
      </c>
      <c r="M60" s="3">
        <v>-4500</v>
      </c>
      <c r="N60" s="3">
        <f>M60*1.44</f>
        <v>-6480</v>
      </c>
    </row>
    <row r="61" spans="1:15" x14ac:dyDescent="0.3">
      <c r="A61" s="51" t="s">
        <v>129</v>
      </c>
      <c r="B61" s="52"/>
      <c r="C61" s="52">
        <f t="shared" ref="C61:H61" si="28">C60/B60-1</f>
        <v>0.35198019801980207</v>
      </c>
      <c r="D61" s="52">
        <f t="shared" si="28"/>
        <v>1.0984987184181616E-3</v>
      </c>
      <c r="E61" s="52">
        <f t="shared" si="28"/>
        <v>0.28785662033650339</v>
      </c>
      <c r="F61" s="52">
        <f t="shared" si="28"/>
        <v>1.8460664583924924E-2</v>
      </c>
      <c r="G61" s="52">
        <f t="shared" si="28"/>
        <v>-0.39152258784160621</v>
      </c>
      <c r="H61" s="52">
        <f t="shared" si="28"/>
        <v>-1.2584784601283228</v>
      </c>
      <c r="I61" s="52"/>
      <c r="J61" s="52"/>
      <c r="K61" s="52"/>
      <c r="L61" s="52"/>
      <c r="M61" s="52"/>
      <c r="N61" s="52"/>
    </row>
    <row r="62" spans="1:15" x14ac:dyDescent="0.3">
      <c r="A62" t="s">
        <v>187</v>
      </c>
      <c r="B62" s="3">
        <v>-899</v>
      </c>
      <c r="C62" s="3">
        <v>-1022</v>
      </c>
      <c r="D62" s="3">
        <v>-1133</v>
      </c>
      <c r="E62" s="3">
        <v>-1243</v>
      </c>
      <c r="F62" s="3">
        <v>-1332</v>
      </c>
      <c r="G62" s="3">
        <v>-1452</v>
      </c>
      <c r="H62" s="3">
        <v>-1638</v>
      </c>
      <c r="I62" s="3">
        <v>-1837</v>
      </c>
      <c r="J62" s="3">
        <f t="shared" ref="J62:N62" si="29">-J15*J17</f>
        <v>-2210.7863918549788</v>
      </c>
      <c r="K62" s="3">
        <f t="shared" si="29"/>
        <v>-2650.7613488949592</v>
      </c>
      <c r="L62" s="3">
        <f>-L15*L17</f>
        <v>-3168.5787589769061</v>
      </c>
      <c r="M62" s="3">
        <f t="shared" si="29"/>
        <v>-3790.2872649487958</v>
      </c>
      <c r="N62" s="3">
        <f t="shared" si="29"/>
        <v>-4434.6360999900917</v>
      </c>
    </row>
    <row r="63" spans="1:15" x14ac:dyDescent="0.3">
      <c r="A63" t="s">
        <v>188</v>
      </c>
      <c r="B63" s="3">
        <v>-89</v>
      </c>
      <c r="C63" s="3">
        <v>801</v>
      </c>
      <c r="D63" s="3">
        <v>1748</v>
      </c>
      <c r="E63" s="3">
        <v>-16</v>
      </c>
      <c r="F63" s="3">
        <v>-325</v>
      </c>
      <c r="G63" s="3">
        <v>6183</v>
      </c>
      <c r="H63" s="3">
        <v>-249</v>
      </c>
      <c r="I63" s="3">
        <v>15</v>
      </c>
      <c r="J63" s="3">
        <f>I63*-1.52</f>
        <v>-22.8</v>
      </c>
      <c r="K63" s="3">
        <f>J63*1.52</f>
        <v>-34.655999999999999</v>
      </c>
      <c r="L63" s="3">
        <f t="shared" ref="L63:M63" si="30">K63*1.52</f>
        <v>-52.677120000000002</v>
      </c>
      <c r="M63" s="3">
        <f t="shared" si="30"/>
        <v>-80.069222400000001</v>
      </c>
      <c r="N63" s="3">
        <v>-422</v>
      </c>
    </row>
    <row r="64" spans="1:15" x14ac:dyDescent="0.3">
      <c r="A64" t="s">
        <v>189</v>
      </c>
      <c r="B64" s="3">
        <v>218</v>
      </c>
      <c r="C64" s="3">
        <v>281</v>
      </c>
      <c r="D64" s="3">
        <v>177</v>
      </c>
      <c r="E64" s="3">
        <v>-55</v>
      </c>
      <c r="F64" s="3">
        <v>-50</v>
      </c>
      <c r="G64" s="3">
        <v>-58</v>
      </c>
      <c r="H64" s="3">
        <v>-136</v>
      </c>
      <c r="I64" s="3">
        <v>-151</v>
      </c>
      <c r="J64" s="3">
        <f>I64*1.13</f>
        <v>-170.63</v>
      </c>
      <c r="K64" s="3">
        <f t="shared" ref="K64:M64" si="31">J64*1.13</f>
        <v>-192.81189999999998</v>
      </c>
      <c r="L64" s="3">
        <f t="shared" si="31"/>
        <v>-217.87744699999996</v>
      </c>
      <c r="M64" s="3">
        <f t="shared" si="31"/>
        <v>-246.20151510999995</v>
      </c>
      <c r="N64" s="3">
        <v>-378</v>
      </c>
    </row>
    <row r="65" spans="1:14" x14ac:dyDescent="0.3">
      <c r="A65" s="26" t="s">
        <v>190</v>
      </c>
      <c r="B65" s="25">
        <f t="shared" ref="B65:I65" si="32">B60+B62+B63+B64</f>
        <v>-2790</v>
      </c>
      <c r="C65" s="25">
        <f t="shared" si="32"/>
        <v>-2671</v>
      </c>
      <c r="D65" s="25">
        <f t="shared" si="32"/>
        <v>-1942</v>
      </c>
      <c r="E65" s="25">
        <f t="shared" si="32"/>
        <v>-4835</v>
      </c>
      <c r="F65" s="25">
        <f t="shared" si="32"/>
        <v>-5293</v>
      </c>
      <c r="G65" s="25">
        <f t="shared" si="32"/>
        <v>2491</v>
      </c>
      <c r="H65" s="25">
        <f t="shared" si="32"/>
        <v>-1459</v>
      </c>
      <c r="I65" s="25">
        <f t="shared" si="32"/>
        <v>-4836</v>
      </c>
      <c r="J65" s="25">
        <f>J60+J62+J63+J64</f>
        <v>-6904.2163918549795</v>
      </c>
      <c r="K65" s="25">
        <f>+K60+K62+K63+K64</f>
        <v>-7378.2292488949588</v>
      </c>
      <c r="L65" s="25">
        <f>L60+L62+L63+L64</f>
        <v>-7939.1333259769062</v>
      </c>
      <c r="M65" s="25">
        <f>M60+M62+M63+M64</f>
        <v>-8616.5580024587962</v>
      </c>
      <c r="N65" s="25">
        <f>N60+N62+N63+N64</f>
        <v>-11714.636099990092</v>
      </c>
    </row>
    <row r="66" spans="1:14" x14ac:dyDescent="0.3">
      <c r="A66" t="s">
        <v>191</v>
      </c>
      <c r="B66" s="3">
        <v>-83</v>
      </c>
      <c r="C66" s="3">
        <v>-105</v>
      </c>
      <c r="D66" s="3">
        <v>-20</v>
      </c>
      <c r="E66" s="3">
        <v>45</v>
      </c>
      <c r="F66" s="3">
        <v>-129</v>
      </c>
      <c r="G66" s="3">
        <v>-66</v>
      </c>
      <c r="H66" s="3">
        <v>143</v>
      </c>
      <c r="I66" s="3">
        <v>-143</v>
      </c>
      <c r="J66" s="3">
        <v>120</v>
      </c>
      <c r="K66" s="3">
        <v>-238</v>
      </c>
      <c r="L66" s="3">
        <f>K66*-2</f>
        <v>476</v>
      </c>
      <c r="M66" s="3">
        <v>-47</v>
      </c>
      <c r="N66" s="3">
        <v>-1013</v>
      </c>
    </row>
    <row r="67" spans="1:14" x14ac:dyDescent="0.3">
      <c r="B67" s="70"/>
      <c r="C67" s="62"/>
      <c r="D67" s="62"/>
      <c r="E67" s="62"/>
      <c r="F67" s="62"/>
      <c r="G67" s="62"/>
      <c r="H67" s="62"/>
      <c r="I67" s="62"/>
      <c r="J67" s="62"/>
      <c r="K67" s="62"/>
      <c r="L67" s="62"/>
      <c r="M67" s="3"/>
      <c r="N67" s="3"/>
    </row>
    <row r="68" spans="1:14" x14ac:dyDescent="0.3">
      <c r="A68" s="26" t="s">
        <v>192</v>
      </c>
      <c r="B68" s="25">
        <f t="shared" ref="B68:I68" si="33">B59+B65+B66</f>
        <v>1632</v>
      </c>
      <c r="C68" s="25">
        <f t="shared" si="33"/>
        <v>-714</v>
      </c>
      <c r="D68" s="25">
        <f t="shared" si="33"/>
        <v>670</v>
      </c>
      <c r="E68" s="25">
        <f t="shared" si="33"/>
        <v>441</v>
      </c>
      <c r="F68" s="25">
        <f t="shared" si="33"/>
        <v>217</v>
      </c>
      <c r="G68" s="25">
        <f t="shared" si="33"/>
        <v>3882</v>
      </c>
      <c r="H68" s="25">
        <f t="shared" si="33"/>
        <v>1541</v>
      </c>
      <c r="I68" s="25">
        <f t="shared" si="33"/>
        <v>-1315</v>
      </c>
      <c r="J68" s="25">
        <f>J59+J65+J66</f>
        <v>-775.21639185497952</v>
      </c>
      <c r="K68" s="25">
        <f>K59+K65+K66</f>
        <v>371.7707511050412</v>
      </c>
      <c r="L68" s="25">
        <f>L59+L65+L66</f>
        <v>3366.8666740230938</v>
      </c>
      <c r="M68" s="25">
        <f>M59+M65+M66</f>
        <v>6330.4419975412038</v>
      </c>
      <c r="N68" s="25">
        <f>N59+N65+N66</f>
        <v>8526.3639000099083</v>
      </c>
    </row>
    <row r="69" spans="1:14" x14ac:dyDescent="0.3">
      <c r="A69" t="s">
        <v>193</v>
      </c>
      <c r="B69" s="3">
        <v>2220</v>
      </c>
      <c r="C69" s="3">
        <v>3852</v>
      </c>
      <c r="D69" s="3">
        <v>3138</v>
      </c>
      <c r="E69" s="3">
        <v>3808</v>
      </c>
      <c r="F69" s="3">
        <v>4249</v>
      </c>
      <c r="G69" s="3">
        <v>4466</v>
      </c>
      <c r="H69" s="3">
        <v>8348</v>
      </c>
      <c r="I69" s="3">
        <f>+H70</f>
        <v>9889</v>
      </c>
      <c r="J69" s="3">
        <v>8574</v>
      </c>
      <c r="K69" s="3">
        <v>7799</v>
      </c>
      <c r="L69" s="3">
        <v>8171</v>
      </c>
      <c r="M69" s="3">
        <v>11538</v>
      </c>
      <c r="N69" s="3">
        <v>17868</v>
      </c>
    </row>
    <row r="70" spans="1:14" ht="15" thickBot="1" x14ac:dyDescent="0.35">
      <c r="A70" s="6" t="s">
        <v>194</v>
      </c>
      <c r="B70" s="7">
        <v>3852</v>
      </c>
      <c r="C70" s="7">
        <v>3138</v>
      </c>
      <c r="D70" s="7">
        <v>3808</v>
      </c>
      <c r="E70" s="7">
        <v>4249</v>
      </c>
      <c r="F70" s="7">
        <v>4466</v>
      </c>
      <c r="G70" s="7">
        <v>8348</v>
      </c>
      <c r="H70" s="7">
        <f>+H68+H69</f>
        <v>9889</v>
      </c>
      <c r="I70" s="7">
        <f>+I68+I69</f>
        <v>8574</v>
      </c>
      <c r="J70" s="7">
        <v>7799</v>
      </c>
      <c r="K70" s="7">
        <f>K68+K69</f>
        <v>8170.7707511050412</v>
      </c>
      <c r="L70" s="7">
        <v>11538</v>
      </c>
      <c r="M70" s="7">
        <v>17868</v>
      </c>
      <c r="N70" s="7">
        <v>26394</v>
      </c>
    </row>
    <row r="71" spans="1:14" ht="15" thickTop="1" x14ac:dyDescent="0.3">
      <c r="A71" s="1" t="s">
        <v>195</v>
      </c>
      <c r="B71" s="46">
        <f>+B70-B33-B34-B36</f>
        <v>2592</v>
      </c>
      <c r="C71" s="46">
        <f>+C70-C33-C34-C36</f>
        <v>1100</v>
      </c>
      <c r="D71" s="46">
        <f>+D70-D33-D34-D36</f>
        <v>6</v>
      </c>
      <c r="E71" s="46">
        <f>+E70-E33-E34-E36</f>
        <v>439</v>
      </c>
      <c r="F71" s="46">
        <f>+F70-F33-F34-F36</f>
        <v>987</v>
      </c>
      <c r="G71" s="46">
        <f>+G70-G33-G34-G36</f>
        <v>-1309</v>
      </c>
      <c r="H71" s="46">
        <f t="shared" ref="E71:N71" si="34">+H70-H33-H34-H36</f>
        <v>474</v>
      </c>
      <c r="I71" s="46">
        <f>+I70-I33-I34-I36</f>
        <v>-856</v>
      </c>
      <c r="J71" s="46">
        <f>+J70-J33-J34-J36</f>
        <v>-3415</v>
      </c>
      <c r="K71" s="46">
        <f>+K70-K33-K34-K36</f>
        <v>-4529.2292488949588</v>
      </c>
      <c r="L71" s="46">
        <f>+L70-L33-L34-L36</f>
        <v>-3572</v>
      </c>
      <c r="M71" s="46">
        <f>+M70-M33-M34-M36</f>
        <v>919</v>
      </c>
      <c r="N71" s="46">
        <f>+N70-N33-N34-N36</f>
        <v>4118</v>
      </c>
    </row>
    <row r="72" spans="1:14" x14ac:dyDescent="0.3">
      <c r="K72" s="57"/>
      <c r="L72" s="46"/>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BENJAMIN BAZINI</cp:lastModifiedBy>
  <dcterms:created xsi:type="dcterms:W3CDTF">2020-05-20T17:26:08Z</dcterms:created>
  <dcterms:modified xsi:type="dcterms:W3CDTF">2024-12-10T17:04:05Z</dcterms:modified>
</cp:coreProperties>
</file>