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ebo\Desktop\Dissertation\DataTrained\"/>
    </mc:Choice>
  </mc:AlternateContent>
  <bookViews>
    <workbookView xWindow="0" yWindow="0" windowWidth="12495" windowHeight="8865" activeTab="1"/>
  </bookViews>
  <sheets>
    <sheet name="Instructions" sheetId="2" r:id="rId1"/>
    <sheet name="Financial Statements" sheetId="1" r:id="rId2"/>
    <sheet name="List of Ratios" sheetId="3" r:id="rId3"/>
    <sheet name="Margin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3" l="1"/>
  <c r="E36" i="3"/>
  <c r="C36" i="3"/>
  <c r="J39" i="1"/>
  <c r="L39" i="1"/>
  <c r="I39" i="1"/>
  <c r="H39" i="1"/>
  <c r="D35" i="3" l="1"/>
  <c r="E35" i="3"/>
  <c r="C35" i="3"/>
  <c r="D34" i="3"/>
  <c r="E34" i="3"/>
  <c r="C34" i="3"/>
  <c r="D31" i="3" l="1"/>
  <c r="E31" i="3"/>
  <c r="C31" i="3"/>
  <c r="C30" i="3" s="1"/>
  <c r="D30" i="3"/>
  <c r="E30" i="3"/>
  <c r="D46" i="3"/>
  <c r="E46" i="3"/>
  <c r="C46" i="3"/>
  <c r="D40" i="3"/>
  <c r="E40" i="3"/>
  <c r="C40" i="3"/>
  <c r="D51" i="3"/>
  <c r="D50" i="3" s="1"/>
  <c r="E51" i="3"/>
  <c r="E50" i="3" s="1"/>
  <c r="C51" i="3"/>
  <c r="C50" i="3" s="1"/>
  <c r="D35" i="2"/>
  <c r="E35" i="2"/>
  <c r="C35" i="2"/>
  <c r="E34" i="2"/>
  <c r="D34" i="2"/>
  <c r="C34" i="2"/>
  <c r="D48" i="3"/>
  <c r="E48" i="3"/>
  <c r="C48" i="3"/>
  <c r="B63" i="1"/>
  <c r="C63" i="1"/>
  <c r="D63" i="1"/>
  <c r="D49" i="3"/>
  <c r="E49" i="3"/>
  <c r="C49" i="3"/>
  <c r="C47" i="3"/>
  <c r="D47" i="3"/>
  <c r="E47" i="3"/>
  <c r="C55" i="2"/>
  <c r="E45" i="3" s="1"/>
  <c r="C48" i="2"/>
  <c r="D45" i="3" s="1"/>
  <c r="C42" i="2"/>
  <c r="C45" i="3" s="1"/>
  <c r="D43" i="3"/>
  <c r="D42" i="3" s="1"/>
  <c r="E43" i="3"/>
  <c r="E42" i="3" s="1"/>
  <c r="C43" i="3"/>
  <c r="C42" i="3" s="1"/>
  <c r="D41" i="3"/>
  <c r="E41" i="3"/>
  <c r="D27" i="1"/>
  <c r="C27" i="1"/>
  <c r="B27" i="1"/>
  <c r="C41" i="3"/>
  <c r="C44" i="3" s="1"/>
  <c r="C11" i="4"/>
  <c r="D11" i="4"/>
  <c r="B11" i="4"/>
  <c r="C10" i="4"/>
  <c r="D10" i="4"/>
  <c r="B10" i="4"/>
  <c r="B9" i="4"/>
  <c r="C9" i="4"/>
  <c r="D9" i="4"/>
  <c r="C6" i="4"/>
  <c r="D6" i="4"/>
  <c r="B6" i="4"/>
  <c r="C5" i="4"/>
  <c r="D5" i="4"/>
  <c r="B5" i="4"/>
  <c r="C4" i="4"/>
  <c r="D4" i="4"/>
  <c r="B4" i="4"/>
  <c r="C3" i="4"/>
  <c r="D3" i="4"/>
  <c r="B3" i="4"/>
  <c r="C2" i="4"/>
  <c r="D2" i="4"/>
  <c r="B2" i="4"/>
  <c r="E69" i="1"/>
  <c r="E68" i="1"/>
  <c r="E62" i="1"/>
  <c r="E56" i="1"/>
  <c r="E47" i="1"/>
  <c r="E48" i="1"/>
  <c r="E42" i="1"/>
  <c r="E22" i="1"/>
  <c r="E13" i="1"/>
  <c r="E17" i="1"/>
  <c r="E12" i="1"/>
  <c r="E8" i="1"/>
  <c r="D44" i="3" l="1"/>
  <c r="E44" i="3"/>
  <c r="D29" i="3"/>
  <c r="E29" i="3"/>
  <c r="C29" i="3"/>
  <c r="E21" i="3"/>
  <c r="D20" i="3"/>
  <c r="D21" i="3" s="1"/>
  <c r="E20" i="3"/>
  <c r="C20" i="3"/>
  <c r="C21" i="3" s="1"/>
  <c r="D19" i="3"/>
  <c r="D28" i="3" s="1"/>
  <c r="E19" i="3"/>
  <c r="E28" i="3" s="1"/>
  <c r="C19" i="3"/>
  <c r="C28" i="3" s="1"/>
  <c r="D27" i="3"/>
  <c r="E27" i="3"/>
  <c r="C27" i="3"/>
  <c r="D26" i="3"/>
  <c r="E26" i="3"/>
  <c r="C26" i="3"/>
  <c r="D25" i="3"/>
  <c r="E25" i="3"/>
  <c r="C25" i="3"/>
  <c r="D37" i="3"/>
  <c r="E37" i="3"/>
  <c r="C37" i="3"/>
  <c r="D22" i="3"/>
  <c r="E22" i="3"/>
  <c r="C22" i="3"/>
  <c r="D17" i="3"/>
  <c r="E17" i="3"/>
  <c r="C17" i="3"/>
  <c r="C14" i="3"/>
  <c r="C13" i="3" s="1"/>
  <c r="D14" i="3"/>
  <c r="D13" i="3" s="1"/>
  <c r="E14" i="3"/>
  <c r="E13" i="3" s="1"/>
  <c r="C18" i="3" l="1"/>
  <c r="E18" i="3"/>
  <c r="D18" i="3"/>
  <c r="D11" i="3"/>
  <c r="E11" i="3"/>
  <c r="C11" i="3"/>
  <c r="D10" i="3"/>
  <c r="E10" i="3"/>
  <c r="C10" i="3"/>
  <c r="D9" i="3"/>
  <c r="E9" i="3"/>
  <c r="C9" i="3"/>
  <c r="D8" i="3"/>
  <c r="E8" i="3"/>
  <c r="D12" i="3" l="1"/>
  <c r="C12" i="3"/>
  <c r="E12" i="3"/>
  <c r="C8" i="3"/>
  <c r="D7" i="3"/>
  <c r="E7" i="3"/>
  <c r="C7" i="3"/>
  <c r="D6" i="3"/>
  <c r="E6" i="3"/>
  <c r="C6" i="3"/>
  <c r="D5" i="3"/>
  <c r="E5" i="3"/>
  <c r="C5" i="3"/>
  <c r="D108" i="1" l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E3" i="3"/>
  <c r="D3" i="3"/>
  <c r="C3" i="3"/>
  <c r="D33" i="1"/>
  <c r="D73" i="1" s="1"/>
  <c r="C33" i="1"/>
  <c r="C73" i="1" s="1"/>
  <c r="B33" i="1"/>
  <c r="B73" i="1" s="1"/>
  <c r="B13" i="1" l="1"/>
  <c r="C13" i="1"/>
  <c r="C18" i="1" s="1"/>
  <c r="C20" i="1" s="1"/>
  <c r="C22" i="1" s="1"/>
  <c r="C76" i="1" s="1"/>
  <c r="C91" i="1" s="1"/>
  <c r="C109" i="1" s="1"/>
  <c r="B62" i="1"/>
  <c r="B69" i="1" s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<sst xmlns="http://schemas.openxmlformats.org/spreadsheetml/2006/main" count="208" uniqueCount="174">
  <si>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</si>
  <si>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</si>
  <si>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</si>
  <si>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</si>
  <si>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</si>
  <si>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</si>
  <si>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</si>
  <si>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</si>
  <si>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</si>
  <si>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</si>
  <si>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</si>
  <si>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</si>
  <si>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</si>
  <si>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</si>
  <si>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</si>
  <si>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</si>
  <si>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</si>
  <si>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</si>
  <si>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</si>
  <si>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</si>
  <si>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</si>
  <si>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</si>
  <si>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</si>
  <si>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</si>
  <si>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</si>
  <si>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</si>
  <si>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</si>
  <si>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</si>
  <si>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</si>
  <si>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</si>
  <si>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</si>
  <si>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</si>
  <si>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</si>
  <si>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</si>
  <si>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</si>
  <si>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</si>
  <si>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</si>
  <si>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</si>
  <si>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</si>
  <si>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</si>
  <si>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</si>
  <si>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</si>
  <si>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</si>
  <si>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</si>
  <si>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</si>
  <si>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</si>
  <si>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</si>
  <si>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</si>
  <si>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</si>
  <si>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</si>
  <si>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</si>
  <si>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</si>
  <si>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</si>
  <si>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</si>
  <si>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</si>
  <si>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</si>
  <si>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</si>
  <si>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</si>
  <si>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</si>
  <si>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</si>
  <si>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</si>
  <si>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</si>
  <si>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</si>
  <si>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</si>
  <si>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</si>
  <si>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</si>
  <si>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</si>
  <si>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</si>
  <si>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</si>
  <si>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</si>
  <si>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</si>
  <si>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</si>
  <si>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</si>
  <si>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</si>
  <si>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</si>
  <si>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</si>
  <si>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</si>
  <si>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</si>
  <si>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</si>
  <si>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</si>
  <si>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</si>
  <si>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</si>
  <si>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</si>
  <si>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</si>
  <si>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</si>
  <si>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</si>
  <si>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</si>
  <si>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</si>
  <si>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</si>
  <si>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</si>
  <si>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</si>
  <si>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</si>
  <si>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</si>
  <si>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</si>
  <si>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</si>
  <si>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</si>
  <si>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</si>
  <si>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</si>
  <si>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</si>
  <si>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</si>
  <si>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</si>
  <si>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</si>
  <si>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</si>
  <si>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</si>
  <si>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</si>
  <si>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</si>
  <si>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</si>
  <si>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</si>
  <si>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</si>
  <si>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</si>
  <si>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</si>
  <si>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</si>
  <si>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</si>
  <si>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</si>
  <si>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</si>
  <si>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</si>
  <si>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</si>
  <si>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</si>
  <si>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</si>
  <si>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</si>
  <si>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</si>
  <si>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</si>
  <si>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</si>
  <si>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</si>
  <si>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</si>
  <si>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</si>
  <si>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</si>
  <si>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</si>
  <si>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</si>
  <si>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</si>
  <si>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</si>
  <si>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</si>
  <si>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</si>
  <si>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</si>
  <si>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</si>
  <si>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</si>
  <si>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</si>
  <si>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</si>
  <si>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</si>
  <si>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</si>
  <si>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</si>
  <si>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</si>
  <si>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</si>
  <si>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</si>
  <si>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</si>
  <si>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</si>
  <si>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</si>
  <si>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NET+R+D+A</t>
  </si>
  <si>
    <t>CAGR</t>
  </si>
  <si>
    <t>$233.85 as at 15/10/2024</t>
  </si>
  <si>
    <t>October 27, 2022</t>
  </si>
  <si>
    <t>July 28, 2022</t>
  </si>
  <si>
    <t>April 27, 2022</t>
  </si>
  <si>
    <t>January 27, 2022</t>
  </si>
  <si>
    <t>October 28, 2021</t>
  </si>
  <si>
    <t>July 27, 2021</t>
  </si>
  <si>
    <t>April 28, 2021</t>
  </si>
  <si>
    <t>January 27, 2021</t>
  </si>
  <si>
    <t>October 29, 2020</t>
  </si>
  <si>
    <t>July 30, 2020</t>
  </si>
  <si>
    <t>N/A</t>
  </si>
  <si>
    <t>April 30, 2020</t>
  </si>
  <si>
    <t>January 28, 2020</t>
  </si>
  <si>
    <t> 0.23</t>
  </si>
  <si>
    <t>Capital Employed</t>
  </si>
  <si>
    <t>MPS SEPT YEAR END</t>
  </si>
  <si>
    <t>Dividend History</t>
  </si>
  <si>
    <t>Shares</t>
  </si>
  <si>
    <t>Mkt Value</t>
  </si>
  <si>
    <t>cogs/av invento</t>
  </si>
  <si>
    <t>Total asset turnover (x)</t>
  </si>
  <si>
    <t>Fixed asset turnover(x)</t>
  </si>
  <si>
    <t>Inventory turnover (x)</t>
  </si>
  <si>
    <t>Av. Inventory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</si>
</sst>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2" fillId="0" borderId="0" xfId="0" applyFont="1" applyBorder="1"/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2" fontId="0" fillId="0" borderId="0" xfId="0" applyNumberFormat="1"/>
    <xf numFmtId="167" fontId="0" fillId="0" borderId="0" xfId="0" applyNumberFormat="1"/>
    <xf numFmtId="10" fontId="0" fillId="0" borderId="0" xfId="3" applyNumberFormat="1" applyFont="1"/>
    <xf numFmtId="43" fontId="0" fillId="0" borderId="0" xfId="0" applyNumberFormat="1"/>
    <xf numFmtId="43" fontId="0" fillId="0" borderId="0" xfId="0" applyNumberFormat="1" applyAlignment="1">
      <alignment horizontal="left" indent="2"/>
    </xf>
    <xf numFmtId="0" fontId="0" fillId="0" borderId="0" xfId="0" applyAlignment="1">
      <alignment horizontal="right"/>
    </xf>
    <xf numFmtId="0" fontId="0" fillId="5" borderId="0" xfId="0" applyFill="1" applyAlignment="1">
      <alignment horizontal="left" indent="1"/>
    </xf>
    <xf numFmtId="164" fontId="0" fillId="0" borderId="0" xfId="1" applyFont="1"/>
    <xf numFmtId="0" fontId="0" fillId="0" borderId="0" xfId="0" applyFill="1" applyAlignment="1">
      <alignment horizontal="left" indent="2"/>
    </xf>
    <xf numFmtId="0" fontId="0" fillId="0" borderId="0" xfId="0" applyFill="1" applyAlignment="1">
      <alignment horizontal="left" indent="1"/>
    </xf>
    <xf numFmtId="0" fontId="0" fillId="0" borderId="0" xfId="0" applyFill="1"/>
    <xf numFmtId="0" fontId="2" fillId="0" borderId="0" xfId="0" applyFont="1" applyFill="1"/>
    <xf numFmtId="2" fontId="0" fillId="0" borderId="0" xfId="0" applyNumberFormat="1" applyFill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65" fontId="0" fillId="0" borderId="0" xfId="0" applyNumberFormat="1"/>
    <xf numFmtId="0" fontId="0" fillId="6" borderId="0" xfId="0" applyFill="1"/>
    <xf numFmtId="165" fontId="0" fillId="6" borderId="0" xfId="0" applyNumberFormat="1" applyFill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24" workbookViewId="0">
      <selection activeCell="D37" sqref="D37"/>
    </sheetView>
  </sheetViews>
  <sheetFormatPr defaultRowHeight="15" x14ac:dyDescent="0.25"/>
  <cols>
    <col min="1" max="1" width="104.5703125" customWidth="1"/>
    <col min="2" max="2" width="21.28515625" customWidth="1"/>
    <col min="3" max="3" width="13.28515625" customWidth="1"/>
    <col min="4" max="4" width="12.42578125" customWidth="1"/>
    <col min="5" max="5" width="15.42578125" customWidth="1"/>
    <col min="8" max="10" width="10.140625" bestFit="1" customWidth="1"/>
  </cols>
  <sheetData>
    <row r="1" spans="1:1" ht="23.25" x14ac:dyDescent="0.35">
      <c r="A1" s="5" t="s">
        <v>87</v>
      </c>
    </row>
    <row r="3" spans="1:1" x14ac:dyDescent="0.25">
      <c r="A3" s="7" t="s">
        <v>138</v>
      </c>
    </row>
    <row r="4" spans="1:1" x14ac:dyDescent="0.25">
      <c r="A4" s="16" t="s">
        <v>88</v>
      </c>
    </row>
    <row r="5" spans="1:1" x14ac:dyDescent="0.25">
      <c r="A5" s="7" t="s">
        <v>97</v>
      </c>
    </row>
    <row r="6" spans="1:1" x14ac:dyDescent="0.25">
      <c r="A6" s="1" t="s">
        <v>145</v>
      </c>
    </row>
    <row r="7" spans="1:1" x14ac:dyDescent="0.25">
      <c r="A7" s="1"/>
    </row>
    <row r="8" spans="1:1" x14ac:dyDescent="0.25">
      <c r="A8" s="17" t="s">
        <v>146</v>
      </c>
    </row>
    <row r="9" spans="1:1" x14ac:dyDescent="0.25">
      <c r="A9" s="1" t="s">
        <v>142</v>
      </c>
    </row>
    <row r="10" spans="1:1" x14ac:dyDescent="0.25">
      <c r="A10" s="1" t="s">
        <v>89</v>
      </c>
    </row>
    <row r="11" spans="1:1" x14ac:dyDescent="0.25">
      <c r="A11" s="1" t="s">
        <v>90</v>
      </c>
    </row>
    <row r="12" spans="1:1" x14ac:dyDescent="0.25">
      <c r="A12" s="1" t="s">
        <v>91</v>
      </c>
    </row>
    <row r="13" spans="1:1" x14ac:dyDescent="0.25">
      <c r="A13" s="1"/>
    </row>
    <row r="14" spans="1:1" x14ac:dyDescent="0.25">
      <c r="A14" s="17" t="s">
        <v>92</v>
      </c>
    </row>
    <row r="15" spans="1:1" x14ac:dyDescent="0.25">
      <c r="A15" s="1" t="s">
        <v>143</v>
      </c>
    </row>
    <row r="16" spans="1:1" x14ac:dyDescent="0.25">
      <c r="A16" s="1" t="s">
        <v>89</v>
      </c>
    </row>
    <row r="17" spans="1:5" x14ac:dyDescent="0.25">
      <c r="A17" s="1" t="s">
        <v>90</v>
      </c>
    </row>
    <row r="18" spans="1:5" x14ac:dyDescent="0.25">
      <c r="A18" s="1" t="s">
        <v>14</v>
      </c>
    </row>
    <row r="19" spans="1:5" x14ac:dyDescent="0.25">
      <c r="A19" s="1" t="s">
        <v>93</v>
      </c>
    </row>
    <row r="20" spans="1:5" x14ac:dyDescent="0.25">
      <c r="A20" s="1"/>
    </row>
    <row r="21" spans="1:5" x14ac:dyDescent="0.25">
      <c r="A21" s="17" t="s">
        <v>98</v>
      </c>
    </row>
    <row r="22" spans="1:5" x14ac:dyDescent="0.25">
      <c r="A22" s="1" t="s">
        <v>94</v>
      </c>
    </row>
    <row r="23" spans="1:5" x14ac:dyDescent="0.25">
      <c r="A23" s="1" t="s">
        <v>95</v>
      </c>
    </row>
    <row r="24" spans="1:5" x14ac:dyDescent="0.25">
      <c r="A24" s="1" t="s">
        <v>96</v>
      </c>
    </row>
    <row r="25" spans="1:5" x14ac:dyDescent="0.25">
      <c r="A25" s="1"/>
    </row>
    <row r="26" spans="1:5" x14ac:dyDescent="0.25">
      <c r="A26" s="17" t="s">
        <v>141</v>
      </c>
    </row>
    <row r="27" spans="1:5" x14ac:dyDescent="0.25">
      <c r="A27" s="16" t="s">
        <v>140</v>
      </c>
    </row>
    <row r="29" spans="1:5" x14ac:dyDescent="0.25">
      <c r="A29" s="7" t="s">
        <v>144</v>
      </c>
    </row>
    <row r="31" spans="1:5" x14ac:dyDescent="0.25">
      <c r="A31" t="s">
        <v>149</v>
      </c>
    </row>
    <row r="32" spans="1:5" x14ac:dyDescent="0.25">
      <c r="C32" s="7">
        <v>2022</v>
      </c>
      <c r="D32" s="7">
        <v>2021</v>
      </c>
      <c r="E32" s="7">
        <v>2020</v>
      </c>
    </row>
    <row r="33" spans="1:10" x14ac:dyDescent="0.25">
      <c r="A33">
        <v>233.85</v>
      </c>
      <c r="B33" s="1" t="s">
        <v>165</v>
      </c>
      <c r="C33">
        <v>138.19999999999999</v>
      </c>
      <c r="D33">
        <v>141.5</v>
      </c>
      <c r="E33">
        <v>113.18</v>
      </c>
    </row>
    <row r="34" spans="1:10" x14ac:dyDescent="0.25">
      <c r="B34" t="s">
        <v>167</v>
      </c>
      <c r="C34" s="2">
        <f>16215963</f>
        <v>16215963</v>
      </c>
      <c r="D34" s="2">
        <f>16701272</f>
        <v>16701272</v>
      </c>
      <c r="E34" s="2">
        <f>17352119</f>
        <v>17352119</v>
      </c>
      <c r="G34" s="1"/>
      <c r="H34" s="2"/>
      <c r="I34" s="2"/>
      <c r="J34" s="2"/>
    </row>
    <row r="35" spans="1:10" x14ac:dyDescent="0.25">
      <c r="B35" t="s">
        <v>168</v>
      </c>
      <c r="C35" s="2">
        <f>C34</f>
        <v>16215963</v>
      </c>
      <c r="D35" s="2">
        <f t="shared" ref="D35:E35" si="0">D34</f>
        <v>16701272</v>
      </c>
      <c r="E35" s="2">
        <f t="shared" si="0"/>
        <v>17352119</v>
      </c>
    </row>
    <row r="36" spans="1:10" x14ac:dyDescent="0.25">
      <c r="C36" s="2"/>
      <c r="D36" s="2"/>
      <c r="E36" s="2"/>
    </row>
    <row r="37" spans="1:10" x14ac:dyDescent="0.25">
      <c r="B37" s="7" t="s">
        <v>166</v>
      </c>
    </row>
    <row r="38" spans="1:10" x14ac:dyDescent="0.25">
      <c r="B38" t="s">
        <v>150</v>
      </c>
      <c r="C38" s="29">
        <v>0.23</v>
      </c>
    </row>
    <row r="39" spans="1:10" x14ac:dyDescent="0.25">
      <c r="B39" t="s">
        <v>151</v>
      </c>
      <c r="C39" s="29" t="s">
        <v>163</v>
      </c>
    </row>
    <row r="40" spans="1:10" x14ac:dyDescent="0.25">
      <c r="B40" t="s">
        <v>152</v>
      </c>
      <c r="C40" s="29">
        <v>0.23</v>
      </c>
    </row>
    <row r="41" spans="1:10" x14ac:dyDescent="0.25">
      <c r="B41" t="s">
        <v>153</v>
      </c>
      <c r="C41" s="29">
        <v>0.22</v>
      </c>
    </row>
    <row r="42" spans="1:10" x14ac:dyDescent="0.25">
      <c r="C42" s="7">
        <f>SUM(C38:C41)</f>
        <v>0.68</v>
      </c>
    </row>
    <row r="43" spans="1:10" x14ac:dyDescent="0.25">
      <c r="C43" s="7"/>
    </row>
    <row r="44" spans="1:10" x14ac:dyDescent="0.25">
      <c r="B44" t="s">
        <v>154</v>
      </c>
      <c r="C44">
        <v>0.22</v>
      </c>
    </row>
    <row r="45" spans="1:10" x14ac:dyDescent="0.25">
      <c r="B45" t="s">
        <v>155</v>
      </c>
      <c r="C45">
        <v>0.22</v>
      </c>
    </row>
    <row r="46" spans="1:10" x14ac:dyDescent="0.25">
      <c r="B46" t="s">
        <v>156</v>
      </c>
      <c r="C46">
        <v>0.22</v>
      </c>
    </row>
    <row r="47" spans="1:10" x14ac:dyDescent="0.25">
      <c r="B47" t="s">
        <v>157</v>
      </c>
      <c r="C47">
        <v>0.20499999999999999</v>
      </c>
    </row>
    <row r="48" spans="1:10" x14ac:dyDescent="0.25">
      <c r="C48" s="7">
        <f>SUM(C44:C47)</f>
        <v>0.86499999999999999</v>
      </c>
    </row>
    <row r="50" spans="2:3" x14ac:dyDescent="0.25">
      <c r="B50" t="s">
        <v>158</v>
      </c>
      <c r="C50">
        <v>0.20499999999999999</v>
      </c>
    </row>
    <row r="51" spans="2:3" x14ac:dyDescent="0.25">
      <c r="B51" t="s">
        <v>159</v>
      </c>
      <c r="C51" t="s">
        <v>160</v>
      </c>
    </row>
    <row r="52" spans="2:3" x14ac:dyDescent="0.25">
      <c r="B52" t="s">
        <v>159</v>
      </c>
      <c r="C52">
        <v>0.82</v>
      </c>
    </row>
    <row r="53" spans="2:3" x14ac:dyDescent="0.25">
      <c r="B53" t="s">
        <v>161</v>
      </c>
      <c r="C53">
        <v>0.82</v>
      </c>
    </row>
    <row r="54" spans="2:3" x14ac:dyDescent="0.25">
      <c r="B54" t="s">
        <v>162</v>
      </c>
      <c r="C54">
        <v>0.77</v>
      </c>
    </row>
    <row r="55" spans="2:3" x14ac:dyDescent="0.25">
      <c r="C55" s="7">
        <f>SUM(C50:C54)</f>
        <v>2.6149999999999998</v>
      </c>
    </row>
  </sheetData>
  <hyperlinks>
    <hyperlink ref="A4" r:id="rId1"/>
    <hyperlink ref="A27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4"/>
  <sheetViews>
    <sheetView tabSelected="1" topLeftCell="A32" workbookViewId="0">
      <selection activeCell="N62" sqref="N62"/>
    </sheetView>
  </sheetViews>
  <sheetFormatPr defaultRowHeight="15" x14ac:dyDescent="0.25"/>
  <cols>
    <col min="1" max="1" width="59" customWidth="1"/>
    <col min="2" max="3" width="11.5703125" bestFit="1" customWidth="1"/>
    <col min="4" max="4" width="11.7109375" bestFit="1" customWidth="1"/>
    <col min="7" max="7" width="12" customWidth="1"/>
  </cols>
  <sheetData>
    <row r="1" spans="1:10" ht="60" customHeight="1" x14ac:dyDescent="0.2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5">
      <c r="A2" s="38" t="s">
        <v>1</v>
      </c>
      <c r="B2" s="38"/>
      <c r="C2" s="38"/>
      <c r="D2" s="38"/>
    </row>
    <row r="3" spans="1:10" x14ac:dyDescent="0.25">
      <c r="B3" s="37" t="s">
        <v>23</v>
      </c>
      <c r="C3" s="37"/>
      <c r="D3" s="37"/>
      <c r="E3" t="s">
        <v>148</v>
      </c>
    </row>
    <row r="4" spans="1:10" x14ac:dyDescent="0.25">
      <c r="B4" s="7">
        <v>2022</v>
      </c>
      <c r="C4" s="7">
        <v>2021</v>
      </c>
      <c r="D4" s="7">
        <v>2020</v>
      </c>
    </row>
    <row r="5" spans="1:10" x14ac:dyDescent="0.25">
      <c r="A5" t="s">
        <v>3</v>
      </c>
    </row>
    <row r="6" spans="1:10" x14ac:dyDescent="0.25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5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5">
      <c r="A8" s="8" t="s">
        <v>6</v>
      </c>
      <c r="B8" s="13">
        <f>+B6+B7</f>
        <v>394328</v>
      </c>
      <c r="C8" s="13">
        <f>+C6+C7</f>
        <v>365817</v>
      </c>
      <c r="D8" s="13">
        <f>+D6+D7</f>
        <v>274515</v>
      </c>
      <c r="E8" s="26">
        <f>((B8/D8)^(1/3))-1</f>
        <v>0.12831539031632122</v>
      </c>
    </row>
    <row r="9" spans="1:10" x14ac:dyDescent="0.25">
      <c r="A9" t="s">
        <v>7</v>
      </c>
      <c r="B9" s="12"/>
      <c r="C9" s="12"/>
      <c r="D9" s="12"/>
    </row>
    <row r="10" spans="1:10" x14ac:dyDescent="0.25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5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5">
      <c r="A12" s="8" t="s">
        <v>8</v>
      </c>
      <c r="B12" s="13">
        <f>+B10+B11</f>
        <v>223546</v>
      </c>
      <c r="C12" s="13">
        <f>+C10+C11</f>
        <v>212981</v>
      </c>
      <c r="D12" s="13">
        <f>+D10+D11</f>
        <v>169559</v>
      </c>
      <c r="E12" s="26">
        <f>((B12/D12)^(1/3))-1</f>
        <v>9.6516957121308922E-2</v>
      </c>
    </row>
    <row r="13" spans="1:10" x14ac:dyDescent="0.25">
      <c r="A13" s="8" t="s">
        <v>9</v>
      </c>
      <c r="B13" s="13">
        <f>+B8-B12</f>
        <v>170782</v>
      </c>
      <c r="C13" s="13">
        <f>+C8-C12</f>
        <v>152836</v>
      </c>
      <c r="D13" s="13">
        <f>+D8-D12</f>
        <v>104956</v>
      </c>
      <c r="E13" s="26">
        <f>((B13/D13)^(1/3))-1</f>
        <v>0.17619214518205273</v>
      </c>
    </row>
    <row r="14" spans="1:10" x14ac:dyDescent="0.25">
      <c r="A14" t="s">
        <v>10</v>
      </c>
      <c r="B14" s="12"/>
      <c r="C14" s="12"/>
      <c r="D14" s="12"/>
    </row>
    <row r="15" spans="1:10" x14ac:dyDescent="0.25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5">
      <c r="A16" s="1" t="s">
        <v>12</v>
      </c>
      <c r="B16" s="12">
        <v>25094</v>
      </c>
      <c r="C16" s="12">
        <v>21973</v>
      </c>
      <c r="D16" s="12">
        <v>19916</v>
      </c>
    </row>
    <row r="17" spans="1:7" x14ac:dyDescent="0.25">
      <c r="A17" s="8" t="s">
        <v>13</v>
      </c>
      <c r="B17" s="13">
        <f>+B15+B16</f>
        <v>51345</v>
      </c>
      <c r="C17" s="13">
        <f>+C15+C16</f>
        <v>43887</v>
      </c>
      <c r="D17" s="13">
        <f>+D15+D16</f>
        <v>38668</v>
      </c>
      <c r="E17" s="26">
        <f>((B17/D17)^(1/3))-1</f>
        <v>9.9129378152164271E-2</v>
      </c>
    </row>
    <row r="18" spans="1:7" s="21" customFormat="1" x14ac:dyDescent="0.25">
      <c r="A18" s="8" t="s">
        <v>14</v>
      </c>
      <c r="B18" s="13">
        <f>+B13-B17</f>
        <v>119437</v>
      </c>
      <c r="C18" s="13">
        <f>+C13-C17</f>
        <v>108949</v>
      </c>
      <c r="D18" s="13">
        <f>+D13-D17</f>
        <v>66288</v>
      </c>
    </row>
    <row r="19" spans="1:7" x14ac:dyDescent="0.25">
      <c r="A19" t="s">
        <v>15</v>
      </c>
      <c r="B19" s="12">
        <v>-334</v>
      </c>
      <c r="C19" s="12">
        <v>258</v>
      </c>
      <c r="D19" s="12">
        <v>803</v>
      </c>
    </row>
    <row r="20" spans="1:7" x14ac:dyDescent="0.25">
      <c r="A20" s="8" t="s">
        <v>16</v>
      </c>
      <c r="B20" s="13">
        <f>+B18+B19</f>
        <v>119103</v>
      </c>
      <c r="C20" s="13">
        <f>+C18+C19</f>
        <v>109207</v>
      </c>
      <c r="D20" s="13">
        <f>+D18+D19</f>
        <v>67091</v>
      </c>
    </row>
    <row r="21" spans="1:7" x14ac:dyDescent="0.25">
      <c r="A21" t="s">
        <v>17</v>
      </c>
      <c r="B21" s="12">
        <v>19300</v>
      </c>
      <c r="C21" s="12">
        <v>14527</v>
      </c>
      <c r="D21" s="12">
        <v>9680</v>
      </c>
    </row>
    <row r="22" spans="1:7" ht="15.75" thickBot="1" x14ac:dyDescent="0.3">
      <c r="A22" s="9" t="s">
        <v>18</v>
      </c>
      <c r="B22" s="14">
        <f>+B20-B21</f>
        <v>99803</v>
      </c>
      <c r="C22" s="14">
        <f>+C20-C21</f>
        <v>94680</v>
      </c>
      <c r="D22" s="14">
        <f>+D20-D21</f>
        <v>57411</v>
      </c>
      <c r="E22" s="26">
        <f>((B22/D22)^(1/3))-1</f>
        <v>0.20240145972247858</v>
      </c>
    </row>
    <row r="23" spans="1:7" ht="15.75" thickTop="1" x14ac:dyDescent="0.25">
      <c r="A23" t="s">
        <v>19</v>
      </c>
    </row>
    <row r="24" spans="1:7" x14ac:dyDescent="0.25">
      <c r="A24" s="1" t="s">
        <v>20</v>
      </c>
      <c r="B24" s="10">
        <v>6.15</v>
      </c>
      <c r="C24" s="10">
        <v>5.67</v>
      </c>
      <c r="D24" s="10">
        <v>3.31</v>
      </c>
    </row>
    <row r="25" spans="1:7" x14ac:dyDescent="0.25">
      <c r="A25" s="1" t="s">
        <v>21</v>
      </c>
      <c r="B25" s="10">
        <v>6.11</v>
      </c>
      <c r="C25" s="10">
        <v>5.61</v>
      </c>
      <c r="D25" s="10">
        <v>3.28</v>
      </c>
    </row>
    <row r="26" spans="1:7" x14ac:dyDescent="0.25">
      <c r="A26" t="s">
        <v>22</v>
      </c>
    </row>
    <row r="27" spans="1:7" x14ac:dyDescent="0.25">
      <c r="A27" s="1" t="s">
        <v>20</v>
      </c>
      <c r="B27" s="2">
        <f>16215963/1000</f>
        <v>16215.963</v>
      </c>
      <c r="C27" s="2">
        <f>16701272/1000</f>
        <v>16701.272000000001</v>
      </c>
      <c r="D27" s="2">
        <f>17352119/1000</f>
        <v>17352.118999999999</v>
      </c>
      <c r="F27" s="27"/>
    </row>
    <row r="28" spans="1:7" x14ac:dyDescent="0.25">
      <c r="A28" s="1" t="s">
        <v>21</v>
      </c>
      <c r="B28" s="2">
        <v>16325819</v>
      </c>
      <c r="C28" s="2">
        <v>16864919</v>
      </c>
      <c r="D28" s="2">
        <v>17528214</v>
      </c>
    </row>
    <row r="29" spans="1:7" x14ac:dyDescent="0.25">
      <c r="G29" s="28"/>
    </row>
    <row r="31" spans="1:7" x14ac:dyDescent="0.25">
      <c r="A31" s="38" t="s">
        <v>24</v>
      </c>
      <c r="B31" s="38"/>
      <c r="C31" s="38"/>
      <c r="D31" s="38"/>
    </row>
    <row r="32" spans="1:7" x14ac:dyDescent="0.25">
      <c r="B32" s="37" t="s">
        <v>139</v>
      </c>
      <c r="C32" s="37"/>
      <c r="D32" s="37"/>
    </row>
    <row r="33" spans="1:12" x14ac:dyDescent="0.25">
      <c r="B33" s="7">
        <f>+B4</f>
        <v>2022</v>
      </c>
      <c r="C33" s="7">
        <f>+C4</f>
        <v>2021</v>
      </c>
      <c r="D33" s="7">
        <f>+D4</f>
        <v>2020</v>
      </c>
    </row>
    <row r="35" spans="1:12" x14ac:dyDescent="0.25">
      <c r="A35" t="s">
        <v>25</v>
      </c>
    </row>
    <row r="36" spans="1:12" x14ac:dyDescent="0.25">
      <c r="A36" s="1" t="s">
        <v>26</v>
      </c>
      <c r="B36" s="12">
        <v>23646</v>
      </c>
      <c r="C36" s="12">
        <v>34940</v>
      </c>
      <c r="D36" s="12">
        <v>38016</v>
      </c>
    </row>
    <row r="37" spans="1:12" x14ac:dyDescent="0.25">
      <c r="A37" s="1" t="s">
        <v>27</v>
      </c>
      <c r="B37" s="12">
        <v>24658</v>
      </c>
      <c r="C37" s="12">
        <v>27699</v>
      </c>
      <c r="D37" s="12">
        <v>52927</v>
      </c>
      <c r="H37" s="7">
        <v>2022</v>
      </c>
      <c r="I37" s="7">
        <v>2021</v>
      </c>
      <c r="J37" s="7">
        <v>2020</v>
      </c>
      <c r="L37" s="40">
        <v>2019</v>
      </c>
    </row>
    <row r="38" spans="1:12" x14ac:dyDescent="0.25">
      <c r="A38" s="1" t="s">
        <v>28</v>
      </c>
      <c r="B38" s="12">
        <v>28184</v>
      </c>
      <c r="C38" s="12">
        <v>26278</v>
      </c>
      <c r="D38" s="12">
        <v>16120</v>
      </c>
      <c r="L38" s="40"/>
    </row>
    <row r="39" spans="1:12" x14ac:dyDescent="0.25">
      <c r="A39" s="1" t="s">
        <v>29</v>
      </c>
      <c r="B39" s="12">
        <v>4946</v>
      </c>
      <c r="C39" s="12">
        <v>6580</v>
      </c>
      <c r="D39" s="12">
        <v>4061</v>
      </c>
      <c r="G39" t="s">
        <v>173</v>
      </c>
      <c r="H39" s="39">
        <f>(B39+C39)/2</f>
        <v>5763</v>
      </c>
      <c r="I39" s="39">
        <f>(C39+D39)/2</f>
        <v>5320.5</v>
      </c>
      <c r="J39" s="39">
        <f>(D39+B39)/2</f>
        <v>4503.5</v>
      </c>
      <c r="L39" s="41">
        <f>D39+D85</f>
        <v>3934</v>
      </c>
    </row>
    <row r="40" spans="1:12" x14ac:dyDescent="0.25">
      <c r="A40" s="1" t="s">
        <v>47</v>
      </c>
      <c r="B40" s="12">
        <v>32748</v>
      </c>
      <c r="C40" s="12">
        <v>25228</v>
      </c>
      <c r="D40" s="12">
        <v>21325</v>
      </c>
    </row>
    <row r="41" spans="1:12" x14ac:dyDescent="0.25">
      <c r="A41" s="1" t="s">
        <v>30</v>
      </c>
      <c r="B41" s="12">
        <v>21223</v>
      </c>
      <c r="C41" s="12">
        <v>14111</v>
      </c>
      <c r="D41" s="12">
        <v>11264</v>
      </c>
    </row>
    <row r="42" spans="1:12" x14ac:dyDescent="0.25">
      <c r="A42" s="8" t="s">
        <v>31</v>
      </c>
      <c r="B42" s="13">
        <f>+SUM(B36:B41)</f>
        <v>135405</v>
      </c>
      <c r="C42" s="13">
        <f>+SUM(C36:C41)</f>
        <v>134836</v>
      </c>
      <c r="D42" s="13">
        <f>+SUM(D36:D41)</f>
        <v>143713</v>
      </c>
      <c r="E42" s="26">
        <f>((B42/D42)^(1/3))-1</f>
        <v>-1.9653621785912012E-2</v>
      </c>
    </row>
    <row r="43" spans="1:12" x14ac:dyDescent="0.25">
      <c r="A43" t="s">
        <v>48</v>
      </c>
      <c r="B43" s="12"/>
      <c r="C43" s="12"/>
      <c r="D43" s="12"/>
    </row>
    <row r="44" spans="1:12" x14ac:dyDescent="0.25">
      <c r="A44" s="1" t="s">
        <v>27</v>
      </c>
      <c r="B44" s="12">
        <v>120805</v>
      </c>
      <c r="C44" s="12">
        <v>127877</v>
      </c>
      <c r="D44" s="12">
        <v>100887</v>
      </c>
    </row>
    <row r="45" spans="1:12" x14ac:dyDescent="0.25">
      <c r="A45" s="1" t="s">
        <v>32</v>
      </c>
      <c r="B45" s="12">
        <v>42117</v>
      </c>
      <c r="C45" s="12">
        <v>39440</v>
      </c>
      <c r="D45" s="12">
        <v>36766</v>
      </c>
    </row>
    <row r="46" spans="1:12" x14ac:dyDescent="0.25">
      <c r="A46" s="1" t="s">
        <v>49</v>
      </c>
      <c r="B46" s="12">
        <v>54428</v>
      </c>
      <c r="C46" s="12">
        <v>48849</v>
      </c>
      <c r="D46" s="12">
        <v>42522</v>
      </c>
    </row>
    <row r="47" spans="1:12" x14ac:dyDescent="0.25">
      <c r="A47" s="8" t="s">
        <v>50</v>
      </c>
      <c r="B47" s="13">
        <f>+SUM(B44:B46)</f>
        <v>217350</v>
      </c>
      <c r="C47" s="13">
        <f>+SUM(C44:C46)</f>
        <v>216166</v>
      </c>
      <c r="D47" s="13">
        <f>+SUM(D44:D46)</f>
        <v>180175</v>
      </c>
      <c r="E47" s="26">
        <f>((B47/D47)^(1/3))-1</f>
        <v>6.4522972360165243E-2</v>
      </c>
    </row>
    <row r="48" spans="1:12" ht="15.75" thickBot="1" x14ac:dyDescent="0.3">
      <c r="A48" s="9" t="s">
        <v>33</v>
      </c>
      <c r="B48" s="14">
        <f>+B42+B47</f>
        <v>352755</v>
      </c>
      <c r="C48" s="14">
        <f>+C42+C47</f>
        <v>351002</v>
      </c>
      <c r="D48" s="14">
        <f>+D42+D47</f>
        <v>323888</v>
      </c>
      <c r="E48" s="26">
        <f>((B48/D48)^(1/3))-1</f>
        <v>2.8867479302999044E-2</v>
      </c>
    </row>
    <row r="49" spans="1:5" ht="15.75" thickTop="1" x14ac:dyDescent="0.25"/>
    <row r="50" spans="1:5" x14ac:dyDescent="0.25">
      <c r="A50" t="s">
        <v>34</v>
      </c>
    </row>
    <row r="51" spans="1:5" x14ac:dyDescent="0.25">
      <c r="A51" s="1" t="s">
        <v>35</v>
      </c>
      <c r="B51" s="12">
        <v>64115</v>
      </c>
      <c r="C51" s="12">
        <v>54763</v>
      </c>
      <c r="D51" s="12">
        <v>42296</v>
      </c>
    </row>
    <row r="52" spans="1:5" x14ac:dyDescent="0.25">
      <c r="A52" s="1" t="s">
        <v>36</v>
      </c>
      <c r="B52" s="12">
        <v>60845</v>
      </c>
      <c r="C52" s="12">
        <v>47493</v>
      </c>
      <c r="D52" s="12">
        <v>42684</v>
      </c>
    </row>
    <row r="53" spans="1:5" x14ac:dyDescent="0.25">
      <c r="A53" s="1" t="s">
        <v>37</v>
      </c>
      <c r="B53" s="12">
        <v>7912</v>
      </c>
      <c r="C53" s="12">
        <v>7612</v>
      </c>
      <c r="D53" s="12">
        <v>6643</v>
      </c>
    </row>
    <row r="54" spans="1:5" x14ac:dyDescent="0.25">
      <c r="A54" s="1" t="s">
        <v>38</v>
      </c>
      <c r="B54" s="12">
        <v>9982</v>
      </c>
      <c r="C54" s="12">
        <v>6000</v>
      </c>
      <c r="D54" s="12">
        <v>4996</v>
      </c>
    </row>
    <row r="55" spans="1:5" x14ac:dyDescent="0.25">
      <c r="A55" s="1" t="s">
        <v>39</v>
      </c>
      <c r="B55" s="12">
        <v>11128</v>
      </c>
      <c r="C55" s="12">
        <v>9613</v>
      </c>
      <c r="D55" s="12">
        <v>8773</v>
      </c>
    </row>
    <row r="56" spans="1:5" x14ac:dyDescent="0.25">
      <c r="A56" s="8" t="s">
        <v>40</v>
      </c>
      <c r="B56" s="13">
        <f>+SUM(B51:B55)</f>
        <v>153982</v>
      </c>
      <c r="C56" s="13">
        <f>+SUM(C51:C55)</f>
        <v>125481</v>
      </c>
      <c r="D56" s="13">
        <f>+SUM(D51:D55)</f>
        <v>105392</v>
      </c>
      <c r="E56" s="26">
        <f>((B56/D56)^(1/3))-1</f>
        <v>0.1347166742071586</v>
      </c>
    </row>
    <row r="57" spans="1:5" x14ac:dyDescent="0.25">
      <c r="A57" t="s">
        <v>51</v>
      </c>
      <c r="B57" s="12"/>
      <c r="C57" s="12"/>
      <c r="D57" s="12"/>
    </row>
    <row r="58" spans="1:5" x14ac:dyDescent="0.25">
      <c r="A58" s="1" t="s">
        <v>37</v>
      </c>
      <c r="B58" s="12"/>
      <c r="C58" s="12"/>
      <c r="D58" s="12"/>
    </row>
    <row r="59" spans="1:5" x14ac:dyDescent="0.25">
      <c r="A59" s="1" t="s">
        <v>39</v>
      </c>
      <c r="B59" s="12">
        <v>98959</v>
      </c>
      <c r="C59" s="12">
        <v>109106</v>
      </c>
      <c r="D59" s="12">
        <v>98667</v>
      </c>
    </row>
    <row r="60" spans="1:5" x14ac:dyDescent="0.25">
      <c r="A60" s="1" t="s">
        <v>52</v>
      </c>
      <c r="B60" s="12">
        <v>49142</v>
      </c>
      <c r="C60" s="12">
        <v>53325</v>
      </c>
      <c r="D60" s="12">
        <v>54490</v>
      </c>
    </row>
    <row r="61" spans="1:5" x14ac:dyDescent="0.25">
      <c r="A61" s="23" t="s">
        <v>53</v>
      </c>
      <c r="B61" s="22">
        <f>+B59+B60</f>
        <v>148101</v>
      </c>
      <c r="C61" s="22">
        <f>+C59+C60</f>
        <v>162431</v>
      </c>
      <c r="D61" s="22">
        <f>+D59+D60</f>
        <v>153157</v>
      </c>
    </row>
    <row r="62" spans="1:5" x14ac:dyDescent="0.25">
      <c r="A62" s="8" t="s">
        <v>41</v>
      </c>
      <c r="B62" s="13">
        <f>+B56+B61</f>
        <v>302083</v>
      </c>
      <c r="C62" s="13">
        <f>+C56+C61</f>
        <v>287912</v>
      </c>
      <c r="D62" s="13">
        <f>+D56+D61</f>
        <v>258549</v>
      </c>
      <c r="E62" s="26">
        <f>((B62/D62)^(1/3))-1</f>
        <v>5.3241123706328164E-2</v>
      </c>
    </row>
    <row r="63" spans="1:5" x14ac:dyDescent="0.25">
      <c r="A63" s="30" t="s">
        <v>164</v>
      </c>
      <c r="B63" s="12">
        <f>B48-B56</f>
        <v>198773</v>
      </c>
      <c r="C63" s="12">
        <f t="shared" ref="C63:D63" si="0">C48-C56</f>
        <v>225521</v>
      </c>
      <c r="D63" s="12">
        <f t="shared" si="0"/>
        <v>218496</v>
      </c>
    </row>
    <row r="64" spans="1:5" x14ac:dyDescent="0.25">
      <c r="A64" t="s">
        <v>42</v>
      </c>
      <c r="B64" s="12"/>
      <c r="C64" s="12"/>
      <c r="D64" s="12"/>
    </row>
    <row r="65" spans="1:5" x14ac:dyDescent="0.25">
      <c r="A65" s="1" t="s">
        <v>54</v>
      </c>
      <c r="B65" s="12">
        <v>64849</v>
      </c>
      <c r="C65" s="12">
        <v>57365</v>
      </c>
      <c r="D65" s="12">
        <v>50779</v>
      </c>
    </row>
    <row r="66" spans="1:5" x14ac:dyDescent="0.25">
      <c r="A66" s="1" t="s">
        <v>43</v>
      </c>
      <c r="B66" s="12">
        <v>-3068</v>
      </c>
      <c r="C66" s="12">
        <v>5562</v>
      </c>
      <c r="D66" s="12">
        <v>14966</v>
      </c>
    </row>
    <row r="67" spans="1:5" x14ac:dyDescent="0.25">
      <c r="A67" s="1" t="s">
        <v>44</v>
      </c>
      <c r="B67" s="12">
        <v>-11109</v>
      </c>
      <c r="C67" s="12">
        <v>163</v>
      </c>
      <c r="D67" s="12">
        <v>-406</v>
      </c>
    </row>
    <row r="68" spans="1:5" x14ac:dyDescent="0.25">
      <c r="A68" s="8" t="s">
        <v>45</v>
      </c>
      <c r="B68" s="13">
        <f>+SUM(B65:B67)</f>
        <v>50672</v>
      </c>
      <c r="C68" s="13">
        <f>+SUM(C65:C67)</f>
        <v>63090</v>
      </c>
      <c r="D68" s="13">
        <f>+SUM(D65:D67)</f>
        <v>65339</v>
      </c>
      <c r="E68" s="26">
        <f>((B68/D68)^(1/3))-1</f>
        <v>-8.1247527436305145E-2</v>
      </c>
    </row>
    <row r="69" spans="1:5" ht="15.75" thickBot="1" x14ac:dyDescent="0.3">
      <c r="A69" s="9" t="s">
        <v>46</v>
      </c>
      <c r="B69" s="14">
        <f>+B68+B62</f>
        <v>352755</v>
      </c>
      <c r="C69" s="14">
        <f>+C68+C62</f>
        <v>351002</v>
      </c>
      <c r="D69" s="14">
        <f>+D68+D62</f>
        <v>323888</v>
      </c>
      <c r="E69" s="26">
        <f>((B69/D69)^(1/3))-1</f>
        <v>2.8867479302999044E-2</v>
      </c>
    </row>
    <row r="70" spans="1:5" ht="15.75" thickTop="1" x14ac:dyDescent="0.25"/>
    <row r="71" spans="1:5" x14ac:dyDescent="0.25">
      <c r="A71" s="38" t="s">
        <v>55</v>
      </c>
      <c r="B71" s="38"/>
      <c r="C71" s="38"/>
      <c r="D71" s="38"/>
    </row>
    <row r="72" spans="1:5" x14ac:dyDescent="0.25">
      <c r="B72" s="37" t="s">
        <v>23</v>
      </c>
      <c r="C72" s="37"/>
      <c r="D72" s="37"/>
    </row>
    <row r="73" spans="1:5" x14ac:dyDescent="0.25">
      <c r="B73" s="7">
        <f>+B33</f>
        <v>2022</v>
      </c>
      <c r="C73" s="7">
        <f>+C33</f>
        <v>2021</v>
      </c>
      <c r="D73" s="7">
        <f>+D33</f>
        <v>2020</v>
      </c>
    </row>
    <row r="75" spans="1:5" x14ac:dyDescent="0.25">
      <c r="A75" s="7" t="s">
        <v>56</v>
      </c>
      <c r="B75" s="15"/>
      <c r="C75" s="15"/>
      <c r="D75" s="15"/>
    </row>
    <row r="76" spans="1:5" x14ac:dyDescent="0.25">
      <c r="A76" t="s">
        <v>57</v>
      </c>
      <c r="B76" s="12">
        <f>+B22</f>
        <v>99803</v>
      </c>
      <c r="C76" s="12">
        <f>+C22</f>
        <v>94680</v>
      </c>
      <c r="D76" s="12">
        <f>+D22</f>
        <v>57411</v>
      </c>
    </row>
    <row r="77" spans="1:5" x14ac:dyDescent="0.25">
      <c r="A77" s="11" t="s">
        <v>18</v>
      </c>
      <c r="B77" s="15"/>
      <c r="C77" s="15"/>
      <c r="D77" s="15"/>
    </row>
    <row r="78" spans="1:5" x14ac:dyDescent="0.25">
      <c r="A78" s="1" t="s">
        <v>58</v>
      </c>
      <c r="B78" s="12"/>
      <c r="C78" s="12"/>
      <c r="D78" s="12"/>
    </row>
    <row r="79" spans="1:5" x14ac:dyDescent="0.25">
      <c r="A79" s="3" t="s">
        <v>59</v>
      </c>
      <c r="B79" s="12">
        <v>11104</v>
      </c>
      <c r="C79" s="12">
        <v>11284</v>
      </c>
      <c r="D79" s="12">
        <v>11056</v>
      </c>
    </row>
    <row r="80" spans="1:5" x14ac:dyDescent="0.25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5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5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5">
      <c r="A83" t="s">
        <v>62</v>
      </c>
      <c r="B83" s="12"/>
      <c r="C83" s="12"/>
      <c r="D83" s="12"/>
    </row>
    <row r="84" spans="1:4" x14ac:dyDescent="0.25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5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5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5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5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5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5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5">
      <c r="A91" s="8" t="s">
        <v>63</v>
      </c>
      <c r="B91" s="13">
        <f>+SUM(B76:B90)</f>
        <v>122151</v>
      </c>
      <c r="C91" s="13">
        <f>+SUM(C76:C90)</f>
        <v>104038</v>
      </c>
      <c r="D91" s="13">
        <f>+SUM(D76:D90)</f>
        <v>80674</v>
      </c>
    </row>
    <row r="92" spans="1:4" x14ac:dyDescent="0.25">
      <c r="A92" s="7" t="s">
        <v>64</v>
      </c>
      <c r="B92" s="12"/>
      <c r="C92" s="12"/>
      <c r="D92" s="12"/>
    </row>
    <row r="93" spans="1:4" x14ac:dyDescent="0.25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5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5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5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5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5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5">
      <c r="A99" s="8" t="s">
        <v>70</v>
      </c>
      <c r="B99" s="13">
        <f>+SUM(B93:B98)</f>
        <v>-22354</v>
      </c>
      <c r="C99" s="13">
        <f>+SUM(C93:C98)</f>
        <v>-14545</v>
      </c>
      <c r="D99" s="13">
        <f>+SUM(D93:D98)</f>
        <v>-4289</v>
      </c>
    </row>
    <row r="100" spans="1:4" x14ac:dyDescent="0.25">
      <c r="A100" s="7" t="s">
        <v>71</v>
      </c>
      <c r="B100" s="12"/>
      <c r="C100" s="12"/>
      <c r="D100" s="12"/>
    </row>
    <row r="101" spans="1:4" x14ac:dyDescent="0.25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5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5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5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5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5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5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5">
      <c r="A108" s="8" t="s">
        <v>77</v>
      </c>
      <c r="B108" s="13">
        <f>+SUM(B101:B107)</f>
        <v>-110749</v>
      </c>
      <c r="C108" s="13">
        <f>+SUM(C101:C107)</f>
        <v>-93353</v>
      </c>
      <c r="D108" s="13">
        <f>+SUM(D101:D107)</f>
        <v>-86820</v>
      </c>
    </row>
    <row r="109" spans="1:4" x14ac:dyDescent="0.25">
      <c r="A109" s="8" t="s">
        <v>78</v>
      </c>
      <c r="B109" s="13">
        <f>+B91+B99+B108</f>
        <v>-10952</v>
      </c>
      <c r="C109" s="13">
        <f>+C91+C99+C108</f>
        <v>-3860</v>
      </c>
      <c r="D109" s="13">
        <f>+D91+D99+D108</f>
        <v>-10435</v>
      </c>
    </row>
    <row r="110" spans="1:4" ht="15.75" thickBot="1" x14ac:dyDescent="0.3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.75" thickTop="1" x14ac:dyDescent="0.25">
      <c r="B111" s="12"/>
      <c r="C111" s="12"/>
      <c r="D111" s="12"/>
    </row>
    <row r="112" spans="1:4" x14ac:dyDescent="0.25">
      <c r="A112" t="s">
        <v>80</v>
      </c>
      <c r="B112" s="12"/>
      <c r="C112" s="12"/>
      <c r="D112" s="12"/>
    </row>
    <row r="113" spans="1:4" x14ac:dyDescent="0.25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5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opLeftCell="A12" workbookViewId="0">
      <selection activeCell="Q41" sqref="Q41"/>
    </sheetView>
  </sheetViews>
  <sheetFormatPr defaultRowHeight="15" x14ac:dyDescent="0.25"/>
  <cols>
    <col min="1" max="1" width="4.7109375" customWidth="1"/>
    <col min="2" max="2" width="44.85546875" customWidth="1"/>
    <col min="3" max="3" width="15.7109375" bestFit="1" customWidth="1"/>
    <col min="4" max="4" width="12.140625" customWidth="1"/>
    <col min="5" max="5" width="14.7109375" bestFit="1" customWidth="1"/>
  </cols>
  <sheetData>
    <row r="1" spans="1:10" ht="60" customHeight="1" x14ac:dyDescent="0.4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5">
      <c r="C2" s="37" t="s">
        <v>23</v>
      </c>
      <c r="D2" s="37"/>
      <c r="E2" s="37"/>
    </row>
    <row r="3" spans="1:10" x14ac:dyDescent="0.25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5">
      <c r="A4" s="18">
        <v>1</v>
      </c>
      <c r="B4" s="7" t="s">
        <v>99</v>
      </c>
    </row>
    <row r="5" spans="1:10" x14ac:dyDescent="0.25">
      <c r="A5" s="18">
        <f>+A4+0.1</f>
        <v>1.1000000000000001</v>
      </c>
      <c r="B5" s="1" t="s">
        <v>100</v>
      </c>
      <c r="C5" s="24">
        <f>'Financial Statements'!B42/'Financial Statements'!B56</f>
        <v>0.87935602862672257</v>
      </c>
      <c r="D5" s="24">
        <f>'Financial Statements'!C42/'Financial Statements'!C56</f>
        <v>1.0745531195957954</v>
      </c>
      <c r="E5" s="24">
        <f>'Financial Statements'!D42/'Financial Statements'!D56</f>
        <v>1.3636044481554577</v>
      </c>
    </row>
    <row r="6" spans="1:10" x14ac:dyDescent="0.25">
      <c r="A6" s="18">
        <f t="shared" ref="A6:A13" si="0">+A5+0.1</f>
        <v>1.2000000000000002</v>
      </c>
      <c r="B6" s="1" t="s">
        <v>101</v>
      </c>
      <c r="C6" s="24">
        <f>('Financial Statements'!B42-'Financial Statements'!B39)/'Financial Statements'!B56</f>
        <v>0.84723539114961488</v>
      </c>
      <c r="D6" s="24">
        <f>('Financial Statements'!C42-'Financial Statements'!C39)/'Financial Statements'!C56</f>
        <v>1.0221149018576519</v>
      </c>
      <c r="E6" s="24">
        <f>('Financial Statements'!D42-'Financial Statements'!D39)/'Financial Statements'!D56</f>
        <v>1.325072111735236</v>
      </c>
    </row>
    <row r="7" spans="1:10" x14ac:dyDescent="0.25">
      <c r="A7" s="18">
        <f t="shared" si="0"/>
        <v>1.3000000000000003</v>
      </c>
      <c r="B7" s="1" t="s">
        <v>102</v>
      </c>
      <c r="C7" s="24">
        <f>('Financial Statements'!B36+'Financial Statements'!B37)/'Financial Statements'!B56</f>
        <v>0.31369900377966253</v>
      </c>
      <c r="D7" s="24">
        <f>('Financial Statements'!C36+'Financial Statements'!C37)/'Financial Statements'!C56</f>
        <v>0.49919111259872012</v>
      </c>
      <c r="E7" s="24">
        <f>('Financial Statements'!D36+'Financial Statements'!D37)/'Financial Statements'!D56</f>
        <v>0.86290230757552755</v>
      </c>
    </row>
    <row r="8" spans="1:10" x14ac:dyDescent="0.25">
      <c r="A8" s="18">
        <f t="shared" si="0"/>
        <v>1.4000000000000004</v>
      </c>
      <c r="B8" s="1" t="s">
        <v>103</v>
      </c>
      <c r="C8" s="36">
        <f>'Financial Statements'!B42/('Financial Statements'!B17/365)</f>
        <v>962.56354075372474</v>
      </c>
      <c r="D8" s="36">
        <f>'Financial Statements'!C42/('Financial Statements'!C17/365)</f>
        <v>1121.4058832911796</v>
      </c>
      <c r="E8" s="36">
        <f>'Financial Statements'!D42/('Financial Statements'!D17/365)</f>
        <v>1356.5543860556534</v>
      </c>
    </row>
    <row r="9" spans="1:10" x14ac:dyDescent="0.25">
      <c r="A9" s="18">
        <f t="shared" si="0"/>
        <v>1.5000000000000004</v>
      </c>
      <c r="B9" s="1" t="s">
        <v>104</v>
      </c>
      <c r="C9" s="24">
        <f>('Financial Statements'!B39/'Financial Statements'!B12)*365</f>
        <v>8.0756980666171607</v>
      </c>
      <c r="D9" s="24">
        <f>('Financial Statements'!C39/'Financial Statements'!C12)*365</f>
        <v>11.27659274770989</v>
      </c>
      <c r="E9" s="24">
        <f>('Financial Statements'!D39/'Financial Statements'!D12)*365</f>
        <v>8.7418833562358831</v>
      </c>
    </row>
    <row r="10" spans="1:10" x14ac:dyDescent="0.25">
      <c r="A10" s="18">
        <f t="shared" si="0"/>
        <v>1.6000000000000005</v>
      </c>
      <c r="B10" s="1" t="s">
        <v>105</v>
      </c>
      <c r="C10" s="36">
        <f>('Financial Statements'!B51/'Financial Statements'!B12)*365</f>
        <v>104.68527730310539</v>
      </c>
      <c r="D10" s="24">
        <f>('Financial Statements'!C51/'Financial Statements'!C12)*365</f>
        <v>93.851071222315596</v>
      </c>
      <c r="E10" s="24">
        <f>('Financial Statements'!D51/'Financial Statements'!D12)*365</f>
        <v>91.048189715674198</v>
      </c>
    </row>
    <row r="11" spans="1:10" x14ac:dyDescent="0.25">
      <c r="A11" s="18">
        <f t="shared" si="0"/>
        <v>1.7000000000000006</v>
      </c>
      <c r="B11" s="1" t="s">
        <v>106</v>
      </c>
      <c r="C11" s="24">
        <f>('Financial Statements'!B38/'Financial Statements'!B8)*365</f>
        <v>26.087825363656648</v>
      </c>
      <c r="D11" s="24">
        <f>('Financial Statements'!C38/'Financial Statements'!C8)*365</f>
        <v>26.219311841713207</v>
      </c>
      <c r="E11" s="24">
        <f>('Financial Statements'!D38/'Financial Statements'!D8)*365</f>
        <v>21.433437152796749</v>
      </c>
    </row>
    <row r="12" spans="1:10" x14ac:dyDescent="0.25">
      <c r="A12" s="18">
        <f t="shared" si="0"/>
        <v>1.8000000000000007</v>
      </c>
      <c r="B12" s="1" t="s">
        <v>107</v>
      </c>
      <c r="C12" s="24">
        <f>C9+C11-C10</f>
        <v>-70.521753872831582</v>
      </c>
      <c r="D12" s="24">
        <f t="shared" ref="D12:E12" si="1">D9+D11-D10</f>
        <v>-56.355166632892498</v>
      </c>
      <c r="E12" s="24">
        <f t="shared" si="1"/>
        <v>-60.872869206641568</v>
      </c>
    </row>
    <row r="13" spans="1:10" x14ac:dyDescent="0.25">
      <c r="A13" s="18">
        <f t="shared" si="0"/>
        <v>1.9000000000000008</v>
      </c>
      <c r="B13" s="1" t="s">
        <v>108</v>
      </c>
      <c r="C13" s="24">
        <f>(C14/'Financial Statements'!B8)*100</f>
        <v>-20.780923495161389</v>
      </c>
      <c r="D13" s="24">
        <f>(D14/'Financial Statements'!C8)*100</f>
        <v>-22.232427689254465</v>
      </c>
      <c r="E13" s="24">
        <f>(E14/'Financial Statements'!D8)*100</f>
        <v>-13.282334298672204</v>
      </c>
    </row>
    <row r="14" spans="1:10" x14ac:dyDescent="0.25">
      <c r="A14" s="18"/>
      <c r="B14" s="3" t="s">
        <v>109</v>
      </c>
      <c r="C14">
        <f>'Financial Statements'!B42-'Financial Statements'!B47</f>
        <v>-81945</v>
      </c>
      <c r="D14">
        <f>'Financial Statements'!C42-'Financial Statements'!C47</f>
        <v>-81330</v>
      </c>
      <c r="E14">
        <f>'Financial Statements'!D42-'Financial Statements'!D47</f>
        <v>-36462</v>
      </c>
    </row>
    <row r="15" spans="1:10" x14ac:dyDescent="0.25">
      <c r="A15" s="18"/>
    </row>
    <row r="16" spans="1:10" x14ac:dyDescent="0.25">
      <c r="A16" s="18">
        <f>+A4+1</f>
        <v>2</v>
      </c>
      <c r="B16" s="17" t="s">
        <v>110</v>
      </c>
    </row>
    <row r="17" spans="1:7" x14ac:dyDescent="0.25">
      <c r="A17" s="18">
        <f>+A16+0.1</f>
        <v>2.1</v>
      </c>
      <c r="B17" s="1" t="s">
        <v>9</v>
      </c>
      <c r="C17" s="24">
        <f>('Financial Statements'!B13/'Financial Statements'!B8)</f>
        <v>0.43309630561360085</v>
      </c>
      <c r="D17" s="24">
        <f>('Financial Statements'!C13/'Financial Statements'!C8)</f>
        <v>0.41779359625167778</v>
      </c>
      <c r="E17" s="24">
        <f>('Financial Statements'!D13/'Financial Statements'!D8)</f>
        <v>0.38233247727810865</v>
      </c>
    </row>
    <row r="18" spans="1:7" x14ac:dyDescent="0.25">
      <c r="A18" s="18">
        <f>+A17+0.1</f>
        <v>2.2000000000000002</v>
      </c>
      <c r="B18" s="1" t="s">
        <v>111</v>
      </c>
      <c r="C18" s="24">
        <f>C19/'Financial Statements'!B8</f>
        <v>0.30204043334482966</v>
      </c>
      <c r="D18" s="24">
        <f>D19/'Financial Statements'!C8</f>
        <v>0.29852904594373691</v>
      </c>
      <c r="E18" s="24">
        <f>E19/'Financial Statements'!D8</f>
        <v>0.24439830246070343</v>
      </c>
    </row>
    <row r="19" spans="1:7" x14ac:dyDescent="0.25">
      <c r="A19" s="18"/>
      <c r="B19" s="32" t="s">
        <v>112</v>
      </c>
      <c r="C19" s="31">
        <f>'Financial Statements'!B20</f>
        <v>119103</v>
      </c>
      <c r="D19" s="31">
        <f>'Financial Statements'!C20</f>
        <v>109207</v>
      </c>
      <c r="E19" s="31">
        <f>'Financial Statements'!D20</f>
        <v>67091</v>
      </c>
      <c r="G19" t="s">
        <v>147</v>
      </c>
    </row>
    <row r="20" spans="1:7" x14ac:dyDescent="0.25">
      <c r="A20" s="18">
        <f>+A18+0.1</f>
        <v>2.3000000000000003</v>
      </c>
      <c r="B20" s="33" t="s">
        <v>113</v>
      </c>
      <c r="C20" s="31">
        <f>'Financial Statements'!B18</f>
        <v>119437</v>
      </c>
      <c r="D20" s="31">
        <f>'Financial Statements'!C18</f>
        <v>108949</v>
      </c>
      <c r="E20" s="31">
        <f>'Financial Statements'!D18</f>
        <v>66288</v>
      </c>
    </row>
    <row r="21" spans="1:7" x14ac:dyDescent="0.25">
      <c r="A21" s="18"/>
      <c r="B21" s="32" t="s">
        <v>114</v>
      </c>
      <c r="C21" s="24">
        <f>C20/'Financial Statements'!B8</f>
        <v>0.30288744395528594</v>
      </c>
      <c r="D21" s="24">
        <f>D20/'Financial Statements'!C8</f>
        <v>0.29782377527561593</v>
      </c>
      <c r="E21" s="24">
        <f>E20/'Financial Statements'!D8</f>
        <v>0.24147314354406862</v>
      </c>
    </row>
    <row r="22" spans="1:7" x14ac:dyDescent="0.25">
      <c r="A22" s="18">
        <f>+A20+0.1</f>
        <v>2.4000000000000004</v>
      </c>
      <c r="B22" s="33" t="s">
        <v>115</v>
      </c>
      <c r="C22" s="24">
        <f>('Financial Statements'!B22/'Financial Statements'!B8)*100</f>
        <v>25.309640705199733</v>
      </c>
      <c r="D22" s="24">
        <f>('Financial Statements'!C22/'Financial Statements'!C8)*100</f>
        <v>25.881793355694239</v>
      </c>
      <c r="E22" s="24">
        <f>('Financial Statements'!D22/'Financial Statements'!D8)*100</f>
        <v>20.913611278072235</v>
      </c>
    </row>
    <row r="23" spans="1:7" x14ac:dyDescent="0.25">
      <c r="A23" s="18"/>
      <c r="B23" s="34"/>
    </row>
    <row r="24" spans="1:7" x14ac:dyDescent="0.25">
      <c r="A24" s="18">
        <f>+A16+1</f>
        <v>3</v>
      </c>
      <c r="B24" s="35" t="s">
        <v>116</v>
      </c>
    </row>
    <row r="25" spans="1:7" x14ac:dyDescent="0.25">
      <c r="A25" s="18">
        <f t="shared" ref="A25:A30" si="2">+A24+0.1</f>
        <v>3.1</v>
      </c>
      <c r="B25" s="33" t="s">
        <v>117</v>
      </c>
      <c r="C25" s="24">
        <f>'Financial Statements'!B62/'Financial Statements'!B68</f>
        <v>5.9615369434796337</v>
      </c>
      <c r="D25" s="24">
        <f>'Financial Statements'!C62/'Financial Statements'!C68</f>
        <v>4.5635124425423994</v>
      </c>
      <c r="E25" s="24">
        <f>'Financial Statements'!D62/'Financial Statements'!D68</f>
        <v>3.9570394404566951</v>
      </c>
    </row>
    <row r="26" spans="1:7" x14ac:dyDescent="0.25">
      <c r="A26" s="18">
        <f t="shared" si="2"/>
        <v>3.2</v>
      </c>
      <c r="B26" s="33" t="s">
        <v>118</v>
      </c>
      <c r="C26" s="24">
        <f>'Financial Statements'!B62/'Financial Statements'!B48</f>
        <v>0.85635355983614692</v>
      </c>
      <c r="D26" s="24">
        <f>'Financial Statements'!C62/'Financial Statements'!C48</f>
        <v>0.82025743443057308</v>
      </c>
      <c r="E26" s="24">
        <f>'Financial Statements'!D62/'Financial Statements'!D48</f>
        <v>0.79826668477992391</v>
      </c>
    </row>
    <row r="27" spans="1:7" x14ac:dyDescent="0.25">
      <c r="A27" s="18">
        <f t="shared" si="2"/>
        <v>3.3000000000000003</v>
      </c>
      <c r="B27" s="33" t="s">
        <v>119</v>
      </c>
      <c r="C27" s="24">
        <f>'Financial Statements'!B61/'Financial Statements'!B68</f>
        <v>2.9227383959583202</v>
      </c>
      <c r="D27" s="24">
        <f>'Financial Statements'!C61/'Financial Statements'!C68</f>
        <v>2.5745918529085432</v>
      </c>
      <c r="E27" s="24">
        <f>'Financial Statements'!D61/'Financial Statements'!D68</f>
        <v>2.3440364866312615</v>
      </c>
    </row>
    <row r="28" spans="1:7" x14ac:dyDescent="0.25">
      <c r="A28" s="18">
        <f t="shared" si="2"/>
        <v>3.4000000000000004</v>
      </c>
      <c r="B28" s="33" t="s">
        <v>120</v>
      </c>
      <c r="C28" s="24">
        <f>C19/'Financial Statements'!B114</f>
        <v>41.571727748691103</v>
      </c>
      <c r="D28" s="24">
        <f>D19/'Financial Statements'!C114</f>
        <v>40.642724227763303</v>
      </c>
      <c r="E28" s="24">
        <f>E19/'Financial Statements'!D114</f>
        <v>22.348767488341107</v>
      </c>
    </row>
    <row r="29" spans="1:7" x14ac:dyDescent="0.25">
      <c r="A29" s="18">
        <f t="shared" si="2"/>
        <v>3.5000000000000004</v>
      </c>
      <c r="B29" s="33" t="s">
        <v>121</v>
      </c>
      <c r="C29" s="24">
        <f>'Financial Statements'!B20/'Financial Statements'!B62</f>
        <v>0.3942724350592387</v>
      </c>
      <c r="D29" s="24">
        <f>'Financial Statements'!C20/'Financial Statements'!C62</f>
        <v>0.37930687154408294</v>
      </c>
      <c r="E29" s="24">
        <f>'Financial Statements'!D20/'Financial Statements'!D62</f>
        <v>0.25949046408997906</v>
      </c>
    </row>
    <row r="30" spans="1:7" x14ac:dyDescent="0.25">
      <c r="A30" s="18">
        <f t="shared" si="2"/>
        <v>3.6000000000000005</v>
      </c>
      <c r="B30" s="1" t="s">
        <v>122</v>
      </c>
      <c r="C30" s="24">
        <f>C31/Instructions!C34</f>
        <v>7.2812820305522405E-3</v>
      </c>
      <c r="D30" s="24">
        <f>D31/Instructions!D34</f>
        <v>6.9264784143387402E-3</v>
      </c>
      <c r="E30" s="24">
        <f>E31/Instructions!E34</f>
        <v>4.8487449861310886E-3</v>
      </c>
    </row>
    <row r="31" spans="1:7" x14ac:dyDescent="0.25">
      <c r="A31" s="18"/>
      <c r="B31" s="3" t="s">
        <v>123</v>
      </c>
      <c r="C31" s="31">
        <f>'Financial Statements'!B91+'Financial Statements'!B104+'Financial Statements'!B105</f>
        <v>118073</v>
      </c>
      <c r="D31" s="31">
        <f>'Financial Statements'!C91+'Financial Statements'!C104+'Financial Statements'!C105</f>
        <v>115681</v>
      </c>
      <c r="E31" s="31">
        <f>'Financial Statements'!D91+'Financial Statements'!D104+'Financial Statements'!D105</f>
        <v>84136</v>
      </c>
    </row>
    <row r="32" spans="1:7" x14ac:dyDescent="0.25">
      <c r="A32" s="18"/>
    </row>
    <row r="33" spans="1:7" x14ac:dyDescent="0.25">
      <c r="A33" s="18">
        <f>+A24+1</f>
        <v>4</v>
      </c>
      <c r="B33" s="17" t="s">
        <v>124</v>
      </c>
    </row>
    <row r="34" spans="1:7" x14ac:dyDescent="0.25">
      <c r="A34" s="18">
        <f>+A33+0.1</f>
        <v>4.0999999999999996</v>
      </c>
      <c r="B34" s="1" t="s">
        <v>170</v>
      </c>
      <c r="C34" s="24">
        <f>('Financial Statements'!B8/'Financial Statements'!B48)</f>
        <v>1.1178523337727317</v>
      </c>
      <c r="D34" s="24">
        <f>('Financial Statements'!C8/'Financial Statements'!C48)</f>
        <v>1.0422077367080529</v>
      </c>
      <c r="E34" s="24">
        <f>('Financial Statements'!D8/'Financial Statements'!D48)</f>
        <v>0.84756150274168851</v>
      </c>
    </row>
    <row r="35" spans="1:7" x14ac:dyDescent="0.25">
      <c r="A35" s="18">
        <f>+A34+0.1</f>
        <v>4.1999999999999993</v>
      </c>
      <c r="B35" s="1" t="s">
        <v>171</v>
      </c>
      <c r="C35" s="24">
        <f>('Financial Statements'!B8/'Financial Statements'!B45)</f>
        <v>9.3626801529073767</v>
      </c>
      <c r="D35" s="24">
        <f>('Financial Statements'!C8/'Financial Statements'!C45)</f>
        <v>9.2752789046653152</v>
      </c>
      <c r="E35" s="24">
        <f>('Financial Statements'!D8/'Financial Statements'!D45)</f>
        <v>7.4665451776097482</v>
      </c>
    </row>
    <row r="36" spans="1:7" x14ac:dyDescent="0.25">
      <c r="A36" s="18">
        <f>+A35+0.1</f>
        <v>4.2999999999999989</v>
      </c>
      <c r="B36" s="1" t="s">
        <v>172</v>
      </c>
      <c r="C36" s="24">
        <f>('Financial Statements'!B12/'Financial Statements'!H39)</f>
        <v>38.789866389033492</v>
      </c>
      <c r="D36" s="24">
        <f>('Financial Statements'!C12/'Financial Statements'!I39)</f>
        <v>40.030260313880277</v>
      </c>
      <c r="E36" s="24">
        <f>('Financial Statements'!D12/'Financial Statements'!J39)</f>
        <v>37.650494060175419</v>
      </c>
      <c r="G36" t="s">
        <v>169</v>
      </c>
    </row>
    <row r="37" spans="1:7" x14ac:dyDescent="0.25">
      <c r="A37" s="18">
        <f>+A36+0.1</f>
        <v>4.3999999999999986</v>
      </c>
      <c r="B37" s="1" t="s">
        <v>125</v>
      </c>
      <c r="C37" s="24">
        <f>('Financial Statements'!B22/'Financial Statements'!B48)*100</f>
        <v>28.292440929256852</v>
      </c>
      <c r="D37" s="24">
        <f>('Financial Statements'!C22/'Financial Statements'!C48)*100</f>
        <v>26.974205275183614</v>
      </c>
      <c r="E37" s="24">
        <f>('Financial Statements'!D22/'Financial Statements'!D48)*100</f>
        <v>17.725571802598431</v>
      </c>
    </row>
    <row r="38" spans="1:7" x14ac:dyDescent="0.25">
      <c r="A38" s="18"/>
    </row>
    <row r="39" spans="1:7" x14ac:dyDescent="0.25">
      <c r="A39" s="18">
        <f>+A33+1</f>
        <v>5</v>
      </c>
      <c r="B39" s="17" t="s">
        <v>126</v>
      </c>
    </row>
    <row r="40" spans="1:7" x14ac:dyDescent="0.25">
      <c r="A40" s="18">
        <f>+A39+0.1</f>
        <v>5.0999999999999996</v>
      </c>
      <c r="B40" s="1" t="s">
        <v>127</v>
      </c>
      <c r="C40" s="25">
        <f>Instructions!C33/'Financial Statements'!B68</f>
        <v>2.7273444900536782E-3</v>
      </c>
      <c r="D40" s="25">
        <f>Instructions!D33/'Financial Statements'!C68</f>
        <v>2.2428277064511018E-3</v>
      </c>
      <c r="E40" s="25">
        <f>Instructions!E33/'Financial Statements'!D68</f>
        <v>1.7321966972252407E-3</v>
      </c>
    </row>
    <row r="41" spans="1:7" x14ac:dyDescent="0.25">
      <c r="A41" s="18">
        <f>+A40+0.1</f>
        <v>5.1999999999999993</v>
      </c>
      <c r="B41" s="3" t="s">
        <v>128</v>
      </c>
      <c r="C41" s="24">
        <f>'Financial Statements'!B22/'Financial Statements'!B27</f>
        <v>6.1546144376377772</v>
      </c>
      <c r="D41" s="24">
        <f>'Financial Statements'!C22/'Financial Statements'!C27</f>
        <v>5.6690292811230183</v>
      </c>
      <c r="E41" s="24">
        <f>'Financial Statements'!D22/'Financial Statements'!D27</f>
        <v>3.3085872682177895</v>
      </c>
    </row>
    <row r="42" spans="1:7" x14ac:dyDescent="0.25">
      <c r="A42" s="18">
        <f>+A41+0.1</f>
        <v>5.2999999999999989</v>
      </c>
      <c r="B42" s="1" t="s">
        <v>129</v>
      </c>
      <c r="C42" s="24">
        <f>Instructions!C33/'List of Ratios'!C43</f>
        <v>44.226517338964314</v>
      </c>
      <c r="D42" s="24">
        <f>Instructions!D33/'List of Ratios'!D43</f>
        <v>37.458075574576007</v>
      </c>
      <c r="E42" s="24">
        <f>Instructions!E33/'List of Ratios'!E43</f>
        <v>30.057283221659343</v>
      </c>
    </row>
    <row r="43" spans="1:7" x14ac:dyDescent="0.25">
      <c r="A43" s="18">
        <f>+A42+0.1</f>
        <v>5.3999999999999986</v>
      </c>
      <c r="B43" s="3" t="s">
        <v>130</v>
      </c>
      <c r="C43" s="24">
        <f>'Financial Statements'!B68/'Financial Statements'!B27</f>
        <v>3.1248221274308534</v>
      </c>
      <c r="D43" s="24">
        <f>'Financial Statements'!C68/'Financial Statements'!C27</f>
        <v>3.7775565837141025</v>
      </c>
      <c r="E43" s="24">
        <f>'Financial Statements'!D68/'Financial Statements'!D27</f>
        <v>3.7654767120949324</v>
      </c>
    </row>
    <row r="44" spans="1:7" x14ac:dyDescent="0.25">
      <c r="A44" s="18">
        <f>+A43+0.1</f>
        <v>5.4999999999999982</v>
      </c>
      <c r="B44" s="1" t="s">
        <v>131</v>
      </c>
      <c r="C44" s="24">
        <f>C45/C41</f>
        <v>0.11048620622626575</v>
      </c>
      <c r="D44" s="24">
        <f t="shared" ref="D44:E44" si="3">D45/D41</f>
        <v>0.1525834419095902</v>
      </c>
      <c r="E44" s="24">
        <f t="shared" si="3"/>
        <v>0.7903675460277646</v>
      </c>
    </row>
    <row r="45" spans="1:7" x14ac:dyDescent="0.25">
      <c r="A45" s="18"/>
      <c r="B45" s="3" t="s">
        <v>132</v>
      </c>
      <c r="C45">
        <f>Instructions!C42</f>
        <v>0.68</v>
      </c>
      <c r="D45">
        <f>Instructions!C48</f>
        <v>0.86499999999999999</v>
      </c>
      <c r="E45">
        <f>Instructions!C55</f>
        <v>2.6149999999999998</v>
      </c>
    </row>
    <row r="46" spans="1:7" x14ac:dyDescent="0.25">
      <c r="A46" s="18">
        <f>+A44+0.1</f>
        <v>5.5999999999999979</v>
      </c>
      <c r="B46" s="1" t="s">
        <v>133</v>
      </c>
      <c r="C46" s="24">
        <f>(C45/Instructions!C33)*100</f>
        <v>0.49204052098408113</v>
      </c>
      <c r="D46" s="24">
        <f>(D45/Instructions!D33)*100</f>
        <v>0.61130742049469966</v>
      </c>
      <c r="E46" s="24">
        <f>(E45/Instructions!E33)*100</f>
        <v>2.3104788831949103</v>
      </c>
    </row>
    <row r="47" spans="1:7" x14ac:dyDescent="0.25">
      <c r="A47" s="18">
        <f>+A45+0.1</f>
        <v>0.1</v>
      </c>
      <c r="B47" s="1" t="s">
        <v>134</v>
      </c>
      <c r="C47" s="24">
        <f>('Financial Statements'!B22/'Financial Statements'!B68)*100</f>
        <v>196.95887275023682</v>
      </c>
      <c r="D47" s="24">
        <f>('Financial Statements'!C22/'Financial Statements'!C68)*100</f>
        <v>150.07132667617688</v>
      </c>
      <c r="E47" s="24">
        <f>('Financial Statements'!D22/'Financial Statements'!D68)*100</f>
        <v>87.866358530127485</v>
      </c>
    </row>
    <row r="48" spans="1:7" x14ac:dyDescent="0.25">
      <c r="A48" s="18">
        <f>+A46+0.1</f>
        <v>5.6999999999999975</v>
      </c>
      <c r="B48" s="1" t="s">
        <v>135</v>
      </c>
      <c r="C48" s="24">
        <f>('Financial Statements'!B20/'Financial Statements'!B63)*100</f>
        <v>59.9191037012069</v>
      </c>
      <c r="D48" s="24">
        <f>('Financial Statements'!C20/'Financial Statements'!C63)*100</f>
        <v>48.424315252238145</v>
      </c>
      <c r="E48" s="24">
        <f>('Financial Statements'!D20/'Financial Statements'!D63)*100</f>
        <v>30.705825278265962</v>
      </c>
    </row>
    <row r="49" spans="1:5" x14ac:dyDescent="0.25">
      <c r="A49" s="18">
        <f>+A47+0.1</f>
        <v>0.2</v>
      </c>
      <c r="B49" s="1" t="s">
        <v>125</v>
      </c>
      <c r="C49" s="24">
        <f>('Financial Statements'!B22/'Financial Statements'!B48)*100</f>
        <v>28.292440929256852</v>
      </c>
      <c r="D49" s="24">
        <f>('Financial Statements'!C22/'Financial Statements'!C48)*100</f>
        <v>26.974205275183614</v>
      </c>
      <c r="E49" s="24">
        <f>('Financial Statements'!D22/'Financial Statements'!D48)*100</f>
        <v>17.725571802598431</v>
      </c>
    </row>
    <row r="50" spans="1:5" x14ac:dyDescent="0.25">
      <c r="A50" s="18">
        <f>+A48+0.1</f>
        <v>5.7999999999999972</v>
      </c>
      <c r="B50" s="1" t="s">
        <v>136</v>
      </c>
      <c r="C50" s="27">
        <f>C51/'Financial Statements'!B18</f>
        <v>0.72381559047994259</v>
      </c>
      <c r="D50" s="27">
        <f>D51/'Financial Statements'!C18</f>
        <v>0.76905960843059284</v>
      </c>
      <c r="E50" s="27">
        <f>E51/'Financial Statements'!D18</f>
        <v>1.0474213514539223</v>
      </c>
    </row>
    <row r="51" spans="1:5" x14ac:dyDescent="0.25">
      <c r="A51" s="18"/>
      <c r="B51" s="3" t="s">
        <v>137</v>
      </c>
      <c r="C51" s="31">
        <f>'List of Ratios'!C35+'Financial Statements'!B55+'Financial Statements'!B59-'Financial Statements'!B36</f>
        <v>86450.362680152903</v>
      </c>
      <c r="D51" s="31">
        <f>'List of Ratios'!D35+'Financial Statements'!C55+'Financial Statements'!C59-'Financial Statements'!C36</f>
        <v>83788.275278904664</v>
      </c>
      <c r="E51" s="31">
        <f>'List of Ratios'!E35+'Financial Statements'!D55+'Financial Statements'!D59-'Financial Statements'!D36</f>
        <v>69431.466545177609</v>
      </c>
    </row>
  </sheetData>
  <mergeCells count="1">
    <mergeCell ref="C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B10" sqref="B10"/>
    </sheetView>
  </sheetViews>
  <sheetFormatPr defaultRowHeight="15" x14ac:dyDescent="0.25"/>
  <cols>
    <col min="1" max="1" width="66.42578125" customWidth="1"/>
  </cols>
  <sheetData>
    <row r="1" spans="1:4" x14ac:dyDescent="0.25">
      <c r="A1" s="17" t="s">
        <v>92</v>
      </c>
      <c r="B1" s="7">
        <v>2022</v>
      </c>
      <c r="C1" s="7">
        <v>2021</v>
      </c>
      <c r="D1" s="7">
        <v>2020</v>
      </c>
    </row>
    <row r="2" spans="1:4" x14ac:dyDescent="0.25">
      <c r="A2" s="1" t="s">
        <v>143</v>
      </c>
      <c r="B2" s="18">
        <f>('Financial Statements'!B12/'Financial Statements'!B8)*100</f>
        <v>56.690369438639912</v>
      </c>
      <c r="C2" s="18">
        <f>('Financial Statements'!C12/'Financial Statements'!C8)*100</f>
        <v>58.220640374832222</v>
      </c>
      <c r="D2" s="18">
        <f>('Financial Statements'!D12/'Financial Statements'!D8)*100</f>
        <v>61.76675227218913</v>
      </c>
    </row>
    <row r="3" spans="1:4" x14ac:dyDescent="0.25">
      <c r="A3" s="1" t="s">
        <v>89</v>
      </c>
      <c r="B3" s="18">
        <f>('Financial Statements'!B13/'Financial Statements'!B8)*100</f>
        <v>43.309630561360088</v>
      </c>
      <c r="C3" s="18">
        <f>('Financial Statements'!C13/'Financial Statements'!C8)*100</f>
        <v>41.779359625167778</v>
      </c>
      <c r="D3" s="18">
        <f>('Financial Statements'!D13/'Financial Statements'!D8)*100</f>
        <v>38.233247727810863</v>
      </c>
    </row>
    <row r="4" spans="1:4" x14ac:dyDescent="0.25">
      <c r="A4" s="1" t="s">
        <v>90</v>
      </c>
      <c r="B4" s="18">
        <f>('Financial Statements'!B17/'Financial Statements'!B8)*100</f>
        <v>13.020886165831492</v>
      </c>
      <c r="C4" s="18">
        <f>('Financial Statements'!C17/'Financial Statements'!C8)*100</f>
        <v>11.99698209760618</v>
      </c>
      <c r="D4" s="18">
        <f>('Financial Statements'!D17/'Financial Statements'!D8)*100</f>
        <v>14.085933373404004</v>
      </c>
    </row>
    <row r="5" spans="1:4" x14ac:dyDescent="0.25">
      <c r="A5" s="1" t="s">
        <v>14</v>
      </c>
      <c r="B5" s="18">
        <f>('Financial Statements'!B18/'Financial Statements'!B8)*100</f>
        <v>30.288744395528592</v>
      </c>
      <c r="C5" s="18">
        <f>('Financial Statements'!C18/'Financial Statements'!C8)*100</f>
        <v>29.782377527561593</v>
      </c>
      <c r="D5" s="18">
        <f>('Financial Statements'!D18/'Financial Statements'!D8)*100</f>
        <v>24.147314354406863</v>
      </c>
    </row>
    <row r="6" spans="1:4" x14ac:dyDescent="0.25">
      <c r="A6" s="1" t="s">
        <v>93</v>
      </c>
      <c r="B6" s="18">
        <f>('Financial Statements'!B22/'Financial Statements'!B8)*100</f>
        <v>25.309640705199733</v>
      </c>
      <c r="C6" s="18">
        <f>('Financial Statements'!C22/'Financial Statements'!C8)*100</f>
        <v>25.881793355694239</v>
      </c>
      <c r="D6" s="18">
        <f>('Financial Statements'!D22/'Financial Statements'!D8)*100</f>
        <v>20.913611278072235</v>
      </c>
    </row>
    <row r="7" spans="1:4" x14ac:dyDescent="0.25">
      <c r="A7" s="1"/>
      <c r="B7" s="18"/>
      <c r="C7" s="18"/>
      <c r="D7" s="18"/>
    </row>
    <row r="8" spans="1:4" x14ac:dyDescent="0.25">
      <c r="A8" s="17" t="s">
        <v>98</v>
      </c>
      <c r="B8" s="18"/>
      <c r="C8" s="18"/>
      <c r="D8" s="18"/>
    </row>
    <row r="9" spans="1:4" x14ac:dyDescent="0.25">
      <c r="A9" s="1" t="s">
        <v>94</v>
      </c>
      <c r="B9" s="18">
        <f>('Financial Statements'!B21/'Financial Statements'!B20)*100</f>
        <v>16.204461684424405</v>
      </c>
      <c r="C9" s="18">
        <f>('Financial Statements'!C21/'Financial Statements'!C20)*100</f>
        <v>13.302260844085087</v>
      </c>
      <c r="D9" s="18">
        <f>('Financial Statements'!D21/'Financial Statements'!D20)*100</f>
        <v>14.428164731484102</v>
      </c>
    </row>
    <row r="10" spans="1:4" x14ac:dyDescent="0.25">
      <c r="A10" s="1" t="s">
        <v>95</v>
      </c>
      <c r="B10" s="18">
        <f>(-'Financial Statements'!B96/'Financial Statements'!B8)*100</f>
        <v>2.715505873283155</v>
      </c>
      <c r="C10" s="18">
        <f>(-'Financial Statements'!C96/'Financial Statements'!C8)*100</f>
        <v>3.0302036264033658</v>
      </c>
      <c r="D10" s="18">
        <f>(-'Financial Statements'!D96/'Financial Statements'!D8)*100</f>
        <v>2.6625138881299746</v>
      </c>
    </row>
    <row r="11" spans="1:4" x14ac:dyDescent="0.25">
      <c r="A11" s="1" t="s">
        <v>96</v>
      </c>
      <c r="B11" s="18">
        <f>(-'Financial Statements'!B96/'Financial Statements'!B45)*100</f>
        <v>25.424412944891611</v>
      </c>
      <c r="C11" s="18">
        <f>(-'Financial Statements'!C96/'Financial Statements'!C45)*100</f>
        <v>28.105983772819471</v>
      </c>
      <c r="D11" s="18">
        <f>(-'Financial Statements'!D96/'Financial Statements'!D45)*100</f>
        <v>19.879780231735843</v>
      </c>
    </row>
    <row r="12" spans="1:4" x14ac:dyDescent="0.25">
      <c r="A1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Financial Statements</vt:lpstr>
      <vt:lpstr>List of Ratios</vt:lpstr>
      <vt:lpstr>Margin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Adeboye Akinsola</cp:lastModifiedBy>
  <dcterms:created xsi:type="dcterms:W3CDTF">2020-05-18T16:32:37Z</dcterms:created>
  <dcterms:modified xsi:type="dcterms:W3CDTF">2024-10-29T11:13:34Z</dcterms:modified>
</cp:coreProperties>
</file>