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ebo\Desktop\Dissertation\DataTrained\"/>
    </mc:Choice>
  </mc:AlternateContent>
  <bookViews>
    <workbookView xWindow="0" yWindow="0" windowWidth="12495" windowHeight="8865" activeTab="4"/>
  </bookViews>
  <sheets>
    <sheet name="Instructions" sheetId="2" r:id="rId1"/>
    <sheet name="Financial Statements" sheetId="1" r:id="rId2"/>
    <sheet name="List of Ratios" sheetId="3" r:id="rId3"/>
    <sheet name="Margin" sheetId="4" r:id="rId4"/>
    <sheet name="Report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4" l="1"/>
  <c r="D29" i="4" s="1"/>
  <c r="E29" i="4" s="1"/>
  <c r="E33" i="4"/>
  <c r="D33" i="4"/>
  <c r="F29" i="4"/>
  <c r="B30" i="4"/>
  <c r="C30" i="4" s="1"/>
  <c r="B28" i="4"/>
  <c r="J39" i="1"/>
  <c r="C31" i="4" l="1"/>
  <c r="F30" i="4"/>
  <c r="D36" i="3"/>
  <c r="E36" i="3"/>
  <c r="C36" i="3"/>
  <c r="I39" i="1"/>
  <c r="H39" i="1"/>
  <c r="D35" i="3" l="1"/>
  <c r="E35" i="3"/>
  <c r="C35" i="3"/>
  <c r="D34" i="3"/>
  <c r="E34" i="3"/>
  <c r="C34" i="3"/>
  <c r="D31" i="3" l="1"/>
  <c r="E31" i="3"/>
  <c r="C31" i="3"/>
  <c r="C30" i="3" s="1"/>
  <c r="D30" i="3"/>
  <c r="E30" i="3"/>
  <c r="D46" i="3"/>
  <c r="E46" i="3"/>
  <c r="C46" i="3"/>
  <c r="D40" i="3"/>
  <c r="E40" i="3"/>
  <c r="C40" i="3"/>
  <c r="D51" i="3"/>
  <c r="D50" i="3" s="1"/>
  <c r="E51" i="3"/>
  <c r="E50" i="3" s="1"/>
  <c r="C51" i="3"/>
  <c r="C50" i="3" s="1"/>
  <c r="D35" i="2"/>
  <c r="E35" i="2"/>
  <c r="C35" i="2"/>
  <c r="E34" i="2"/>
  <c r="D34" i="2"/>
  <c r="C34" i="2"/>
  <c r="D48" i="3"/>
  <c r="E48" i="3"/>
  <c r="C48" i="3"/>
  <c r="B63" i="1"/>
  <c r="C63" i="1"/>
  <c r="D63" i="1"/>
  <c r="D49" i="3"/>
  <c r="E49" i="3"/>
  <c r="C49" i="3"/>
  <c r="C47" i="3"/>
  <c r="D47" i="3"/>
  <c r="E47" i="3"/>
  <c r="C55" i="2"/>
  <c r="E45" i="3" s="1"/>
  <c r="C48" i="2"/>
  <c r="D45" i="3" s="1"/>
  <c r="C42" i="2"/>
  <c r="C45" i="3" s="1"/>
  <c r="D43" i="3"/>
  <c r="D42" i="3" s="1"/>
  <c r="E43" i="3"/>
  <c r="E42" i="3" s="1"/>
  <c r="C43" i="3"/>
  <c r="C42" i="3" s="1"/>
  <c r="D41" i="3"/>
  <c r="E41" i="3"/>
  <c r="D27" i="1"/>
  <c r="C27" i="1"/>
  <c r="B27" i="1"/>
  <c r="C41" i="3"/>
  <c r="C44" i="3" s="1"/>
  <c r="C11" i="4"/>
  <c r="D11" i="4"/>
  <c r="B11" i="4"/>
  <c r="C10" i="4"/>
  <c r="D10" i="4"/>
  <c r="B10" i="4"/>
  <c r="B9" i="4"/>
  <c r="C9" i="4"/>
  <c r="D9" i="4"/>
  <c r="C6" i="4"/>
  <c r="D6" i="4"/>
  <c r="B6" i="4"/>
  <c r="C5" i="4"/>
  <c r="D5" i="4"/>
  <c r="B5" i="4"/>
  <c r="C4" i="4"/>
  <c r="D4" i="4"/>
  <c r="B4" i="4"/>
  <c r="C3" i="4"/>
  <c r="D3" i="4"/>
  <c r="B3" i="4"/>
  <c r="C2" i="4"/>
  <c r="D2" i="4"/>
  <c r="B2" i="4"/>
  <c r="E69" i="1"/>
  <c r="E68" i="1"/>
  <c r="E62" i="1"/>
  <c r="E56" i="1"/>
  <c r="E47" i="1"/>
  <c r="E48" i="1"/>
  <c r="E42" i="1"/>
  <c r="E22" i="1"/>
  <c r="E13" i="1"/>
  <c r="E17" i="1"/>
  <c r="E12" i="1"/>
  <c r="E8" i="1"/>
  <c r="D44" i="3" l="1"/>
  <c r="E44" i="3"/>
  <c r="D29" i="3"/>
  <c r="E29" i="3"/>
  <c r="C29" i="3"/>
  <c r="E21" i="3"/>
  <c r="D20" i="3"/>
  <c r="D21" i="3" s="1"/>
  <c r="E20" i="3"/>
  <c r="C20" i="3"/>
  <c r="C21" i="3" s="1"/>
  <c r="D19" i="3"/>
  <c r="D28" i="3" s="1"/>
  <c r="E19" i="3"/>
  <c r="E28" i="3" s="1"/>
  <c r="C19" i="3"/>
  <c r="C28" i="3" s="1"/>
  <c r="D27" i="3"/>
  <c r="E27" i="3"/>
  <c r="C27" i="3"/>
  <c r="D26" i="3"/>
  <c r="E26" i="3"/>
  <c r="C26" i="3"/>
  <c r="D25" i="3"/>
  <c r="E25" i="3"/>
  <c r="C25" i="3"/>
  <c r="D37" i="3"/>
  <c r="E37" i="3"/>
  <c r="C37" i="3"/>
  <c r="D22" i="3"/>
  <c r="E22" i="3"/>
  <c r="C22" i="3"/>
  <c r="D17" i="3"/>
  <c r="E17" i="3"/>
  <c r="C17" i="3"/>
  <c r="C14" i="3"/>
  <c r="C13" i="3" s="1"/>
  <c r="D14" i="3"/>
  <c r="D13" i="3" s="1"/>
  <c r="E14" i="3"/>
  <c r="E13" i="3" s="1"/>
  <c r="C18" i="3" l="1"/>
  <c r="E18" i="3"/>
  <c r="D18" i="3"/>
  <c r="D11" i="3"/>
  <c r="E11" i="3"/>
  <c r="C11" i="3"/>
  <c r="D10" i="3"/>
  <c r="E10" i="3"/>
  <c r="C10" i="3"/>
  <c r="D9" i="3"/>
  <c r="E9" i="3"/>
  <c r="C9" i="3"/>
  <c r="D8" i="3"/>
  <c r="E8" i="3"/>
  <c r="D12" i="3" l="1"/>
  <c r="C12" i="3"/>
  <c r="E12" i="3"/>
  <c r="C8" i="3"/>
  <c r="D7" i="3"/>
  <c r="E7" i="3"/>
  <c r="C7" i="3"/>
  <c r="D6" i="3"/>
  <c r="E6" i="3"/>
  <c r="C6" i="3"/>
  <c r="D5" i="3"/>
  <c r="E5" i="3"/>
  <c r="C5" i="3"/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<sst xmlns="http://schemas.openxmlformats.org/spreadsheetml/2006/main" count="247" uniqueCount="213">
  <si>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</si>
  <si>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</si>
  <si>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</si>
  <si>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</si>
  <si>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</si>
  <si>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</si>
  <si>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</si>
  <si>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</si>
  <si>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</si>
  <si>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</si>
  <si>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</si>
  <si>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</si>
  <si>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</si>
  <si>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</si>
  <si>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</si>
  <si>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</si>
  <si>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</si>
  <si>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</si>
  <si>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</si>
  <si>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</si>
  <si>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</si>
  <si>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</si>
  <si>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</si>
  <si>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</si>
  <si>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</si>
  <si>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</si>
  <si>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</si>
  <si>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</si>
  <si>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</si>
  <si>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</si>
  <si>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</si>
  <si>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</si>
  <si>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</si>
  <si>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</si>
  <si>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</si>
  <si>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</si>
  <si>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</si>
  <si>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</si>
  <si>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</si>
  <si>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</si>
  <si>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</si>
  <si>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</si>
  <si>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</si>
  <si>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</si>
  <si>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</si>
  <si>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</si>
  <si>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</si>
  <si>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</si>
  <si>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</si>
  <si>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</si>
  <si>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</si>
  <si>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</si>
  <si>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</si>
  <si>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</si>
  <si>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</si>
  <si>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</si>
  <si>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</si>
  <si>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</si>
  <si>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</si>
  <si>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</si>
  <si>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</si>
  <si>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</si>
  <si>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</si>
  <si>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</si>
  <si>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</si>
  <si>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</si>
  <si>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</si>
  <si>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</si>
  <si>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</si>
  <si>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</si>
  <si>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</si>
  <si>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</si>
  <si>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</si>
  <si>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</si>
  <si>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</si>
  <si>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</si>
  <si>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</si>
  <si>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</si>
  <si>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</si>
  <si>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</si>
  <si>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</si>
  <si>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</si>
  <si>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</si>
  <si>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</si>
  <si>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</si>
  <si>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</si>
  <si>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</si>
  <si>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</si>
  <si>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</si>
  <si>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</si>
  <si>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</si>
  <si>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</si>
  <si>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</si>
  <si>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</si>
  <si>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</si>
  <si>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</si>
  <si>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</si>
  <si>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</si>
  <si>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</si>
  <si>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</si>
  <si>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</si>
  <si>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</si>
  <si>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</si>
  <si>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</si>
  <si>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</si>
  <si>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</si>
  <si>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</si>
  <si>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</si>
  <si>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</si>
  <si>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</si>
  <si>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</si>
  <si>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</si>
  <si>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</si>
  <si>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</si>
  <si>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</si>
  <si>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</si>
  <si>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</si>
  <si>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</si>
  <si>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</si>
  <si>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</si>
  <si>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</si>
  <si>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</si>
  <si>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</si>
  <si>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</si>
  <si>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</si>
  <si>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</si>
  <si>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</si>
  <si>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</si>
  <si>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</si>
  <si>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</si>
  <si>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</si>
  <si>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</si>
  <si>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</si>
  <si>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</si>
  <si>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</si>
  <si>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</si>
  <si>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</si>
  <si>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</si>
  <si>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</si>
  <si>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</si>
  <si>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</si>
  <si>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</si>
  <si>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</si>
  <si>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</si>
  <si>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</si>
  <si>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</si>
  <si>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</si>
  <si>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NET+R+D+A</t>
  </si>
  <si>
    <t>CAGR</t>
  </si>
  <si>
    <t>$233.85 as at 15/10/2024</t>
  </si>
  <si>
    <t>October 27, 2022</t>
  </si>
  <si>
    <t>July 28, 2022</t>
  </si>
  <si>
    <t>April 27, 2022</t>
  </si>
  <si>
    <t>January 27, 2022</t>
  </si>
  <si>
    <t>October 28, 2021</t>
  </si>
  <si>
    <t>July 27, 2021</t>
  </si>
  <si>
    <t>April 28, 2021</t>
  </si>
  <si>
    <t>January 27, 2021</t>
  </si>
  <si>
    <t>October 29, 2020</t>
  </si>
  <si>
    <t>July 30, 2020</t>
  </si>
  <si>
    <t>N/A</t>
  </si>
  <si>
    <t>April 30, 2020</t>
  </si>
  <si>
    <t>January 28, 2020</t>
  </si>
  <si>
    <t> 0.23</t>
  </si>
  <si>
    <t>Capital Employed</t>
  </si>
  <si>
    <t>MPS SEPT YEAR END</t>
  </si>
  <si>
    <t>Dividend History</t>
  </si>
  <si>
    <t>Shares</t>
  </si>
  <si>
    <t>Mkt Value</t>
  </si>
  <si>
    <t>cogs/av invento</t>
  </si>
  <si>
    <t>Total asset turnover (x)</t>
  </si>
  <si>
    <t>Fixed asset turnover(x)</t>
  </si>
  <si>
    <t>Inventory turnover (x)</t>
  </si>
  <si>
    <t>Av. Inventory</t>
  </si>
  <si>
    <t>Company Overview</t>
  </si>
  <si>
    <t>This report analyzes the financial health and performance of the company for the years ended September 2020, 2021, and 2022 based on various financial ratios.</t>
  </si>
  <si>
    <t>1. Liquidity Ratios</t>
  </si>
  <si>
    <t>These ratios measure the company’s ability to meet short-term obligations.</t>
  </si>
  <si>
    <t>2. Profitability Ratios</t>
  </si>
  <si>
    <t>These ratios assess the company’s ability to generate profits from its operations.</t>
  </si>
  <si>
    <t>3. Solvency/Debt Management Ratios</t>
  </si>
  <si>
    <t>These ratios provide insight into the company’s long-term financial stability and debt management.</t>
  </si>
  <si>
    <t>4. Asset Utilization Ratios</t>
  </si>
  <si>
    <t>These ratios evaluate how efficiently the company uses its assets.</t>
  </si>
  <si>
    <t>5. Investor/Market Ratios</t>
  </si>
  <si>
    <t>These ratios provide insights into shareholder returns and market valuation.</t>
  </si>
  <si>
    <t>Conclusion</t>
  </si>
  <si>
    <r>
      <rPr>
        <b/>
        <i/>
        <sz val="11"/>
        <color theme="1"/>
        <rFont val="Calibri"/>
        <family val="2"/>
        <scheme val="minor"/>
      </rPr>
      <t>Current Ratio</t>
    </r>
    <r>
      <rPr>
        <sz val="11"/>
        <color theme="1"/>
        <rFont val="Calibri"/>
        <family val="2"/>
        <scheme val="minor"/>
      </rPr>
      <t>:  The current ratio has declined from 1.36 in FY:2020 to 0.88 in FY:2022, indicating a potential decrease in liquidity and a reduced ability to cover short-term liabilities with current assets. We attribute this to the increase in current liabilities by 13.47% to $153.98bn in FY:2022 and a decrease in current assets by 1.97% to $135.41bn in FY:2022.</t>
    </r>
  </si>
  <si>
    <r>
      <rPr>
        <b/>
        <i/>
        <sz val="11"/>
        <color theme="1"/>
        <rFont val="Calibri"/>
        <family val="2"/>
        <scheme val="minor"/>
      </rPr>
      <t>Quick Ratio:</t>
    </r>
    <r>
      <rPr>
        <sz val="11"/>
        <color theme="1"/>
        <rFont val="Calibri"/>
        <family val="2"/>
        <scheme val="minor"/>
      </rPr>
      <t xml:space="preserve"> Similarly, the quick ratio dropped from 1.33 in 2020 to 0.85 in 2022, suggesting a decrease in liquid assets available to pay off current liabilities, potentially impacting financial flexibility.</t>
    </r>
  </si>
  <si>
    <r>
      <rPr>
        <b/>
        <i/>
        <sz val="11"/>
        <color theme="1"/>
        <rFont val="Calibri"/>
        <family val="2"/>
        <scheme val="minor"/>
      </rPr>
      <t xml:space="preserve">Cash Ratio: </t>
    </r>
    <r>
      <rPr>
        <sz val="11"/>
        <color theme="1"/>
        <rFont val="Calibri"/>
        <family val="2"/>
        <scheme val="minor"/>
      </rPr>
      <t>This ratio has also declined from 0.86 in 2020 to 0.31 in 2022, showing a reduced cash position, which may be concerning for creditors.</t>
    </r>
  </si>
  <si>
    <r>
      <rPr>
        <b/>
        <i/>
        <sz val="11"/>
        <color theme="1"/>
        <rFont val="Calibri"/>
        <family val="2"/>
        <scheme val="minor"/>
      </rPr>
      <t>Gross Margin</t>
    </r>
    <r>
      <rPr>
        <sz val="11"/>
        <color theme="1"/>
        <rFont val="Calibri"/>
        <family val="2"/>
        <scheme val="minor"/>
      </rPr>
      <t>: Gross margin has improved slightly from 0.38 in FY:020 to 0.43 in FY:2022, indicating better control over cost of sale relative to revenue.</t>
    </r>
  </si>
  <si>
    <r>
      <rPr>
        <b/>
        <i/>
        <sz val="11"/>
        <color theme="1"/>
        <rFont val="Calibri"/>
        <family val="2"/>
        <scheme val="minor"/>
      </rPr>
      <t>EBITDA Margin</t>
    </r>
    <r>
      <rPr>
        <sz val="11"/>
        <color theme="1"/>
        <rFont val="Calibri"/>
        <family val="2"/>
        <scheme val="minor"/>
      </rPr>
      <t>: The EBITDA margin has remained stable at 0.30 since year ended 2021, up from 0.24 in FY:2020, which reflects consistent operational efficiency.</t>
    </r>
  </si>
  <si>
    <r>
      <rPr>
        <b/>
        <i/>
        <sz val="11"/>
        <color theme="1"/>
        <rFont val="Calibri"/>
        <family val="2"/>
        <scheme val="minor"/>
      </rPr>
      <t xml:space="preserve">Net Margin: </t>
    </r>
    <r>
      <rPr>
        <sz val="11"/>
        <color theme="1"/>
        <rFont val="Calibri"/>
        <family val="2"/>
        <scheme val="minor"/>
      </rPr>
      <t>Net margin improved from 20.91% in FY:2020 to 25.31% in FY: 2022, showing that the company has been increasingly successful in converting revenue into profit.</t>
    </r>
  </si>
  <si>
    <r>
      <rPr>
        <b/>
        <i/>
        <sz val="11"/>
        <color theme="1"/>
        <rFont val="Calibri"/>
        <family val="2"/>
        <scheme val="minor"/>
      </rPr>
      <t>Defensive Interval</t>
    </r>
    <r>
      <rPr>
        <sz val="11"/>
        <color theme="1"/>
        <rFont val="Calibri"/>
        <family val="2"/>
        <scheme val="minor"/>
      </rPr>
      <t>: The interval has decreased, indicating that the company’s liquid assets can sustain operations for fewer days compared to previous years, which could reflect a tighter cash flow position.</t>
    </r>
  </si>
  <si>
    <r>
      <rPr>
        <b/>
        <i/>
        <sz val="11"/>
        <color theme="1"/>
        <rFont val="Calibri"/>
        <family val="2"/>
        <scheme val="minor"/>
      </rPr>
      <t>Debt to Equity (D/E)</t>
    </r>
    <r>
      <rPr>
        <sz val="11"/>
        <color theme="1"/>
        <rFont val="Calibri"/>
        <family val="2"/>
        <scheme val="minor"/>
      </rPr>
      <t>: The D/E ratio has increased to 5.96 in FY:2022 from 3.96 that was reported in FY:2020, suggesting a rising reliance on debt financing, which may increase financial risk.</t>
    </r>
  </si>
  <si>
    <r>
      <rPr>
        <b/>
        <i/>
        <sz val="11"/>
        <color theme="1"/>
        <rFont val="Calibri"/>
        <family val="2"/>
        <scheme val="minor"/>
      </rPr>
      <t>Debt to Total Assets:</t>
    </r>
    <r>
      <rPr>
        <sz val="11"/>
        <color theme="1"/>
        <rFont val="Calibri"/>
        <family val="2"/>
        <scheme val="minor"/>
      </rPr>
      <t xml:space="preserve"> This ratio has increased from 0.80 in FY:2020 to 0.86 in FY:2022, implying higher leverage and a significant portion of assets being financed by debt.</t>
    </r>
  </si>
  <si>
    <r>
      <rPr>
        <b/>
        <i/>
        <sz val="11"/>
        <color theme="1"/>
        <rFont val="Calibri"/>
        <family val="2"/>
        <scheme val="minor"/>
      </rPr>
      <t>Long-term Debt to Capital</t>
    </r>
    <r>
      <rPr>
        <sz val="11"/>
        <color theme="1"/>
        <rFont val="Calibri"/>
        <family val="2"/>
        <scheme val="minor"/>
      </rPr>
      <t>: The increase from 2.34 in FY:2020 to FY: 2.92 in 2022 shows an increased reliance on long-term debt.</t>
    </r>
  </si>
  <si>
    <r>
      <rPr>
        <b/>
        <i/>
        <sz val="11"/>
        <color theme="1"/>
        <rFont val="Calibri"/>
        <family val="2"/>
        <scheme val="minor"/>
      </rPr>
      <t>Times Interest Earned</t>
    </r>
    <r>
      <rPr>
        <sz val="11"/>
        <color theme="1"/>
        <rFont val="Calibri"/>
        <family val="2"/>
        <scheme val="minor"/>
      </rPr>
      <t>: This ratio improved from 22.35 in FY:2020 to 41.57 in FY:2022, indicating better ability to cover interest expenses, which reflects stronger profitability despite higher debt levels.</t>
    </r>
  </si>
  <si>
    <r>
      <rPr>
        <b/>
        <i/>
        <sz val="11"/>
        <color theme="1"/>
        <rFont val="Calibri"/>
        <family val="2"/>
        <scheme val="minor"/>
      </rPr>
      <t>Debt Coverage</t>
    </r>
    <r>
      <rPr>
        <sz val="11"/>
        <color theme="1"/>
        <rFont val="Calibri"/>
        <family val="2"/>
        <scheme val="minor"/>
      </rPr>
      <t>: The debt coverage ratio has improved slightly, showing the company’s increased ability to meet debt obligations with its cash flows.</t>
    </r>
  </si>
  <si>
    <r>
      <rPr>
        <b/>
        <i/>
        <sz val="11"/>
        <color theme="1"/>
        <rFont val="Calibri"/>
        <family val="2"/>
        <scheme val="minor"/>
      </rPr>
      <t>Total Asset Turnover</t>
    </r>
    <r>
      <rPr>
        <sz val="11"/>
        <color theme="1"/>
        <rFont val="Calibri"/>
        <family val="2"/>
        <scheme val="minor"/>
      </rPr>
      <t>: The ratio increased from 0.85 in 2020 to 1.12 in 2022, indicating improved efficiency in using assets to generate revenue.</t>
    </r>
  </si>
  <si>
    <r>
      <rPr>
        <b/>
        <i/>
        <sz val="11"/>
        <color theme="1"/>
        <rFont val="Calibri"/>
        <family val="2"/>
        <scheme val="minor"/>
      </rPr>
      <t xml:space="preserve">Fixed Asset Turnover: </t>
    </r>
    <r>
      <rPr>
        <sz val="11"/>
        <color theme="1"/>
        <rFont val="Calibri"/>
        <family val="2"/>
        <scheme val="minor"/>
      </rPr>
      <t>This has also risen significantly, showing that fixed assets are being used more effectively to produce sales.</t>
    </r>
  </si>
  <si>
    <r>
      <rPr>
        <b/>
        <i/>
        <sz val="11"/>
        <color theme="1"/>
        <rFont val="Calibri"/>
        <family val="2"/>
        <scheme val="minor"/>
      </rPr>
      <t>Inventory Turnover</t>
    </r>
    <r>
      <rPr>
        <sz val="11"/>
        <color theme="1"/>
        <rFont val="Calibri"/>
        <family val="2"/>
        <scheme val="minor"/>
      </rPr>
      <t>: Inventory turnover slightly decreased, which may suggest slower inventory movement, though it’s still relatively stable.</t>
    </r>
  </si>
  <si>
    <r>
      <rPr>
        <b/>
        <sz val="11"/>
        <color theme="1"/>
        <rFont val="Calibri"/>
        <family val="2"/>
        <scheme val="minor"/>
      </rPr>
      <t>Return on Assets (ROA)</t>
    </r>
    <r>
      <rPr>
        <sz val="11"/>
        <color theme="1"/>
        <rFont val="Calibri"/>
        <family val="2"/>
        <scheme val="minor"/>
      </rPr>
      <t>: ROA increased from 17.73% in FY:2020 to 28.29% in FY:2022, indicating a substantial improvement in the company’s ability to generate profits from its assets.</t>
    </r>
  </si>
  <si>
    <r>
      <rPr>
        <b/>
        <i/>
        <sz val="11"/>
        <color theme="1"/>
        <rFont val="Calibri"/>
        <family val="2"/>
        <scheme val="minor"/>
      </rPr>
      <t>Price to Equity (P/E):</t>
    </r>
    <r>
      <rPr>
        <sz val="11"/>
        <color theme="1"/>
        <rFont val="Calibri"/>
        <family val="2"/>
        <scheme val="minor"/>
      </rPr>
      <t xml:space="preserve"> The P/E ratio has remained very low, suggesting that the stock may be undervalued or that investors are cautious about growth prospects.</t>
    </r>
  </si>
  <si>
    <r>
      <rPr>
        <b/>
        <i/>
        <sz val="11"/>
        <color theme="1"/>
        <rFont val="Calibri"/>
        <family val="2"/>
        <scheme val="minor"/>
      </rPr>
      <t>Earnings per Share (EPS)</t>
    </r>
    <r>
      <rPr>
        <sz val="11"/>
        <color theme="1"/>
        <rFont val="Calibri"/>
        <family val="2"/>
        <scheme val="minor"/>
      </rPr>
      <t>: EPS has nearly doubled from 3.31 in FY:2020 to 6.15 in FY:2022, reflecting strong profitability and value for shareholders.</t>
    </r>
  </si>
  <si>
    <r>
      <rPr>
        <b/>
        <i/>
        <sz val="11"/>
        <color theme="1"/>
        <rFont val="Calibri"/>
        <family val="2"/>
        <scheme val="minor"/>
      </rPr>
      <t>Price to Book Value (PBV):</t>
    </r>
    <r>
      <rPr>
        <sz val="11"/>
        <color theme="1"/>
        <rFont val="Calibri"/>
        <family val="2"/>
        <scheme val="minor"/>
      </rPr>
      <t xml:space="preserve"> PBV has increased, indicating that the company’s market value relative to its book value has risen, which may reflect improved market confidence.</t>
    </r>
  </si>
  <si>
    <r>
      <rPr>
        <b/>
        <i/>
        <sz val="11"/>
        <color theme="1"/>
        <rFont val="Calibri"/>
        <family val="2"/>
        <scheme val="minor"/>
      </rPr>
      <t>Dividend Payout Ratio</t>
    </r>
    <r>
      <rPr>
        <sz val="11"/>
        <color theme="1"/>
        <rFont val="Calibri"/>
        <family val="2"/>
        <scheme val="minor"/>
      </rPr>
      <t>: The ratio has decreased, suggesting a more conservative approach in retaining earnings rather than distributing dividends.</t>
    </r>
  </si>
  <si>
    <r>
      <rPr>
        <b/>
        <i/>
        <sz val="11"/>
        <color theme="1"/>
        <rFont val="Calibri"/>
        <family val="2"/>
        <scheme val="minor"/>
      </rPr>
      <t>Return on Equity (ROE)</t>
    </r>
    <r>
      <rPr>
        <sz val="11"/>
        <color theme="1"/>
        <rFont val="Calibri"/>
        <family val="2"/>
        <scheme val="minor"/>
      </rPr>
      <t>: ROE has shown a remarkable increase, demonstrating high returns relative to shareholder equity, which could be attractive to investors.</t>
    </r>
  </si>
  <si>
    <r>
      <rPr>
        <b/>
        <i/>
        <sz val="11"/>
        <color theme="1"/>
        <rFont val="Calibri"/>
        <family val="2"/>
        <scheme val="minor"/>
      </rPr>
      <t>Enterprise Value to EBITDA (EV/EBITDA)</t>
    </r>
    <r>
      <rPr>
        <sz val="11"/>
        <color theme="1"/>
        <rFont val="Calibri"/>
        <family val="2"/>
        <scheme val="minor"/>
      </rPr>
      <t>: The decrease in this ratio suggests that the company may be more attractively valued compared to EBITDA, making it potentially appealing to investors.</t>
    </r>
  </si>
  <si>
    <t xml:space="preserve">Overall, the financial ratios show mixed trends. The company has improved its profitability, asset utilization, and interest coverage, which are positive indicators of operational efficiency and </t>
  </si>
  <si>
    <t xml:space="preserve"> profitability. However, the decreasing liquidity ratios and increased leverage signal potential concerns regarding financial flexibility and debt management.</t>
  </si>
  <si>
    <t xml:space="preserve">In conclusion, while the company's profitability and asset utilization are strong, it would be prudent to monitor liquidity and solvency closely. The rising debt levels and declining current and </t>
  </si>
  <si>
    <t>quick ratios may need strategic adjustments to ensure long-term financial health.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</si>
</sst>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167" fontId="0" fillId="0" borderId="0" xfId="0" applyNumberFormat="1"/>
    <xf numFmtId="10" fontId="0" fillId="0" borderId="0" xfId="3" applyNumberFormat="1" applyFont="1"/>
    <xf numFmtId="43" fontId="0" fillId="0" borderId="0" xfId="0" applyNumberFormat="1"/>
    <xf numFmtId="43" fontId="0" fillId="0" borderId="0" xfId="0" applyNumberFormat="1" applyAlignment="1">
      <alignment horizontal="left" indent="2"/>
    </xf>
    <xf numFmtId="0" fontId="0" fillId="0" borderId="0" xfId="0" applyAlignment="1">
      <alignment horizontal="right"/>
    </xf>
    <xf numFmtId="0" fontId="0" fillId="5" borderId="0" xfId="0" applyFill="1" applyAlignment="1">
      <alignment horizontal="left" indent="1"/>
    </xf>
    <xf numFmtId="164" fontId="0" fillId="0" borderId="0" xfId="1" applyFont="1"/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left" indent="1"/>
    </xf>
    <xf numFmtId="0" fontId="0" fillId="0" borderId="0" xfId="0" applyFill="1"/>
    <xf numFmtId="0" fontId="2" fillId="0" borderId="0" xfId="0" applyFont="1" applyFill="1"/>
    <xf numFmtId="2" fontId="0" fillId="0" borderId="0" xfId="0" applyNumberFormat="1" applyFill="1"/>
    <xf numFmtId="165" fontId="0" fillId="0" borderId="0" xfId="0" applyNumberFormat="1"/>
    <xf numFmtId="0" fontId="0" fillId="6" borderId="0" xfId="0" applyFill="1"/>
    <xf numFmtId="165" fontId="0" fillId="6" borderId="0" xfId="0" applyNumberFormat="1" applyFill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8" fillId="0" borderId="0" xfId="0" applyFont="1"/>
    <xf numFmtId="164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effectLst/>
              </a:rPr>
              <a:t>Liquidity</a:t>
            </a:r>
            <a:r>
              <a:rPr lang="en-GB" sz="1400" b="0" i="0" u="none" strike="noStrike" baseline="0"/>
              <a:t> </a:t>
            </a:r>
            <a:r>
              <a:rPr lang="en-GB" baseline="0"/>
              <a:t> 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 of Ratios'!$C$3:$C$4</c:f>
              <c:strCache>
                <c:ptCount val="2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'List of Ratios'!$B$5:$B$13</c:f>
              <c:strCache>
                <c:ptCount val="9"/>
                <c:pt idx="0">
                  <c:v>Current ratio</c:v>
                </c:pt>
                <c:pt idx="1">
                  <c:v>Quick Ratio</c:v>
                </c:pt>
                <c:pt idx="2">
                  <c:v>Cash Ratio</c:v>
                </c:pt>
                <c:pt idx="3">
                  <c:v>Defensive Interval</c:v>
                </c:pt>
                <c:pt idx="4">
                  <c:v>Inventory Days</c:v>
                </c:pt>
                <c:pt idx="5">
                  <c:v>Payable Days</c:v>
                </c:pt>
                <c:pt idx="6">
                  <c:v>Receivable Days</c:v>
                </c:pt>
                <c:pt idx="7">
                  <c:v>Net trading cycle</c:v>
                </c:pt>
                <c:pt idx="8">
                  <c:v>Working Capital as a % of Sales</c:v>
                </c:pt>
              </c:strCache>
            </c:strRef>
          </c:cat>
          <c:val>
            <c:numRef>
              <c:f>'List of Ratios'!$C$5:$C$13</c:f>
              <c:numCache>
                <c:formatCode>0.00</c:formatCode>
                <c:ptCount val="9"/>
                <c:pt idx="0">
                  <c:v>0.87935602862672257</c:v>
                </c:pt>
                <c:pt idx="1">
                  <c:v>0.84723539114961488</c:v>
                </c:pt>
                <c:pt idx="2">
                  <c:v>0.31369900377966253</c:v>
                </c:pt>
                <c:pt idx="3">
                  <c:v>962.56354075372474</c:v>
                </c:pt>
                <c:pt idx="4">
                  <c:v>8.0756980666171607</c:v>
                </c:pt>
                <c:pt idx="5">
                  <c:v>104.68527730310539</c:v>
                </c:pt>
                <c:pt idx="6">
                  <c:v>26.087825363656648</c:v>
                </c:pt>
                <c:pt idx="7">
                  <c:v>-70.521753872831582</c:v>
                </c:pt>
                <c:pt idx="8">
                  <c:v>-20.780923495161389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9-4913-B0F0-EFAEA9FDFF72}"/>
            </c:ext>
          </c:extLst>
        </c:ser>
        <c:ser>
          <c:idx val="1"/>
          <c:order val="1"/>
          <c:tx>
            <c:strRef>
              <c:f>'List of Ratios'!$D$3:$D$4</c:f>
              <c:strCache>
                <c:ptCount val="2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'List of Ratios'!$B$5:$B$13</c:f>
              <c:strCache>
                <c:ptCount val="9"/>
                <c:pt idx="0">
                  <c:v>Current ratio</c:v>
                </c:pt>
                <c:pt idx="1">
                  <c:v>Quick Ratio</c:v>
                </c:pt>
                <c:pt idx="2">
                  <c:v>Cash Ratio</c:v>
                </c:pt>
                <c:pt idx="3">
                  <c:v>Defensive Interval</c:v>
                </c:pt>
                <c:pt idx="4">
                  <c:v>Inventory Days</c:v>
                </c:pt>
                <c:pt idx="5">
                  <c:v>Payable Days</c:v>
                </c:pt>
                <c:pt idx="6">
                  <c:v>Receivable Days</c:v>
                </c:pt>
                <c:pt idx="7">
                  <c:v>Net trading cycle</c:v>
                </c:pt>
                <c:pt idx="8">
                  <c:v>Working Capital as a % of Sales</c:v>
                </c:pt>
              </c:strCache>
            </c:strRef>
          </c:cat>
          <c:val>
            <c:numRef>
              <c:f>'List of Ratios'!$D$5:$D$13</c:f>
              <c:numCache>
                <c:formatCode>0.00</c:formatCode>
                <c:ptCount val="9"/>
                <c:pt idx="0">
                  <c:v>1.0745531195957954</c:v>
                </c:pt>
                <c:pt idx="1">
                  <c:v>1.0221149018576519</c:v>
                </c:pt>
                <c:pt idx="2">
                  <c:v>0.49919111259872012</c:v>
                </c:pt>
                <c:pt idx="3">
                  <c:v>1121.4058832911796</c:v>
                </c:pt>
                <c:pt idx="4">
                  <c:v>11.27659274770989</c:v>
                </c:pt>
                <c:pt idx="5">
                  <c:v>93.851071222315596</c:v>
                </c:pt>
                <c:pt idx="6">
                  <c:v>26.219311841713207</c:v>
                </c:pt>
                <c:pt idx="7">
                  <c:v>-56.355166632892498</c:v>
                </c:pt>
                <c:pt idx="8">
                  <c:v>-22.232427689254465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99-4913-B0F0-EFAEA9FDFF72}"/>
            </c:ext>
          </c:extLst>
        </c:ser>
        <c:ser>
          <c:idx val="2"/>
          <c:order val="2"/>
          <c:tx>
            <c:strRef>
              <c:f>'List of Ratios'!$E$3:$E$4</c:f>
              <c:strCache>
                <c:ptCount val="2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'List of Ratios'!$B$5:$B$13</c:f>
              <c:strCache>
                <c:ptCount val="9"/>
                <c:pt idx="0">
                  <c:v>Current ratio</c:v>
                </c:pt>
                <c:pt idx="1">
                  <c:v>Quick Ratio</c:v>
                </c:pt>
                <c:pt idx="2">
                  <c:v>Cash Ratio</c:v>
                </c:pt>
                <c:pt idx="3">
                  <c:v>Defensive Interval</c:v>
                </c:pt>
                <c:pt idx="4">
                  <c:v>Inventory Days</c:v>
                </c:pt>
                <c:pt idx="5">
                  <c:v>Payable Days</c:v>
                </c:pt>
                <c:pt idx="6">
                  <c:v>Receivable Days</c:v>
                </c:pt>
                <c:pt idx="7">
                  <c:v>Net trading cycle</c:v>
                </c:pt>
                <c:pt idx="8">
                  <c:v>Working Capital as a % of Sales</c:v>
                </c:pt>
              </c:strCache>
            </c:strRef>
          </c:cat>
          <c:val>
            <c:numRef>
              <c:f>'List of Ratios'!$E$5:$E$13</c:f>
              <c:numCache>
                <c:formatCode>0.00</c:formatCode>
                <c:ptCount val="9"/>
                <c:pt idx="0">
                  <c:v>1.3636044481554577</c:v>
                </c:pt>
                <c:pt idx="1">
                  <c:v>1.325072111735236</c:v>
                </c:pt>
                <c:pt idx="2">
                  <c:v>0.86290230757552755</c:v>
                </c:pt>
                <c:pt idx="3">
                  <c:v>1356.5543860556534</c:v>
                </c:pt>
                <c:pt idx="4">
                  <c:v>8.7418833562358831</c:v>
                </c:pt>
                <c:pt idx="5">
                  <c:v>91.048189715674198</c:v>
                </c:pt>
                <c:pt idx="6">
                  <c:v>21.433437152796749</c:v>
                </c:pt>
                <c:pt idx="7">
                  <c:v>-60.872869206641568</c:v>
                </c:pt>
                <c:pt idx="8">
                  <c:v>-13.282334298672204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99-4913-B0F0-EFAEA9FDF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509615"/>
        <c:axId val="397524175"/>
      </c:barChart>
      <c:catAx>
        <c:axId val="39750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524175"/>
        <c:crosses val="autoZero"/>
        <c:auto val="1"/>
        <c:lblAlgn val="ctr"/>
        <c:lblOffset val="100"/>
        <c:noMultiLvlLbl val="0"/>
      </c:catAx>
      <c:valAx>
        <c:axId val="39752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509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effectLst/>
              </a:rPr>
              <a:t>Asset utilization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'List of Ratios'!$B$34:$B$37</c:f>
              <c:strCache>
                <c:ptCount val="4"/>
                <c:pt idx="0">
                  <c:v>Total asset turnover (x)</c:v>
                </c:pt>
                <c:pt idx="1">
                  <c:v>Fixed asset turnover(x)</c:v>
                </c:pt>
                <c:pt idx="2">
                  <c:v>Inventory turnover (x)</c:v>
                </c:pt>
                <c:pt idx="3">
                  <c:v>Return on assets (ROA)</c:v>
                </c:pt>
              </c:strCache>
            </c:strRef>
          </c:cat>
          <c:val>
            <c:numRef>
              <c:f>'List of Ratios'!$C$34:$C$37</c:f>
              <c:numCache>
                <c:formatCode>0.00</c:formatCode>
                <c:ptCount val="4"/>
                <c:pt idx="0">
                  <c:v>1.1178523337727317</c:v>
                </c:pt>
                <c:pt idx="1">
                  <c:v>9.3626801529073767</c:v>
                </c:pt>
                <c:pt idx="2">
                  <c:v>38.789866389033492</c:v>
                </c:pt>
                <c:pt idx="3">
                  <c:v>28.292440929256852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E-43F3-A260-097FB215A480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'List of Ratios'!$B$34:$B$37</c:f>
              <c:strCache>
                <c:ptCount val="4"/>
                <c:pt idx="0">
                  <c:v>Total asset turnover (x)</c:v>
                </c:pt>
                <c:pt idx="1">
                  <c:v>Fixed asset turnover(x)</c:v>
                </c:pt>
                <c:pt idx="2">
                  <c:v>Inventory turnover (x)</c:v>
                </c:pt>
                <c:pt idx="3">
                  <c:v>Return on assets (ROA)</c:v>
                </c:pt>
              </c:strCache>
            </c:strRef>
          </c:cat>
          <c:val>
            <c:numRef>
              <c:f>'List of Ratios'!$D$34:$D$37</c:f>
              <c:numCache>
                <c:formatCode>0.00</c:formatCode>
                <c:ptCount val="4"/>
                <c:pt idx="0">
                  <c:v>1.0422077367080529</c:v>
                </c:pt>
                <c:pt idx="1">
                  <c:v>9.2752789046653152</c:v>
                </c:pt>
                <c:pt idx="2">
                  <c:v>40.030260313880277</c:v>
                </c:pt>
                <c:pt idx="3">
                  <c:v>26.974205275183614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E-43F3-A260-097FB215A480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'List of Ratios'!$B$34:$B$37</c:f>
              <c:strCache>
                <c:ptCount val="4"/>
                <c:pt idx="0">
                  <c:v>Total asset turnover (x)</c:v>
                </c:pt>
                <c:pt idx="1">
                  <c:v>Fixed asset turnover(x)</c:v>
                </c:pt>
                <c:pt idx="2">
                  <c:v>Inventory turnover (x)</c:v>
                </c:pt>
                <c:pt idx="3">
                  <c:v>Return on assets (ROA)</c:v>
                </c:pt>
              </c:strCache>
            </c:strRef>
          </c:cat>
          <c:val>
            <c:numRef>
              <c:f>'List of Ratios'!$E$34:$E$37</c:f>
              <c:numCache>
                <c:formatCode>0.00</c:formatCode>
                <c:ptCount val="4"/>
                <c:pt idx="0">
                  <c:v>0.84756150274168851</c:v>
                </c:pt>
                <c:pt idx="1">
                  <c:v>7.4665451776097482</c:v>
                </c:pt>
                <c:pt idx="2">
                  <c:v>41.52295824660218</c:v>
                </c:pt>
                <c:pt idx="3">
                  <c:v>17.725571802598431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E-43F3-A260-097FB215A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0086816"/>
        <c:axId val="1800075168"/>
      </c:barChart>
      <c:catAx>
        <c:axId val="180008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0075168"/>
        <c:crosses val="autoZero"/>
        <c:auto val="1"/>
        <c:lblAlgn val="ctr"/>
        <c:lblOffset val="100"/>
        <c:noMultiLvlLbl val="0"/>
      </c:catAx>
      <c:valAx>
        <c:axId val="180007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008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effectLst/>
              </a:rPr>
              <a:t>Solvency/ debt management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'List of Ratios'!$B$25:$B$30</c:f>
              <c:strCache>
                <c:ptCount val="6"/>
                <c:pt idx="0">
                  <c:v>Debt to equity (D/E)</c:v>
                </c:pt>
                <c:pt idx="1">
                  <c:v>Debt to total assets</c:v>
                </c:pt>
                <c:pt idx="2">
                  <c:v>Long-term debt to capital</c:v>
                </c:pt>
                <c:pt idx="3">
                  <c:v>Times interest earned</c:v>
                </c:pt>
                <c:pt idx="4">
                  <c:v>Debt coverage</c:v>
                </c:pt>
                <c:pt idx="5">
                  <c:v>Free cash flow (FCFE) per share</c:v>
                </c:pt>
              </c:strCache>
            </c:strRef>
          </c:cat>
          <c:val>
            <c:numRef>
              <c:f>'List of Ratios'!$C$25:$C$30</c:f>
              <c:numCache>
                <c:formatCode>0.00</c:formatCode>
                <c:ptCount val="6"/>
                <c:pt idx="0">
                  <c:v>5.9615369434796337</c:v>
                </c:pt>
                <c:pt idx="1">
                  <c:v>0.85635355983614692</c:v>
                </c:pt>
                <c:pt idx="2">
                  <c:v>2.9227383959583202</c:v>
                </c:pt>
                <c:pt idx="3">
                  <c:v>41.571727748691103</c:v>
                </c:pt>
                <c:pt idx="4">
                  <c:v>0.3942724350592387</c:v>
                </c:pt>
                <c:pt idx="5">
                  <c:v>7.2812820305522405E-3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F-4FAA-B9BE-4B5E36CBBF57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'List of Ratios'!$B$25:$B$30</c:f>
              <c:strCache>
                <c:ptCount val="6"/>
                <c:pt idx="0">
                  <c:v>Debt to equity (D/E)</c:v>
                </c:pt>
                <c:pt idx="1">
                  <c:v>Debt to total assets</c:v>
                </c:pt>
                <c:pt idx="2">
                  <c:v>Long-term debt to capital</c:v>
                </c:pt>
                <c:pt idx="3">
                  <c:v>Times interest earned</c:v>
                </c:pt>
                <c:pt idx="4">
                  <c:v>Debt coverage</c:v>
                </c:pt>
                <c:pt idx="5">
                  <c:v>Free cash flow (FCFE) per share</c:v>
                </c:pt>
              </c:strCache>
            </c:strRef>
          </c:cat>
          <c:val>
            <c:numRef>
              <c:f>'List of Ratios'!$D$25:$D$30</c:f>
              <c:numCache>
                <c:formatCode>0.00</c:formatCode>
                <c:ptCount val="6"/>
                <c:pt idx="0">
                  <c:v>4.5635124425423994</c:v>
                </c:pt>
                <c:pt idx="1">
                  <c:v>0.82025743443057308</c:v>
                </c:pt>
                <c:pt idx="2">
                  <c:v>2.5745918529085432</c:v>
                </c:pt>
                <c:pt idx="3">
                  <c:v>40.642724227763303</c:v>
                </c:pt>
                <c:pt idx="4">
                  <c:v>0.37930687154408294</c:v>
                </c:pt>
                <c:pt idx="5">
                  <c:v>6.9264784143387402E-3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BF-4FAA-B9BE-4B5E36CBBF57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'List of Ratios'!$B$25:$B$30</c:f>
              <c:strCache>
                <c:ptCount val="6"/>
                <c:pt idx="0">
                  <c:v>Debt to equity (D/E)</c:v>
                </c:pt>
                <c:pt idx="1">
                  <c:v>Debt to total assets</c:v>
                </c:pt>
                <c:pt idx="2">
                  <c:v>Long-term debt to capital</c:v>
                </c:pt>
                <c:pt idx="3">
                  <c:v>Times interest earned</c:v>
                </c:pt>
                <c:pt idx="4">
                  <c:v>Debt coverage</c:v>
                </c:pt>
                <c:pt idx="5">
                  <c:v>Free cash flow (FCFE) per share</c:v>
                </c:pt>
              </c:strCache>
            </c:strRef>
          </c:cat>
          <c:val>
            <c:numRef>
              <c:f>'List of Ratios'!$E$25:$E$30</c:f>
              <c:numCache>
                <c:formatCode>0.00</c:formatCode>
                <c:ptCount val="6"/>
                <c:pt idx="0">
                  <c:v>3.9570394404566951</c:v>
                </c:pt>
                <c:pt idx="1">
                  <c:v>0.79826668477992391</c:v>
                </c:pt>
                <c:pt idx="2">
                  <c:v>2.3440364866312615</c:v>
                </c:pt>
                <c:pt idx="3">
                  <c:v>22.348767488341107</c:v>
                </c:pt>
                <c:pt idx="4">
                  <c:v>0.25949046408997906</c:v>
                </c:pt>
                <c:pt idx="5">
                  <c:v>4.8487449861310886E-3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BF-4FAA-B9BE-4B5E36CBB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5433424"/>
        <c:axId val="1155413456"/>
      </c:barChart>
      <c:catAx>
        <c:axId val="115543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413456"/>
        <c:crosses val="autoZero"/>
        <c:auto val="1"/>
        <c:lblAlgn val="ctr"/>
        <c:lblOffset val="100"/>
        <c:noMultiLvlLbl val="0"/>
      </c:catAx>
      <c:valAx>
        <c:axId val="115541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43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effectLst/>
              </a:rPr>
              <a:t>Profitability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'List of Ratios'!$B$17:$B$22</c:f>
              <c:strCache>
                <c:ptCount val="3"/>
                <c:pt idx="0">
                  <c:v>Gross margin</c:v>
                </c:pt>
                <c:pt idx="1">
                  <c:v>EBITDA margin</c:v>
                </c:pt>
                <c:pt idx="2">
                  <c:v>Net margin</c:v>
                </c:pt>
              </c:strCache>
            </c:strRef>
          </c:cat>
          <c:val>
            <c:numRef>
              <c:f>'List of Ratios'!$C$17:$C$22</c:f>
              <c:numCache>
                <c:formatCode>0.00</c:formatCode>
                <c:ptCount val="3"/>
                <c:pt idx="0">
                  <c:v>0.43309630561360085</c:v>
                </c:pt>
                <c:pt idx="1">
                  <c:v>0.30204043334482966</c:v>
                </c:pt>
                <c:pt idx="2">
                  <c:v>25.309640705199733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A-4C54-A285-F8A982836780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'List of Ratios'!$B$17:$B$22</c:f>
              <c:strCache>
                <c:ptCount val="3"/>
                <c:pt idx="0">
                  <c:v>Gross margin</c:v>
                </c:pt>
                <c:pt idx="1">
                  <c:v>EBITDA margin</c:v>
                </c:pt>
                <c:pt idx="2">
                  <c:v>Net margin</c:v>
                </c:pt>
              </c:strCache>
            </c:strRef>
          </c:cat>
          <c:val>
            <c:numRef>
              <c:f>'List of Ratios'!$D$17:$D$22</c:f>
              <c:numCache>
                <c:formatCode>0.00</c:formatCode>
                <c:ptCount val="3"/>
                <c:pt idx="0">
                  <c:v>0.41779359625167778</c:v>
                </c:pt>
                <c:pt idx="1">
                  <c:v>0.29852904594373691</c:v>
                </c:pt>
                <c:pt idx="2">
                  <c:v>25.881793355694239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8A-4C54-A285-F8A982836780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'List of Ratios'!$B$17:$B$22</c:f>
              <c:strCache>
                <c:ptCount val="3"/>
                <c:pt idx="0">
                  <c:v>Gross margin</c:v>
                </c:pt>
                <c:pt idx="1">
                  <c:v>EBITDA margin</c:v>
                </c:pt>
                <c:pt idx="2">
                  <c:v>Net margin</c:v>
                </c:pt>
              </c:strCache>
            </c:strRef>
          </c:cat>
          <c:val>
            <c:numRef>
              <c:f>'List of Ratios'!$E$17:$E$22</c:f>
              <c:numCache>
                <c:formatCode>0.00</c:formatCode>
                <c:ptCount val="3"/>
                <c:pt idx="0">
                  <c:v>0.38233247727810865</c:v>
                </c:pt>
                <c:pt idx="1">
                  <c:v>0.24439830246070343</c:v>
                </c:pt>
                <c:pt idx="2">
                  <c:v>20.913611278072235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8A-4C54-A285-F8A982836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9652559"/>
        <c:axId val="1549655471"/>
      </c:barChart>
      <c:catAx>
        <c:axId val="1549652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9655471"/>
        <c:crosses val="autoZero"/>
        <c:auto val="1"/>
        <c:lblAlgn val="ctr"/>
        <c:lblOffset val="100"/>
        <c:noMultiLvlLbl val="0"/>
      </c:catAx>
      <c:valAx>
        <c:axId val="1549655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9652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1</xdr:row>
      <xdr:rowOff>0</xdr:rowOff>
    </xdr:from>
    <xdr:to>
      <xdr:col>22</xdr:col>
      <xdr:colOff>47625</xdr:colOff>
      <xdr:row>15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457200</xdr:colOff>
      <xdr:row>32</xdr:row>
      <xdr:rowOff>152400</xdr:rowOff>
    </xdr:from>
    <xdr:to>
      <xdr:col>14</xdr:col>
      <xdr:colOff>152400</xdr:colOff>
      <xdr:row>47</xdr:row>
      <xdr:rowOff>38100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257175</xdr:colOff>
      <xdr:row>16</xdr:row>
      <xdr:rowOff>28575</xdr:rowOff>
    </xdr:from>
    <xdr:to>
      <xdr:col>22</xdr:col>
      <xdr:colOff>561975</xdr:colOff>
      <xdr:row>34</xdr:row>
      <xdr:rowOff>104775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523875</xdr:colOff>
      <xdr:row>34</xdr:row>
      <xdr:rowOff>57150</xdr:rowOff>
    </xdr:from>
    <xdr:to>
      <xdr:col>24</xdr:col>
      <xdr:colOff>57149</xdr:colOff>
      <xdr:row>49</xdr:row>
      <xdr:rowOff>189230</xdr:rowOff>
    </xdr:to>
    <xdr:pic>
      <xdr:nvPicPr>
        <xdr:cNvPr id="20" name="Picture 19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53900" y="6534150"/>
          <a:ext cx="5629274" cy="2989580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16</xdr:row>
      <xdr:rowOff>76200</xdr:rowOff>
    </xdr:from>
    <xdr:to>
      <xdr:col>13</xdr:col>
      <xdr:colOff>95250</xdr:colOff>
      <xdr:row>30</xdr:row>
      <xdr:rowOff>152400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24" workbookViewId="0">
      <selection activeCell="D37" sqref="D37"/>
    </sheetView>
  </sheetViews>
  <sheetFormatPr defaultRowHeight="15" x14ac:dyDescent="0.25"/>
  <cols>
    <col min="1" max="1" width="104.5703125" customWidth="1"/>
    <col min="2" max="2" width="21.28515625" customWidth="1"/>
    <col min="3" max="3" width="13.28515625" customWidth="1"/>
    <col min="4" max="4" width="12.42578125" customWidth="1"/>
    <col min="5" max="5" width="15.42578125" customWidth="1"/>
    <col min="8" max="10" width="10.140625" bestFit="1" customWidth="1"/>
  </cols>
  <sheetData>
    <row r="1" spans="1:1" ht="23.25" x14ac:dyDescent="0.35">
      <c r="A1" s="5" t="s">
        <v>87</v>
      </c>
    </row>
    <row r="3" spans="1:1" x14ac:dyDescent="0.25">
      <c r="A3" s="7" t="s">
        <v>138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145</v>
      </c>
    </row>
    <row r="7" spans="1:1" x14ac:dyDescent="0.25">
      <c r="A7" s="1"/>
    </row>
    <row r="8" spans="1:1" x14ac:dyDescent="0.25">
      <c r="A8" s="17" t="s">
        <v>146</v>
      </c>
    </row>
    <row r="9" spans="1:1" x14ac:dyDescent="0.25">
      <c r="A9" s="1" t="s">
        <v>142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143</v>
      </c>
    </row>
    <row r="16" spans="1:1" x14ac:dyDescent="0.25">
      <c r="A16" s="1" t="s">
        <v>89</v>
      </c>
    </row>
    <row r="17" spans="1:5" x14ac:dyDescent="0.25">
      <c r="A17" s="1" t="s">
        <v>90</v>
      </c>
    </row>
    <row r="18" spans="1:5" x14ac:dyDescent="0.25">
      <c r="A18" s="1" t="s">
        <v>14</v>
      </c>
    </row>
    <row r="19" spans="1:5" x14ac:dyDescent="0.25">
      <c r="A19" s="1" t="s">
        <v>93</v>
      </c>
    </row>
    <row r="20" spans="1:5" x14ac:dyDescent="0.25">
      <c r="A20" s="1"/>
    </row>
    <row r="21" spans="1:5" x14ac:dyDescent="0.25">
      <c r="A21" s="17" t="s">
        <v>98</v>
      </c>
    </row>
    <row r="22" spans="1:5" x14ac:dyDescent="0.25">
      <c r="A22" s="1" t="s">
        <v>94</v>
      </c>
    </row>
    <row r="23" spans="1:5" x14ac:dyDescent="0.25">
      <c r="A23" s="1" t="s">
        <v>95</v>
      </c>
    </row>
    <row r="24" spans="1:5" x14ac:dyDescent="0.25">
      <c r="A24" s="1" t="s">
        <v>96</v>
      </c>
    </row>
    <row r="25" spans="1:5" x14ac:dyDescent="0.25">
      <c r="A25" s="1"/>
    </row>
    <row r="26" spans="1:5" x14ac:dyDescent="0.25">
      <c r="A26" s="17" t="s">
        <v>141</v>
      </c>
    </row>
    <row r="27" spans="1:5" x14ac:dyDescent="0.25">
      <c r="A27" s="16" t="s">
        <v>140</v>
      </c>
    </row>
    <row r="29" spans="1:5" x14ac:dyDescent="0.25">
      <c r="A29" s="7" t="s">
        <v>144</v>
      </c>
    </row>
    <row r="31" spans="1:5" x14ac:dyDescent="0.25">
      <c r="A31" t="s">
        <v>149</v>
      </c>
    </row>
    <row r="32" spans="1:5" x14ac:dyDescent="0.25">
      <c r="C32" s="7">
        <v>2022</v>
      </c>
      <c r="D32" s="7">
        <v>2021</v>
      </c>
      <c r="E32" s="7">
        <v>2020</v>
      </c>
    </row>
    <row r="33" spans="1:10" x14ac:dyDescent="0.25">
      <c r="A33">
        <v>233.85</v>
      </c>
      <c r="B33" s="1" t="s">
        <v>165</v>
      </c>
      <c r="C33">
        <v>138.19999999999999</v>
      </c>
      <c r="D33">
        <v>141.5</v>
      </c>
      <c r="E33">
        <v>113.18</v>
      </c>
    </row>
    <row r="34" spans="1:10" x14ac:dyDescent="0.25">
      <c r="B34" t="s">
        <v>167</v>
      </c>
      <c r="C34" s="2">
        <f>16215963</f>
        <v>16215963</v>
      </c>
      <c r="D34" s="2">
        <f>16701272</f>
        <v>16701272</v>
      </c>
      <c r="E34" s="2">
        <f>17352119</f>
        <v>17352119</v>
      </c>
      <c r="G34" s="1"/>
      <c r="H34" s="2"/>
      <c r="I34" s="2"/>
      <c r="J34" s="2"/>
    </row>
    <row r="35" spans="1:10" x14ac:dyDescent="0.25">
      <c r="B35" t="s">
        <v>168</v>
      </c>
      <c r="C35" s="2">
        <f>C34</f>
        <v>16215963</v>
      </c>
      <c r="D35" s="2">
        <f t="shared" ref="D35:E35" si="0">D34</f>
        <v>16701272</v>
      </c>
      <c r="E35" s="2">
        <f t="shared" si="0"/>
        <v>17352119</v>
      </c>
    </row>
    <row r="36" spans="1:10" x14ac:dyDescent="0.25">
      <c r="C36" s="2"/>
      <c r="D36" s="2"/>
      <c r="E36" s="2"/>
    </row>
    <row r="37" spans="1:10" x14ac:dyDescent="0.25">
      <c r="B37" s="7" t="s">
        <v>166</v>
      </c>
    </row>
    <row r="38" spans="1:10" x14ac:dyDescent="0.25">
      <c r="B38" t="s">
        <v>150</v>
      </c>
      <c r="C38" s="29">
        <v>0.23</v>
      </c>
    </row>
    <row r="39" spans="1:10" x14ac:dyDescent="0.25">
      <c r="B39" t="s">
        <v>151</v>
      </c>
      <c r="C39" s="29" t="s">
        <v>163</v>
      </c>
    </row>
    <row r="40" spans="1:10" x14ac:dyDescent="0.25">
      <c r="B40" t="s">
        <v>152</v>
      </c>
      <c r="C40" s="29">
        <v>0.23</v>
      </c>
    </row>
    <row r="41" spans="1:10" x14ac:dyDescent="0.25">
      <c r="B41" t="s">
        <v>153</v>
      </c>
      <c r="C41" s="29">
        <v>0.22</v>
      </c>
    </row>
    <row r="42" spans="1:10" x14ac:dyDescent="0.25">
      <c r="C42" s="7">
        <f>SUM(C38:C41)</f>
        <v>0.68</v>
      </c>
    </row>
    <row r="43" spans="1:10" x14ac:dyDescent="0.25">
      <c r="C43" s="7"/>
    </row>
    <row r="44" spans="1:10" x14ac:dyDescent="0.25">
      <c r="B44" t="s">
        <v>154</v>
      </c>
      <c r="C44">
        <v>0.22</v>
      </c>
    </row>
    <row r="45" spans="1:10" x14ac:dyDescent="0.25">
      <c r="B45" t="s">
        <v>155</v>
      </c>
      <c r="C45">
        <v>0.22</v>
      </c>
    </row>
    <row r="46" spans="1:10" x14ac:dyDescent="0.25">
      <c r="B46" t="s">
        <v>156</v>
      </c>
      <c r="C46">
        <v>0.22</v>
      </c>
    </row>
    <row r="47" spans="1:10" x14ac:dyDescent="0.25">
      <c r="B47" t="s">
        <v>157</v>
      </c>
      <c r="C47">
        <v>0.20499999999999999</v>
      </c>
    </row>
    <row r="48" spans="1:10" x14ac:dyDescent="0.25">
      <c r="C48" s="7">
        <f>SUM(C44:C47)</f>
        <v>0.86499999999999999</v>
      </c>
    </row>
    <row r="50" spans="2:3" x14ac:dyDescent="0.25">
      <c r="B50" t="s">
        <v>158</v>
      </c>
      <c r="C50">
        <v>0.20499999999999999</v>
      </c>
    </row>
    <row r="51" spans="2:3" x14ac:dyDescent="0.25">
      <c r="B51" t="s">
        <v>159</v>
      </c>
      <c r="C51" t="s">
        <v>160</v>
      </c>
    </row>
    <row r="52" spans="2:3" x14ac:dyDescent="0.25">
      <c r="B52" t="s">
        <v>159</v>
      </c>
      <c r="C52">
        <v>0.82</v>
      </c>
    </row>
    <row r="53" spans="2:3" x14ac:dyDescent="0.25">
      <c r="B53" t="s">
        <v>161</v>
      </c>
      <c r="C53">
        <v>0.82</v>
      </c>
    </row>
    <row r="54" spans="2:3" x14ac:dyDescent="0.25">
      <c r="B54" t="s">
        <v>162</v>
      </c>
      <c r="C54">
        <v>0.77</v>
      </c>
    </row>
    <row r="55" spans="2:3" x14ac:dyDescent="0.25">
      <c r="C55" s="7">
        <f>SUM(C50:C54)</f>
        <v>2.6149999999999998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workbookViewId="0">
      <selection activeCell="B42" sqref="B42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  <col min="7" max="7" width="15.140625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41" t="s">
        <v>1</v>
      </c>
      <c r="B2" s="41"/>
      <c r="C2" s="41"/>
      <c r="D2" s="41"/>
    </row>
    <row r="3" spans="1:10" x14ac:dyDescent="0.25">
      <c r="B3" s="40" t="s">
        <v>23</v>
      </c>
      <c r="C3" s="40"/>
      <c r="D3" s="40"/>
      <c r="E3" t="s">
        <v>148</v>
      </c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  <c r="E8" s="26">
        <f>((B8/D8)^(1/3))-1</f>
        <v>0.12831539031632122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  <c r="E12" s="26">
        <f>((B12/D12)^(1/3))-1</f>
        <v>9.6516957121308922E-2</v>
      </c>
    </row>
    <row r="13" spans="1:10" x14ac:dyDescent="0.25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  <c r="E13" s="26">
        <f>((B13/D13)^(1/3))-1</f>
        <v>0.17619214518205273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7" x14ac:dyDescent="0.25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  <c r="E17" s="26">
        <f>((B17/D17)^(1/3))-1</f>
        <v>9.9129378152164271E-2</v>
      </c>
    </row>
    <row r="18" spans="1:7" s="21" customFormat="1" x14ac:dyDescent="0.25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7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7" x14ac:dyDescent="0.25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7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7" ht="15.75" thickBot="1" x14ac:dyDescent="0.3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  <c r="E22" s="26">
        <f>((B22/D22)^(1/3))-1</f>
        <v>0.20240145972247858</v>
      </c>
    </row>
    <row r="23" spans="1:7" ht="15.75" thickTop="1" x14ac:dyDescent="0.25">
      <c r="A23" t="s">
        <v>19</v>
      </c>
    </row>
    <row r="24" spans="1:7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7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7" x14ac:dyDescent="0.25">
      <c r="A26" t="s">
        <v>22</v>
      </c>
    </row>
    <row r="27" spans="1:7" x14ac:dyDescent="0.25">
      <c r="A27" s="1" t="s">
        <v>20</v>
      </c>
      <c r="B27" s="2">
        <f>16215963/1000</f>
        <v>16215.963</v>
      </c>
      <c r="C27" s="2">
        <f>16701272/1000</f>
        <v>16701.272000000001</v>
      </c>
      <c r="D27" s="2">
        <f>17352119/1000</f>
        <v>17352.118999999999</v>
      </c>
      <c r="F27" s="27"/>
    </row>
    <row r="28" spans="1:7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29" spans="1:7" x14ac:dyDescent="0.25">
      <c r="G29" s="28"/>
    </row>
    <row r="31" spans="1:7" x14ac:dyDescent="0.25">
      <c r="A31" s="41" t="s">
        <v>24</v>
      </c>
      <c r="B31" s="41"/>
      <c r="C31" s="41"/>
      <c r="D31" s="41"/>
    </row>
    <row r="32" spans="1:7" x14ac:dyDescent="0.25">
      <c r="B32" s="40" t="s">
        <v>139</v>
      </c>
      <c r="C32" s="40"/>
      <c r="D32" s="40"/>
    </row>
    <row r="33" spans="1:12" x14ac:dyDescent="0.25">
      <c r="B33" s="7">
        <f>+B4</f>
        <v>2022</v>
      </c>
      <c r="C33" s="7">
        <f>+C4</f>
        <v>2021</v>
      </c>
      <c r="D33" s="7">
        <f>+D4</f>
        <v>2020</v>
      </c>
      <c r="E33" s="38">
        <v>2019</v>
      </c>
    </row>
    <row r="35" spans="1:12" x14ac:dyDescent="0.25">
      <c r="A35" t="s">
        <v>25</v>
      </c>
    </row>
    <row r="36" spans="1:12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12" x14ac:dyDescent="0.25">
      <c r="A37" s="1" t="s">
        <v>27</v>
      </c>
      <c r="B37" s="12">
        <v>24658</v>
      </c>
      <c r="C37" s="12">
        <v>27699</v>
      </c>
      <c r="D37" s="12">
        <v>52927</v>
      </c>
      <c r="H37" s="7">
        <v>2022</v>
      </c>
      <c r="I37" s="7">
        <v>2021</v>
      </c>
      <c r="J37" s="7">
        <v>2020</v>
      </c>
      <c r="L37" s="38"/>
    </row>
    <row r="38" spans="1:12" x14ac:dyDescent="0.25">
      <c r="A38" s="1" t="s">
        <v>28</v>
      </c>
      <c r="B38" s="12">
        <v>28184</v>
      </c>
      <c r="C38" s="12">
        <v>26278</v>
      </c>
      <c r="D38" s="12">
        <v>16120</v>
      </c>
      <c r="L38" s="38"/>
    </row>
    <row r="39" spans="1:12" x14ac:dyDescent="0.25">
      <c r="A39" s="1" t="s">
        <v>29</v>
      </c>
      <c r="B39" s="12">
        <v>4946</v>
      </c>
      <c r="C39" s="12">
        <v>6580</v>
      </c>
      <c r="D39" s="12">
        <v>4061</v>
      </c>
      <c r="E39" s="39">
        <v>4106</v>
      </c>
      <c r="G39" t="s">
        <v>173</v>
      </c>
      <c r="H39" s="37">
        <f>(B39+C39)/2</f>
        <v>5763</v>
      </c>
      <c r="I39" s="37">
        <f>(C39+D39)/2</f>
        <v>5320.5</v>
      </c>
      <c r="J39" s="37">
        <f>(D39+E39)/2</f>
        <v>4083.5</v>
      </c>
      <c r="L39" s="39"/>
    </row>
    <row r="40" spans="1:12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12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12" x14ac:dyDescent="0.25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  <c r="E42" s="26">
        <f>((B42/D42)^(1/3))-1</f>
        <v>-1.9653621785912012E-2</v>
      </c>
    </row>
    <row r="43" spans="1:12" x14ac:dyDescent="0.25">
      <c r="A43" t="s">
        <v>48</v>
      </c>
      <c r="B43" s="12"/>
      <c r="C43" s="12"/>
      <c r="D43" s="12"/>
    </row>
    <row r="44" spans="1:12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12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12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12" x14ac:dyDescent="0.25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  <c r="E47" s="26">
        <f>((B47/D47)^(1/3))-1</f>
        <v>6.4522972360165243E-2</v>
      </c>
    </row>
    <row r="48" spans="1:12" ht="15.75" thickBot="1" x14ac:dyDescent="0.3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  <c r="E48" s="26">
        <f>((B48/D48)^(1/3))-1</f>
        <v>2.8867479302999044E-2</v>
      </c>
    </row>
    <row r="49" spans="1:5" ht="15.75" thickTop="1" x14ac:dyDescent="0.25"/>
    <row r="50" spans="1:5" x14ac:dyDescent="0.25">
      <c r="A50" t="s">
        <v>34</v>
      </c>
    </row>
    <row r="51" spans="1:5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5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5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5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5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5" x14ac:dyDescent="0.25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  <c r="E56" s="26">
        <f>((B56/D56)^(1/3))-1</f>
        <v>0.1347166742071586</v>
      </c>
    </row>
    <row r="57" spans="1:5" x14ac:dyDescent="0.25">
      <c r="A57" t="s">
        <v>51</v>
      </c>
      <c r="B57" s="12"/>
      <c r="C57" s="12"/>
      <c r="D57" s="12"/>
    </row>
    <row r="58" spans="1:5" x14ac:dyDescent="0.25">
      <c r="A58" s="1" t="s">
        <v>37</v>
      </c>
      <c r="B58" s="12"/>
      <c r="C58" s="12"/>
      <c r="D58" s="12"/>
    </row>
    <row r="59" spans="1:5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5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5" x14ac:dyDescent="0.25">
      <c r="A61" s="23" t="s">
        <v>53</v>
      </c>
      <c r="B61" s="22">
        <f>+B59+B60</f>
        <v>148101</v>
      </c>
      <c r="C61" s="22">
        <f>+C59+C60</f>
        <v>162431</v>
      </c>
      <c r="D61" s="22">
        <f>+D59+D60</f>
        <v>153157</v>
      </c>
    </row>
    <row r="62" spans="1:5" x14ac:dyDescent="0.25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  <c r="E62" s="26">
        <f>((B62/D62)^(1/3))-1</f>
        <v>5.3241123706328164E-2</v>
      </c>
    </row>
    <row r="63" spans="1:5" x14ac:dyDescent="0.25">
      <c r="A63" s="30" t="s">
        <v>164</v>
      </c>
      <c r="B63" s="12">
        <f>B48-B56</f>
        <v>198773</v>
      </c>
      <c r="C63" s="12">
        <f t="shared" ref="C63:D63" si="0">C48-C56</f>
        <v>225521</v>
      </c>
      <c r="D63" s="12">
        <f t="shared" si="0"/>
        <v>218496</v>
      </c>
    </row>
    <row r="64" spans="1:5" x14ac:dyDescent="0.25">
      <c r="A64" t="s">
        <v>42</v>
      </c>
      <c r="B64" s="12"/>
      <c r="C64" s="12"/>
      <c r="D64" s="12"/>
    </row>
    <row r="65" spans="1:5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5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5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5" x14ac:dyDescent="0.25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  <c r="E68" s="26">
        <f>((B68/D68)^(1/3))-1</f>
        <v>-8.1247527436305145E-2</v>
      </c>
    </row>
    <row r="69" spans="1:5" ht="15.75" thickBot="1" x14ac:dyDescent="0.3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  <c r="E69" s="26">
        <f>((B69/D69)^(1/3))-1</f>
        <v>2.8867479302999044E-2</v>
      </c>
    </row>
    <row r="70" spans="1:5" ht="15.75" thickTop="1" x14ac:dyDescent="0.25"/>
    <row r="71" spans="1:5" x14ac:dyDescent="0.25">
      <c r="A71" s="41" t="s">
        <v>55</v>
      </c>
      <c r="B71" s="41"/>
      <c r="C71" s="41"/>
      <c r="D71" s="41"/>
    </row>
    <row r="72" spans="1:5" x14ac:dyDescent="0.25">
      <c r="B72" s="40" t="s">
        <v>23</v>
      </c>
      <c r="C72" s="40"/>
      <c r="D72" s="40"/>
    </row>
    <row r="73" spans="1:5" x14ac:dyDescent="0.25">
      <c r="B73" s="7">
        <f>+B33</f>
        <v>2022</v>
      </c>
      <c r="C73" s="7">
        <f>+C33</f>
        <v>2021</v>
      </c>
      <c r="D73" s="7">
        <f>+D33</f>
        <v>2020</v>
      </c>
    </row>
    <row r="75" spans="1:5" x14ac:dyDescent="0.25">
      <c r="A75" s="7" t="s">
        <v>56</v>
      </c>
      <c r="B75" s="15"/>
      <c r="C75" s="15"/>
      <c r="D75" s="15"/>
    </row>
    <row r="76" spans="1:5" x14ac:dyDescent="0.25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5" x14ac:dyDescent="0.25">
      <c r="A77" s="11" t="s">
        <v>18</v>
      </c>
      <c r="B77" s="15"/>
      <c r="C77" s="15"/>
      <c r="D77" s="15"/>
    </row>
    <row r="78" spans="1:5" x14ac:dyDescent="0.25">
      <c r="A78" s="1" t="s">
        <v>58</v>
      </c>
      <c r="B78" s="12"/>
      <c r="C78" s="12"/>
      <c r="D78" s="12"/>
    </row>
    <row r="79" spans="1:5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5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8" workbookViewId="0">
      <selection activeCell="O32" sqref="O32"/>
    </sheetView>
  </sheetViews>
  <sheetFormatPr defaultRowHeight="15" x14ac:dyDescent="0.25"/>
  <cols>
    <col min="1" max="1" width="4.7109375" customWidth="1"/>
    <col min="2" max="2" width="44.85546875" customWidth="1"/>
    <col min="3" max="3" width="15.7109375" bestFit="1" customWidth="1"/>
    <col min="4" max="4" width="12.140625" customWidth="1"/>
    <col min="5" max="5" width="14.7109375" bestFit="1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40" t="s">
        <v>23</v>
      </c>
      <c r="D2" s="40"/>
      <c r="E2" s="40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</row>
    <row r="5" spans="1:10" x14ac:dyDescent="0.25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</row>
    <row r="6" spans="1:10" x14ac:dyDescent="0.25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</row>
    <row r="7" spans="1:10" x14ac:dyDescent="0.25">
      <c r="A7" s="18">
        <f t="shared" si="0"/>
        <v>1.3000000000000003</v>
      </c>
      <c r="B7" s="1" t="s">
        <v>102</v>
      </c>
      <c r="C7" s="24">
        <f>('Financial Statements'!B36+'Financial Statements'!B37)/'Financial Statements'!B56</f>
        <v>0.31369900377966253</v>
      </c>
      <c r="D7" s="24">
        <f>('Financial Statements'!C36+'Financial Statements'!C37)/'Financial Statements'!C56</f>
        <v>0.49919111259872012</v>
      </c>
      <c r="E7" s="24">
        <f>('Financial Statements'!D36+'Financial Statements'!D37)/'Financial Statements'!D56</f>
        <v>0.86290230757552755</v>
      </c>
    </row>
    <row r="8" spans="1:10" x14ac:dyDescent="0.25">
      <c r="A8" s="18">
        <f t="shared" si="0"/>
        <v>1.4000000000000004</v>
      </c>
      <c r="B8" s="1" t="s">
        <v>103</v>
      </c>
      <c r="C8" s="36">
        <f>'Financial Statements'!B42/('Financial Statements'!B17/365)</f>
        <v>962.56354075372474</v>
      </c>
      <c r="D8" s="36">
        <f>'Financial Statements'!C42/('Financial Statements'!C17/365)</f>
        <v>1121.4058832911796</v>
      </c>
      <c r="E8" s="36">
        <f>'Financial Statements'!D42/('Financial Statements'!D17/365)</f>
        <v>1356.5543860556534</v>
      </c>
    </row>
    <row r="9" spans="1:10" x14ac:dyDescent="0.25">
      <c r="A9" s="18">
        <f t="shared" si="0"/>
        <v>1.5000000000000004</v>
      </c>
      <c r="B9" s="1" t="s">
        <v>104</v>
      </c>
      <c r="C9" s="24">
        <f>('Financial Statements'!B39/'Financial Statements'!B12)*365</f>
        <v>8.0756980666171607</v>
      </c>
      <c r="D9" s="24">
        <f>('Financial Statements'!C39/'Financial Statements'!C12)*365</f>
        <v>11.27659274770989</v>
      </c>
      <c r="E9" s="24">
        <f>('Financial Statements'!D39/'Financial Statements'!D12)*365</f>
        <v>8.7418833562358831</v>
      </c>
    </row>
    <row r="10" spans="1:10" x14ac:dyDescent="0.25">
      <c r="A10" s="18">
        <f t="shared" si="0"/>
        <v>1.6000000000000005</v>
      </c>
      <c r="B10" s="1" t="s">
        <v>105</v>
      </c>
      <c r="C10" s="36">
        <f>('Financial Statements'!B51/'Financial Statements'!B12)*365</f>
        <v>104.68527730310539</v>
      </c>
      <c r="D10" s="24">
        <f>('Financial Statements'!C51/'Financial Statements'!C12)*365</f>
        <v>93.851071222315596</v>
      </c>
      <c r="E10" s="24">
        <f>('Financial Statements'!D51/'Financial Statements'!D12)*365</f>
        <v>91.048189715674198</v>
      </c>
    </row>
    <row r="11" spans="1:10" x14ac:dyDescent="0.25">
      <c r="A11" s="18">
        <f t="shared" si="0"/>
        <v>1.7000000000000006</v>
      </c>
      <c r="B11" s="1" t="s">
        <v>106</v>
      </c>
      <c r="C11" s="24">
        <f>('Financial Statements'!B38/'Financial Statements'!B8)*365</f>
        <v>26.087825363656648</v>
      </c>
      <c r="D11" s="24">
        <f>('Financial Statements'!C38/'Financial Statements'!C8)*365</f>
        <v>26.219311841713207</v>
      </c>
      <c r="E11" s="24">
        <f>('Financial Statements'!D38/'Financial Statements'!D8)*365</f>
        <v>21.433437152796749</v>
      </c>
    </row>
    <row r="12" spans="1:10" x14ac:dyDescent="0.25">
      <c r="A12" s="18">
        <f t="shared" si="0"/>
        <v>1.8000000000000007</v>
      </c>
      <c r="B12" s="1" t="s">
        <v>107</v>
      </c>
      <c r="C12" s="24">
        <f>C9+C11-C10</f>
        <v>-70.521753872831582</v>
      </c>
      <c r="D12" s="24">
        <f t="shared" ref="D12:E12" si="1">D9+D11-D10</f>
        <v>-56.355166632892498</v>
      </c>
      <c r="E12" s="24">
        <f t="shared" si="1"/>
        <v>-60.872869206641568</v>
      </c>
    </row>
    <row r="13" spans="1:10" x14ac:dyDescent="0.25">
      <c r="A13" s="18">
        <f t="shared" si="0"/>
        <v>1.9000000000000008</v>
      </c>
      <c r="B13" s="1" t="s">
        <v>108</v>
      </c>
      <c r="C13" s="24">
        <f>(C14/'Financial Statements'!B8)*100</f>
        <v>-20.780923495161389</v>
      </c>
      <c r="D13" s="24">
        <f>(D14/'Financial Statements'!C8)*100</f>
        <v>-22.232427689254465</v>
      </c>
      <c r="E13" s="24">
        <f>(E14/'Financial Statements'!D8)*100</f>
        <v>-13.282334298672204</v>
      </c>
    </row>
    <row r="14" spans="1:10" x14ac:dyDescent="0.25">
      <c r="A14" s="18"/>
      <c r="B14" s="3" t="s">
        <v>109</v>
      </c>
      <c r="C14">
        <f>'Financial Statements'!B42-'Financial Statements'!B47</f>
        <v>-81945</v>
      </c>
      <c r="D14">
        <f>'Financial Statements'!C42-'Financial Statements'!C47</f>
        <v>-81330</v>
      </c>
      <c r="E14">
        <f>'Financial Statements'!D42-'Financial Statements'!D47</f>
        <v>-36462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110</v>
      </c>
    </row>
    <row r="17" spans="1:7" x14ac:dyDescent="0.25">
      <c r="A17" s="18">
        <f>+A16+0.1</f>
        <v>2.1</v>
      </c>
      <c r="B17" s="1" t="s">
        <v>9</v>
      </c>
      <c r="C17" s="24">
        <f>('Financial Statements'!B13/'Financial Statements'!B8)</f>
        <v>0.43309630561360085</v>
      </c>
      <c r="D17" s="24">
        <f>('Financial Statements'!C13/'Financial Statements'!C8)</f>
        <v>0.41779359625167778</v>
      </c>
      <c r="E17" s="24">
        <f>('Financial Statements'!D13/'Financial Statements'!D8)</f>
        <v>0.38233247727810865</v>
      </c>
    </row>
    <row r="18" spans="1:7" x14ac:dyDescent="0.25">
      <c r="A18" s="18">
        <f>+A17+0.1</f>
        <v>2.2000000000000002</v>
      </c>
      <c r="B18" s="1" t="s">
        <v>111</v>
      </c>
      <c r="C18" s="24">
        <f>C19/'Financial Statements'!B8</f>
        <v>0.30204043334482966</v>
      </c>
      <c r="D18" s="24">
        <f>D19/'Financial Statements'!C8</f>
        <v>0.29852904594373691</v>
      </c>
      <c r="E18" s="24">
        <f>E19/'Financial Statements'!D8</f>
        <v>0.24439830246070343</v>
      </c>
    </row>
    <row r="19" spans="1:7" hidden="1" x14ac:dyDescent="0.25">
      <c r="A19" s="18"/>
      <c r="B19" s="32" t="s">
        <v>112</v>
      </c>
      <c r="C19" s="31">
        <f>'Financial Statements'!B20</f>
        <v>119103</v>
      </c>
      <c r="D19" s="31">
        <f>'Financial Statements'!C20</f>
        <v>109207</v>
      </c>
      <c r="E19" s="31">
        <f>'Financial Statements'!D20</f>
        <v>67091</v>
      </c>
      <c r="G19" t="s">
        <v>147</v>
      </c>
    </row>
    <row r="20" spans="1:7" hidden="1" x14ac:dyDescent="0.25">
      <c r="A20" s="18">
        <f>+A18+0.1</f>
        <v>2.3000000000000003</v>
      </c>
      <c r="B20" s="33" t="s">
        <v>113</v>
      </c>
      <c r="C20" s="31">
        <f>'Financial Statements'!B18</f>
        <v>119437</v>
      </c>
      <c r="D20" s="31">
        <f>'Financial Statements'!C18</f>
        <v>108949</v>
      </c>
      <c r="E20" s="31">
        <f>'Financial Statements'!D18</f>
        <v>66288</v>
      </c>
    </row>
    <row r="21" spans="1:7" hidden="1" x14ac:dyDescent="0.25">
      <c r="A21" s="18"/>
      <c r="B21" s="32" t="s">
        <v>114</v>
      </c>
      <c r="C21" s="24">
        <f>C20/'Financial Statements'!B8</f>
        <v>0.30288744395528594</v>
      </c>
      <c r="D21" s="24">
        <f>D20/'Financial Statements'!C8</f>
        <v>0.29782377527561593</v>
      </c>
      <c r="E21" s="24">
        <f>E20/'Financial Statements'!D8</f>
        <v>0.24147314354406862</v>
      </c>
    </row>
    <row r="22" spans="1:7" x14ac:dyDescent="0.25">
      <c r="A22" s="18">
        <f>+A20+0.1</f>
        <v>2.4000000000000004</v>
      </c>
      <c r="B22" s="33" t="s">
        <v>115</v>
      </c>
      <c r="C22" s="24">
        <f>('Financial Statements'!B22/'Financial Statements'!B8)*100</f>
        <v>25.309640705199733</v>
      </c>
      <c r="D22" s="24">
        <f>('Financial Statements'!C22/'Financial Statements'!C8)*100</f>
        <v>25.881793355694239</v>
      </c>
      <c r="E22" s="24">
        <f>('Financial Statements'!D22/'Financial Statements'!D8)*100</f>
        <v>20.913611278072235</v>
      </c>
    </row>
    <row r="23" spans="1:7" x14ac:dyDescent="0.25">
      <c r="A23" s="18"/>
      <c r="B23" s="34"/>
    </row>
    <row r="24" spans="1:7" x14ac:dyDescent="0.25">
      <c r="A24" s="18">
        <f>+A16+1</f>
        <v>3</v>
      </c>
      <c r="B24" s="35" t="s">
        <v>116</v>
      </c>
    </row>
    <row r="25" spans="1:7" x14ac:dyDescent="0.25">
      <c r="A25" s="18">
        <f t="shared" ref="A25:A30" si="2">+A24+0.1</f>
        <v>3.1</v>
      </c>
      <c r="B25" s="33" t="s">
        <v>117</v>
      </c>
      <c r="C25" s="24">
        <f>'Financial Statements'!B62/'Financial Statements'!B68</f>
        <v>5.9615369434796337</v>
      </c>
      <c r="D25" s="24">
        <f>'Financial Statements'!C62/'Financial Statements'!C68</f>
        <v>4.5635124425423994</v>
      </c>
      <c r="E25" s="24">
        <f>'Financial Statements'!D62/'Financial Statements'!D68</f>
        <v>3.9570394404566951</v>
      </c>
    </row>
    <row r="26" spans="1:7" x14ac:dyDescent="0.25">
      <c r="A26" s="18">
        <f t="shared" si="2"/>
        <v>3.2</v>
      </c>
      <c r="B26" s="33" t="s">
        <v>118</v>
      </c>
      <c r="C26" s="24">
        <f>'Financial Statements'!B62/'Financial Statements'!B48</f>
        <v>0.85635355983614692</v>
      </c>
      <c r="D26" s="24">
        <f>'Financial Statements'!C62/'Financial Statements'!C48</f>
        <v>0.82025743443057308</v>
      </c>
      <c r="E26" s="24">
        <f>'Financial Statements'!D62/'Financial Statements'!D48</f>
        <v>0.79826668477992391</v>
      </c>
    </row>
    <row r="27" spans="1:7" x14ac:dyDescent="0.25">
      <c r="A27" s="18">
        <f t="shared" si="2"/>
        <v>3.3000000000000003</v>
      </c>
      <c r="B27" s="33" t="s">
        <v>119</v>
      </c>
      <c r="C27" s="24">
        <f>'Financial Statements'!B61/'Financial Statements'!B68</f>
        <v>2.9227383959583202</v>
      </c>
      <c r="D27" s="24">
        <f>'Financial Statements'!C61/'Financial Statements'!C68</f>
        <v>2.5745918529085432</v>
      </c>
      <c r="E27" s="24">
        <f>'Financial Statements'!D61/'Financial Statements'!D68</f>
        <v>2.3440364866312615</v>
      </c>
    </row>
    <row r="28" spans="1:7" x14ac:dyDescent="0.25">
      <c r="A28" s="18">
        <f t="shared" si="2"/>
        <v>3.4000000000000004</v>
      </c>
      <c r="B28" s="33" t="s">
        <v>120</v>
      </c>
      <c r="C28" s="24">
        <f>C19/'Financial Statements'!B114</f>
        <v>41.571727748691103</v>
      </c>
      <c r="D28" s="24">
        <f>D19/'Financial Statements'!C114</f>
        <v>40.642724227763303</v>
      </c>
      <c r="E28" s="24">
        <f>E19/'Financial Statements'!D114</f>
        <v>22.348767488341107</v>
      </c>
    </row>
    <row r="29" spans="1:7" x14ac:dyDescent="0.25">
      <c r="A29" s="18">
        <f t="shared" si="2"/>
        <v>3.5000000000000004</v>
      </c>
      <c r="B29" s="33" t="s">
        <v>121</v>
      </c>
      <c r="C29" s="24">
        <f>'Financial Statements'!B20/'Financial Statements'!B62</f>
        <v>0.3942724350592387</v>
      </c>
      <c r="D29" s="24">
        <f>'Financial Statements'!C20/'Financial Statements'!C62</f>
        <v>0.37930687154408294</v>
      </c>
      <c r="E29" s="24">
        <f>'Financial Statements'!D20/'Financial Statements'!D62</f>
        <v>0.25949046408997906</v>
      </c>
    </row>
    <row r="30" spans="1:7" x14ac:dyDescent="0.25">
      <c r="A30" s="18">
        <f t="shared" si="2"/>
        <v>3.6000000000000005</v>
      </c>
      <c r="B30" s="1" t="s">
        <v>122</v>
      </c>
      <c r="C30" s="24">
        <f>C31/Instructions!C34</f>
        <v>7.2812820305522405E-3</v>
      </c>
      <c r="D30" s="24">
        <f>D31/Instructions!D34</f>
        <v>6.9264784143387402E-3</v>
      </c>
      <c r="E30" s="24">
        <f>E31/Instructions!E34</f>
        <v>4.8487449861310886E-3</v>
      </c>
    </row>
    <row r="31" spans="1:7" x14ac:dyDescent="0.25">
      <c r="A31" s="18"/>
      <c r="B31" s="3" t="s">
        <v>123</v>
      </c>
      <c r="C31" s="31">
        <f>'Financial Statements'!B91+'Financial Statements'!B104+'Financial Statements'!B105</f>
        <v>118073</v>
      </c>
      <c r="D31" s="31">
        <f>'Financial Statements'!C91+'Financial Statements'!C104+'Financial Statements'!C105</f>
        <v>115681</v>
      </c>
      <c r="E31" s="31">
        <f>'Financial Statements'!D91+'Financial Statements'!D104+'Financial Statements'!D105</f>
        <v>84136</v>
      </c>
    </row>
    <row r="32" spans="1:7" x14ac:dyDescent="0.25">
      <c r="A32" s="18"/>
    </row>
    <row r="33" spans="1:7" x14ac:dyDescent="0.25">
      <c r="A33" s="18">
        <f>+A24+1</f>
        <v>4</v>
      </c>
      <c r="B33" s="17" t="s">
        <v>124</v>
      </c>
    </row>
    <row r="34" spans="1:7" x14ac:dyDescent="0.25">
      <c r="A34" s="18">
        <f>+A33+0.1</f>
        <v>4.0999999999999996</v>
      </c>
      <c r="B34" s="1" t="s">
        <v>170</v>
      </c>
      <c r="C34" s="24">
        <f>('Financial Statements'!B8/'Financial Statements'!B48)</f>
        <v>1.1178523337727317</v>
      </c>
      <c r="D34" s="24">
        <f>('Financial Statements'!C8/'Financial Statements'!C48)</f>
        <v>1.0422077367080529</v>
      </c>
      <c r="E34" s="24">
        <f>('Financial Statements'!D8/'Financial Statements'!D48)</f>
        <v>0.84756150274168851</v>
      </c>
    </row>
    <row r="35" spans="1:7" x14ac:dyDescent="0.25">
      <c r="A35" s="18">
        <f>+A34+0.1</f>
        <v>4.1999999999999993</v>
      </c>
      <c r="B35" s="1" t="s">
        <v>171</v>
      </c>
      <c r="C35" s="24">
        <f>('Financial Statements'!B8/'Financial Statements'!B45)</f>
        <v>9.3626801529073767</v>
      </c>
      <c r="D35" s="24">
        <f>('Financial Statements'!C8/'Financial Statements'!C45)</f>
        <v>9.2752789046653152</v>
      </c>
      <c r="E35" s="24">
        <f>('Financial Statements'!D8/'Financial Statements'!D45)</f>
        <v>7.4665451776097482</v>
      </c>
    </row>
    <row r="36" spans="1:7" x14ac:dyDescent="0.25">
      <c r="A36" s="18">
        <f>+A35+0.1</f>
        <v>4.2999999999999989</v>
      </c>
      <c r="B36" s="1" t="s">
        <v>172</v>
      </c>
      <c r="C36" s="24">
        <f>('Financial Statements'!B12/'Financial Statements'!H39)</f>
        <v>38.789866389033492</v>
      </c>
      <c r="D36" s="24">
        <f>('Financial Statements'!C12/'Financial Statements'!I39)</f>
        <v>40.030260313880277</v>
      </c>
      <c r="E36" s="24">
        <f>('Financial Statements'!D12/'Financial Statements'!J39)</f>
        <v>41.52295824660218</v>
      </c>
      <c r="G36" t="s">
        <v>169</v>
      </c>
    </row>
    <row r="37" spans="1:7" x14ac:dyDescent="0.25">
      <c r="A37" s="18">
        <f>+A36+0.1</f>
        <v>4.3999999999999986</v>
      </c>
      <c r="B37" s="1" t="s">
        <v>125</v>
      </c>
      <c r="C37" s="24">
        <f>('Financial Statements'!B22/'Financial Statements'!B48)*100</f>
        <v>28.292440929256852</v>
      </c>
      <c r="D37" s="24">
        <f>('Financial Statements'!C22/'Financial Statements'!C48)*100</f>
        <v>26.974205275183614</v>
      </c>
      <c r="E37" s="24">
        <f>('Financial Statements'!D22/'Financial Statements'!D48)*100</f>
        <v>17.725571802598431</v>
      </c>
    </row>
    <row r="38" spans="1:7" x14ac:dyDescent="0.25">
      <c r="A38" s="18"/>
    </row>
    <row r="39" spans="1:7" x14ac:dyDescent="0.25">
      <c r="A39" s="18">
        <f>+A33+1</f>
        <v>5</v>
      </c>
      <c r="B39" s="17" t="s">
        <v>126</v>
      </c>
    </row>
    <row r="40" spans="1:7" x14ac:dyDescent="0.25">
      <c r="A40" s="18">
        <f>+A39+0.1</f>
        <v>5.0999999999999996</v>
      </c>
      <c r="B40" s="1" t="s">
        <v>127</v>
      </c>
      <c r="C40" s="25">
        <f>Instructions!C33/'Financial Statements'!B68</f>
        <v>2.7273444900536782E-3</v>
      </c>
      <c r="D40" s="25">
        <f>Instructions!D33/'Financial Statements'!C68</f>
        <v>2.2428277064511018E-3</v>
      </c>
      <c r="E40" s="25">
        <f>Instructions!E33/'Financial Statements'!D68</f>
        <v>1.7321966972252407E-3</v>
      </c>
    </row>
    <row r="41" spans="1:7" x14ac:dyDescent="0.25">
      <c r="A41" s="18">
        <f>+A40+0.1</f>
        <v>5.1999999999999993</v>
      </c>
      <c r="B41" s="3" t="s">
        <v>128</v>
      </c>
      <c r="C41" s="24">
        <f>'Financial Statements'!B22/'Financial Statements'!B27</f>
        <v>6.1546144376377772</v>
      </c>
      <c r="D41" s="24">
        <f>'Financial Statements'!C22/'Financial Statements'!C27</f>
        <v>5.6690292811230183</v>
      </c>
      <c r="E41" s="24">
        <f>'Financial Statements'!D22/'Financial Statements'!D27</f>
        <v>3.3085872682177895</v>
      </c>
    </row>
    <row r="42" spans="1:7" x14ac:dyDescent="0.25">
      <c r="A42" s="18">
        <f>+A41+0.1</f>
        <v>5.2999999999999989</v>
      </c>
      <c r="B42" s="1" t="s">
        <v>129</v>
      </c>
      <c r="C42" s="24">
        <f>Instructions!C33/'List of Ratios'!C43</f>
        <v>44.226517338964314</v>
      </c>
      <c r="D42" s="24">
        <f>Instructions!D33/'List of Ratios'!D43</f>
        <v>37.458075574576007</v>
      </c>
      <c r="E42" s="24">
        <f>Instructions!E33/'List of Ratios'!E43</f>
        <v>30.057283221659343</v>
      </c>
    </row>
    <row r="43" spans="1:7" x14ac:dyDescent="0.25">
      <c r="A43" s="18">
        <f>+A42+0.1</f>
        <v>5.3999999999999986</v>
      </c>
      <c r="B43" s="3" t="s">
        <v>130</v>
      </c>
      <c r="C43" s="24">
        <f>'Financial Statements'!B68/'Financial Statements'!B27</f>
        <v>3.1248221274308534</v>
      </c>
      <c r="D43" s="24">
        <f>'Financial Statements'!C68/'Financial Statements'!C27</f>
        <v>3.7775565837141025</v>
      </c>
      <c r="E43" s="24">
        <f>'Financial Statements'!D68/'Financial Statements'!D27</f>
        <v>3.7654767120949324</v>
      </c>
    </row>
    <row r="44" spans="1:7" x14ac:dyDescent="0.25">
      <c r="A44" s="18">
        <f>+A43+0.1</f>
        <v>5.4999999999999982</v>
      </c>
      <c r="B44" s="1" t="s">
        <v>131</v>
      </c>
      <c r="C44" s="24">
        <f>C45/C41</f>
        <v>0.11048620622626575</v>
      </c>
      <c r="D44" s="24">
        <f t="shared" ref="D44:E44" si="3">D45/D41</f>
        <v>0.1525834419095902</v>
      </c>
      <c r="E44" s="24">
        <f t="shared" si="3"/>
        <v>0.7903675460277646</v>
      </c>
    </row>
    <row r="45" spans="1:7" x14ac:dyDescent="0.25">
      <c r="A45" s="18"/>
      <c r="B45" s="3" t="s">
        <v>132</v>
      </c>
      <c r="C45">
        <f>Instructions!C42</f>
        <v>0.68</v>
      </c>
      <c r="D45">
        <f>Instructions!C48</f>
        <v>0.86499999999999999</v>
      </c>
      <c r="E45">
        <f>Instructions!C55</f>
        <v>2.6149999999999998</v>
      </c>
    </row>
    <row r="46" spans="1:7" x14ac:dyDescent="0.25">
      <c r="A46" s="18">
        <f>+A44+0.1</f>
        <v>5.5999999999999979</v>
      </c>
      <c r="B46" s="1" t="s">
        <v>133</v>
      </c>
      <c r="C46" s="24">
        <f>(C45/Instructions!C33)*100</f>
        <v>0.49204052098408113</v>
      </c>
      <c r="D46" s="24">
        <f>(D45/Instructions!D33)*100</f>
        <v>0.61130742049469966</v>
      </c>
      <c r="E46" s="24">
        <f>(E45/Instructions!E33)*100</f>
        <v>2.3104788831949103</v>
      </c>
    </row>
    <row r="47" spans="1:7" x14ac:dyDescent="0.25">
      <c r="A47" s="18">
        <f>+A45+0.1</f>
        <v>0.1</v>
      </c>
      <c r="B47" s="1" t="s">
        <v>134</v>
      </c>
      <c r="C47" s="24">
        <f>('Financial Statements'!B22/'Financial Statements'!B68)*100</f>
        <v>196.95887275023682</v>
      </c>
      <c r="D47" s="24">
        <f>('Financial Statements'!C22/'Financial Statements'!C68)*100</f>
        <v>150.07132667617688</v>
      </c>
      <c r="E47" s="24">
        <f>('Financial Statements'!D22/'Financial Statements'!D68)*100</f>
        <v>87.866358530127485</v>
      </c>
    </row>
    <row r="48" spans="1:7" x14ac:dyDescent="0.25">
      <c r="A48" s="18">
        <f>+A46+0.1</f>
        <v>5.6999999999999975</v>
      </c>
      <c r="B48" s="1" t="s">
        <v>135</v>
      </c>
      <c r="C48" s="24">
        <f>('Financial Statements'!B20/'Financial Statements'!B63)*100</f>
        <v>59.9191037012069</v>
      </c>
      <c r="D48" s="24">
        <f>('Financial Statements'!C20/'Financial Statements'!C63)*100</f>
        <v>48.424315252238145</v>
      </c>
      <c r="E48" s="24">
        <f>('Financial Statements'!D20/'Financial Statements'!D63)*100</f>
        <v>30.705825278265962</v>
      </c>
    </row>
    <row r="49" spans="1:5" x14ac:dyDescent="0.25">
      <c r="A49" s="18">
        <f>+A47+0.1</f>
        <v>0.2</v>
      </c>
      <c r="B49" s="1" t="s">
        <v>125</v>
      </c>
      <c r="C49" s="24">
        <f>('Financial Statements'!B22/'Financial Statements'!B48)*100</f>
        <v>28.292440929256852</v>
      </c>
      <c r="D49" s="24">
        <f>('Financial Statements'!C22/'Financial Statements'!C48)*100</f>
        <v>26.974205275183614</v>
      </c>
      <c r="E49" s="24">
        <f>('Financial Statements'!D22/'Financial Statements'!D48)*100</f>
        <v>17.725571802598431</v>
      </c>
    </row>
    <row r="50" spans="1:5" x14ac:dyDescent="0.25">
      <c r="A50" s="18">
        <f>+A48+0.1</f>
        <v>5.7999999999999972</v>
      </c>
      <c r="B50" s="1" t="s">
        <v>136</v>
      </c>
      <c r="C50" s="27">
        <f>C51/'Financial Statements'!B18</f>
        <v>0.72381559047994259</v>
      </c>
      <c r="D50" s="27">
        <f>D51/'Financial Statements'!C18</f>
        <v>0.76905960843059284</v>
      </c>
      <c r="E50" s="27">
        <f>E51/'Financial Statements'!D18</f>
        <v>1.0474213514539223</v>
      </c>
    </row>
    <row r="51" spans="1:5" x14ac:dyDescent="0.25">
      <c r="A51" s="18"/>
      <c r="B51" s="3" t="s">
        <v>137</v>
      </c>
      <c r="C51" s="31">
        <f>'List of Ratios'!C35+'Financial Statements'!B55+'Financial Statements'!B59-'Financial Statements'!B36</f>
        <v>86450.362680152903</v>
      </c>
      <c r="D51" s="31">
        <f>'List of Ratios'!D35+'Financial Statements'!C55+'Financial Statements'!C59-'Financial Statements'!C36</f>
        <v>83788.275278904664</v>
      </c>
      <c r="E51" s="31">
        <f>'List of Ratios'!E35+'Financial Statements'!D55+'Financial Statements'!D59-'Financial Statements'!D36</f>
        <v>69431.466545177609</v>
      </c>
    </row>
  </sheetData>
  <mergeCells count="1">
    <mergeCell ref="C2:E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A37" sqref="A37"/>
    </sheetView>
  </sheetViews>
  <sheetFormatPr defaultRowHeight="15" x14ac:dyDescent="0.25"/>
  <cols>
    <col min="1" max="1" width="66.42578125" customWidth="1"/>
    <col min="2" max="2" width="13.28515625" bestFit="1" customWidth="1"/>
    <col min="3" max="3" width="11.5703125" bestFit="1" customWidth="1"/>
    <col min="4" max="4" width="9.5703125" bestFit="1" customWidth="1"/>
    <col min="5" max="5" width="13.28515625" bestFit="1" customWidth="1"/>
    <col min="6" max="6" width="11" customWidth="1"/>
    <col min="9" max="9" width="10.5703125" bestFit="1" customWidth="1"/>
  </cols>
  <sheetData>
    <row r="1" spans="1:4" x14ac:dyDescent="0.25">
      <c r="A1" s="17" t="s">
        <v>92</v>
      </c>
      <c r="B1" s="7">
        <v>2022</v>
      </c>
      <c r="C1" s="7">
        <v>2021</v>
      </c>
      <c r="D1" s="7">
        <v>2020</v>
      </c>
    </row>
    <row r="2" spans="1:4" x14ac:dyDescent="0.25">
      <c r="A2" s="1" t="s">
        <v>143</v>
      </c>
      <c r="B2" s="18">
        <f>('Financial Statements'!B12/'Financial Statements'!B8)*100</f>
        <v>56.690369438639912</v>
      </c>
      <c r="C2" s="18">
        <f>('Financial Statements'!C12/'Financial Statements'!C8)*100</f>
        <v>58.220640374832222</v>
      </c>
      <c r="D2" s="18">
        <f>('Financial Statements'!D12/'Financial Statements'!D8)*100</f>
        <v>61.76675227218913</v>
      </c>
    </row>
    <row r="3" spans="1:4" x14ac:dyDescent="0.25">
      <c r="A3" s="1" t="s">
        <v>89</v>
      </c>
      <c r="B3" s="18">
        <f>('Financial Statements'!B13/'Financial Statements'!B8)*100</f>
        <v>43.309630561360088</v>
      </c>
      <c r="C3" s="18">
        <f>('Financial Statements'!C13/'Financial Statements'!C8)*100</f>
        <v>41.779359625167778</v>
      </c>
      <c r="D3" s="18">
        <f>('Financial Statements'!D13/'Financial Statements'!D8)*100</f>
        <v>38.233247727810863</v>
      </c>
    </row>
    <row r="4" spans="1:4" x14ac:dyDescent="0.25">
      <c r="A4" s="1" t="s">
        <v>90</v>
      </c>
      <c r="B4" s="18">
        <f>('Financial Statements'!B17/'Financial Statements'!B8)*100</f>
        <v>13.020886165831492</v>
      </c>
      <c r="C4" s="18">
        <f>('Financial Statements'!C17/'Financial Statements'!C8)*100</f>
        <v>11.99698209760618</v>
      </c>
      <c r="D4" s="18">
        <f>('Financial Statements'!D17/'Financial Statements'!D8)*100</f>
        <v>14.085933373404004</v>
      </c>
    </row>
    <row r="5" spans="1:4" x14ac:dyDescent="0.25">
      <c r="A5" s="1" t="s">
        <v>14</v>
      </c>
      <c r="B5" s="18">
        <f>('Financial Statements'!B18/'Financial Statements'!B8)*100</f>
        <v>30.288744395528592</v>
      </c>
      <c r="C5" s="18">
        <f>('Financial Statements'!C18/'Financial Statements'!C8)*100</f>
        <v>29.782377527561593</v>
      </c>
      <c r="D5" s="18">
        <f>('Financial Statements'!D18/'Financial Statements'!D8)*100</f>
        <v>24.147314354406863</v>
      </c>
    </row>
    <row r="6" spans="1:4" x14ac:dyDescent="0.25">
      <c r="A6" s="1" t="s">
        <v>93</v>
      </c>
      <c r="B6" s="18">
        <f>('Financial Statements'!B22/'Financial Statements'!B8)*100</f>
        <v>25.309640705199733</v>
      </c>
      <c r="C6" s="18">
        <f>('Financial Statements'!C22/'Financial Statements'!C8)*100</f>
        <v>25.881793355694239</v>
      </c>
      <c r="D6" s="18">
        <f>('Financial Statements'!D22/'Financial Statements'!D8)*100</f>
        <v>20.913611278072235</v>
      </c>
    </row>
    <row r="7" spans="1:4" x14ac:dyDescent="0.25">
      <c r="A7" s="1"/>
      <c r="B7" s="18"/>
      <c r="C7" s="18"/>
      <c r="D7" s="18"/>
    </row>
    <row r="8" spans="1:4" x14ac:dyDescent="0.25">
      <c r="A8" s="17" t="s">
        <v>98</v>
      </c>
      <c r="B8" s="18"/>
      <c r="C8" s="18"/>
      <c r="D8" s="18"/>
    </row>
    <row r="9" spans="1:4" x14ac:dyDescent="0.25">
      <c r="A9" s="1" t="s">
        <v>94</v>
      </c>
      <c r="B9" s="18">
        <f>('Financial Statements'!B21/'Financial Statements'!B20)*100</f>
        <v>16.204461684424405</v>
      </c>
      <c r="C9" s="18">
        <f>('Financial Statements'!C21/'Financial Statements'!C20)*100</f>
        <v>13.302260844085087</v>
      </c>
      <c r="D9" s="18">
        <f>('Financial Statements'!D21/'Financial Statements'!D20)*100</f>
        <v>14.428164731484102</v>
      </c>
    </row>
    <row r="10" spans="1:4" x14ac:dyDescent="0.25">
      <c r="A10" s="1" t="s">
        <v>95</v>
      </c>
      <c r="B10" s="18">
        <f>(-'Financial Statements'!B96/'Financial Statements'!B8)*100</f>
        <v>2.715505873283155</v>
      </c>
      <c r="C10" s="18">
        <f>(-'Financial Statements'!C96/'Financial Statements'!C8)*100</f>
        <v>3.0302036264033658</v>
      </c>
      <c r="D10" s="18">
        <f>(-'Financial Statements'!D96/'Financial Statements'!D8)*100</f>
        <v>2.6625138881299746</v>
      </c>
    </row>
    <row r="11" spans="1:4" x14ac:dyDescent="0.25">
      <c r="A11" s="1" t="s">
        <v>96</v>
      </c>
      <c r="B11" s="18">
        <f>(-'Financial Statements'!B96/'Financial Statements'!B45)*100</f>
        <v>25.424412944891611</v>
      </c>
      <c r="C11" s="18">
        <f>(-'Financial Statements'!C96/'Financial Statements'!C45)*100</f>
        <v>28.105983772819471</v>
      </c>
      <c r="D11" s="18">
        <f>(-'Financial Statements'!D96/'Financial Statements'!D45)*100</f>
        <v>19.879780231735843</v>
      </c>
    </row>
    <row r="12" spans="1:4" x14ac:dyDescent="0.25">
      <c r="A12" s="1"/>
    </row>
    <row r="27" spans="2:9" hidden="1" x14ac:dyDescent="0.25"/>
    <row r="28" spans="2:9" hidden="1" x14ac:dyDescent="0.25">
      <c r="B28" s="31">
        <f>996800+425000</f>
        <v>1421800</v>
      </c>
    </row>
    <row r="29" spans="2:9" hidden="1" x14ac:dyDescent="0.25">
      <c r="B29" s="31">
        <v>4000000</v>
      </c>
      <c r="C29" s="27">
        <f>B29/2235</f>
        <v>1789.7091722595078</v>
      </c>
      <c r="D29" s="27">
        <f>C29-D33</f>
        <v>1605.3091722595077</v>
      </c>
      <c r="E29" s="27">
        <f>D29*2240</f>
        <v>3595892.5458612973</v>
      </c>
      <c r="F29">
        <f>636+1599.6</f>
        <v>2235.6</v>
      </c>
    </row>
    <row r="30" spans="2:9" hidden="1" x14ac:dyDescent="0.25">
      <c r="B30" s="43">
        <f>SUM(B28:B29)</f>
        <v>5421800</v>
      </c>
      <c r="C30" s="43">
        <f>B30/2240</f>
        <v>2420.4464285714284</v>
      </c>
      <c r="F30" s="27">
        <f>5*C30</f>
        <v>12102.232142857141</v>
      </c>
      <c r="I30" s="27"/>
    </row>
    <row r="31" spans="2:9" hidden="1" x14ac:dyDescent="0.25">
      <c r="C31" s="27">
        <f>C30-F29</f>
        <v>184.84642857142853</v>
      </c>
    </row>
    <row r="32" spans="2:9" hidden="1" x14ac:dyDescent="0.25"/>
    <row r="33" spans="4:5" hidden="1" x14ac:dyDescent="0.25">
      <c r="D33">
        <f>2420-2235.6</f>
        <v>184.40000000000009</v>
      </c>
      <c r="E33" s="31">
        <f>D33*2235</f>
        <v>412134.00000000017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abSelected="1" workbookViewId="0">
      <selection activeCell="A42" sqref="A42"/>
    </sheetView>
  </sheetViews>
  <sheetFormatPr defaultRowHeight="15" x14ac:dyDescent="0.25"/>
  <cols>
    <col min="1" max="1" width="168.28515625" customWidth="1"/>
  </cols>
  <sheetData>
    <row r="1" spans="1:1" ht="18.75" x14ac:dyDescent="0.3">
      <c r="A1" s="42" t="s">
        <v>174</v>
      </c>
    </row>
    <row r="2" spans="1:1" x14ac:dyDescent="0.25">
      <c r="A2" t="s">
        <v>175</v>
      </c>
    </row>
    <row r="4" spans="1:1" ht="18.75" x14ac:dyDescent="0.3">
      <c r="A4" s="42" t="s">
        <v>176</v>
      </c>
    </row>
    <row r="5" spans="1:1" x14ac:dyDescent="0.25">
      <c r="A5" t="s">
        <v>177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193</v>
      </c>
    </row>
    <row r="10" spans="1:1" ht="18.75" x14ac:dyDescent="0.3">
      <c r="A10" s="42" t="s">
        <v>178</v>
      </c>
    </row>
    <row r="11" spans="1:1" x14ac:dyDescent="0.25">
      <c r="A11" t="s">
        <v>179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ht="18.75" x14ac:dyDescent="0.3">
      <c r="A15" s="42" t="s">
        <v>180</v>
      </c>
    </row>
    <row r="16" spans="1:1" x14ac:dyDescent="0.25">
      <c r="A16" t="s">
        <v>181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ht="18.75" x14ac:dyDescent="0.3">
      <c r="A22" s="42" t="s">
        <v>182</v>
      </c>
    </row>
    <row r="23" spans="1:1" x14ac:dyDescent="0.25">
      <c r="A23" t="s">
        <v>183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ht="18.75" x14ac:dyDescent="0.3">
      <c r="A28" s="42" t="s">
        <v>184</v>
      </c>
    </row>
    <row r="29" spans="1:1" x14ac:dyDescent="0.25">
      <c r="A29" t="s">
        <v>185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7" spans="1:1" ht="18.75" x14ac:dyDescent="0.3">
      <c r="A37" s="42" t="s">
        <v>186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Financial Statements</vt:lpstr>
      <vt:lpstr>List of Ratios</vt:lpstr>
      <vt:lpstr>Margin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Adeboye Akinsola</cp:lastModifiedBy>
  <dcterms:created xsi:type="dcterms:W3CDTF">2020-05-18T16:32:37Z</dcterms:created>
  <dcterms:modified xsi:type="dcterms:W3CDTF">2024-11-04T19:18:01Z</dcterms:modified>
</cp:coreProperties>
</file>