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arinachancheva/Desktop/"/>
    </mc:Choice>
  </mc:AlternateContent>
  <xr:revisionPtr revIDLastSave="0" documentId="8_{2CF34FC8-E381-C843-A6B4-FDF6075492B8}" xr6:coauthVersionLast="47" xr6:coauthVersionMax="47" xr10:uidLastSave="{00000000-0000-0000-0000-000000000000}"/>
  <bookViews>
    <workbookView xWindow="20" yWindow="500" windowWidth="15080" windowHeight="16620" activeTab="2" xr2:uid="{00000000-000D-0000-FFFF-FFFF00000000}"/>
  </bookViews>
  <sheets>
    <sheet name="Instructions" sheetId="2" r:id="rId1"/>
    <sheet name="Financial Statements" sheetId="1" r:id="rId2"/>
    <sheet name="Additional Requirements" sheetId="4" r:id="rId3"/>
    <sheet name="List of Rati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4" l="1"/>
  <c r="D116" i="4"/>
  <c r="B116" i="4"/>
  <c r="B115" i="4"/>
  <c r="C115" i="4"/>
  <c r="D115" i="4"/>
  <c r="B7" i="4"/>
  <c r="B9" i="4"/>
  <c r="B10" i="4"/>
  <c r="B24" i="4" s="1"/>
  <c r="B15" i="4"/>
  <c r="B16" i="4" s="1"/>
  <c r="B25" i="4"/>
  <c r="B26" i="4" s="1"/>
  <c r="B45" i="4"/>
  <c r="B88" i="4" s="1"/>
  <c r="B54" i="4"/>
  <c r="B59" i="4"/>
  <c r="B69" i="4"/>
  <c r="B74" i="4"/>
  <c r="B82" i="4"/>
  <c r="B114" i="4"/>
  <c r="B126" i="4"/>
  <c r="C9" i="4"/>
  <c r="C7" i="4"/>
  <c r="D126" i="4"/>
  <c r="C126" i="4"/>
  <c r="D114" i="4"/>
  <c r="C114" i="4"/>
  <c r="D82" i="4"/>
  <c r="C82" i="4"/>
  <c r="D74" i="4"/>
  <c r="C74" i="4"/>
  <c r="D69" i="4"/>
  <c r="C69" i="4"/>
  <c r="D59" i="4"/>
  <c r="C59" i="4"/>
  <c r="D54" i="4"/>
  <c r="C54" i="4"/>
  <c r="D45" i="4"/>
  <c r="D88" i="4" s="1"/>
  <c r="C45" i="4"/>
  <c r="C88" i="4" s="1"/>
  <c r="D25" i="4"/>
  <c r="C25" i="4"/>
  <c r="D15" i="4"/>
  <c r="C15" i="4"/>
  <c r="D10" i="4"/>
  <c r="D24" i="4" s="1"/>
  <c r="C10" i="4"/>
  <c r="C22" i="4" s="1"/>
  <c r="D9" i="3"/>
  <c r="E9" i="3"/>
  <c r="C9" i="3"/>
  <c r="E57" i="3"/>
  <c r="D57" i="3"/>
  <c r="C57" i="3"/>
  <c r="C56" i="3" s="1"/>
  <c r="D54" i="3"/>
  <c r="E54" i="3"/>
  <c r="C54" i="3"/>
  <c r="D50" i="3"/>
  <c r="E50" i="3"/>
  <c r="C50" i="3"/>
  <c r="D45" i="3"/>
  <c r="D48" i="3" s="1"/>
  <c r="E45" i="3"/>
  <c r="E48" i="3" s="1"/>
  <c r="C45" i="3"/>
  <c r="C48" i="3" s="1"/>
  <c r="D43" i="3"/>
  <c r="E43" i="3"/>
  <c r="C43" i="3"/>
  <c r="D39" i="3"/>
  <c r="C39" i="3"/>
  <c r="D108" i="1"/>
  <c r="C108" i="1"/>
  <c r="B108" i="1"/>
  <c r="D99" i="1"/>
  <c r="C99" i="1"/>
  <c r="B99" i="1"/>
  <c r="B75" i="4" l="1"/>
  <c r="B17" i="4"/>
  <c r="B11" i="4"/>
  <c r="B22" i="4"/>
  <c r="B60" i="4"/>
  <c r="C26" i="4"/>
  <c r="B83" i="4"/>
  <c r="B28" i="4"/>
  <c r="B30" i="4" s="1"/>
  <c r="B32" i="4" s="1"/>
  <c r="B84" i="4"/>
  <c r="B27" i="4"/>
  <c r="D22" i="4"/>
  <c r="D26" i="4"/>
  <c r="C11" i="4"/>
  <c r="C83" i="4"/>
  <c r="C24" i="4"/>
  <c r="D16" i="4"/>
  <c r="C16" i="4"/>
  <c r="D17" i="4"/>
  <c r="D18" i="4" s="1"/>
  <c r="C17" i="4"/>
  <c r="C18" i="4" s="1"/>
  <c r="C27" i="4"/>
  <c r="C75" i="4"/>
  <c r="B76" i="4" s="1"/>
  <c r="D75" i="4"/>
  <c r="D84" i="4" s="1"/>
  <c r="D60" i="4"/>
  <c r="C60" i="4"/>
  <c r="E56" i="3"/>
  <c r="D56" i="3"/>
  <c r="D68" i="1"/>
  <c r="E47" i="3" s="1"/>
  <c r="E46" i="3" s="1"/>
  <c r="C68" i="1"/>
  <c r="D47" i="3" s="1"/>
  <c r="D46" i="3" s="1"/>
  <c r="B68" i="1"/>
  <c r="C47" i="3" s="1"/>
  <c r="C46" i="3" s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E10" i="3" s="1"/>
  <c r="E8" i="3" s="1"/>
  <c r="C17" i="1"/>
  <c r="D10" i="3" s="1"/>
  <c r="D8" i="3" s="1"/>
  <c r="B17" i="1"/>
  <c r="C10" i="3" s="1"/>
  <c r="C8" i="3" s="1"/>
  <c r="D12" i="1"/>
  <c r="C12" i="1"/>
  <c r="D38" i="3" s="1"/>
  <c r="B12" i="1"/>
  <c r="C38" i="3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61" i="4" l="1"/>
  <c r="B33" i="4"/>
  <c r="B18" i="4"/>
  <c r="B19" i="4"/>
  <c r="B34" i="4"/>
  <c r="B91" i="4"/>
  <c r="B106" i="4" s="1"/>
  <c r="B127" i="4" s="1"/>
  <c r="D28" i="4"/>
  <c r="D30" i="4" s="1"/>
  <c r="C84" i="4"/>
  <c r="C76" i="4"/>
  <c r="C61" i="4"/>
  <c r="C28" i="4"/>
  <c r="C30" i="4" s="1"/>
  <c r="C19" i="4"/>
  <c r="E12" i="3"/>
  <c r="E11" i="3"/>
  <c r="C7" i="3"/>
  <c r="C6" i="3"/>
  <c r="B48" i="1"/>
  <c r="C36" i="3" s="1"/>
  <c r="C5" i="3"/>
  <c r="C15" i="3"/>
  <c r="E7" i="3"/>
  <c r="E6" i="3"/>
  <c r="D13" i="1"/>
  <c r="E13" i="3"/>
  <c r="E14" i="3" s="1"/>
  <c r="E37" i="3"/>
  <c r="D5" i="3"/>
  <c r="D15" i="3"/>
  <c r="E5" i="3"/>
  <c r="E15" i="3"/>
  <c r="C13" i="3"/>
  <c r="C37" i="3"/>
  <c r="D6" i="3"/>
  <c r="D7" i="3"/>
  <c r="D13" i="3"/>
  <c r="D37" i="3"/>
  <c r="C11" i="3"/>
  <c r="C12" i="3"/>
  <c r="D12" i="3"/>
  <c r="D11" i="3"/>
  <c r="C62" i="1"/>
  <c r="B13" i="1"/>
  <c r="C13" i="1"/>
  <c r="B62" i="1"/>
  <c r="B69" i="1" s="1"/>
  <c r="C48" i="1"/>
  <c r="D36" i="3" s="1"/>
  <c r="D62" i="1"/>
  <c r="D48" i="1"/>
  <c r="E36" i="3" s="1"/>
  <c r="A51" i="3"/>
  <c r="A53" i="3" s="1"/>
  <c r="A18" i="3"/>
  <c r="A19" i="3" s="1"/>
  <c r="A20" i="3" s="1"/>
  <c r="A22" i="3" s="1"/>
  <c r="A24" i="3" s="1"/>
  <c r="A5" i="3"/>
  <c r="A6" i="3" s="1"/>
  <c r="A7" i="3" s="1"/>
  <c r="A8" i="3" s="1"/>
  <c r="A11" i="3" s="1"/>
  <c r="A12" i="3" s="1"/>
  <c r="A13" i="3" s="1"/>
  <c r="A14" i="3" s="1"/>
  <c r="A15" i="3" s="1"/>
  <c r="D33" i="4" l="1"/>
  <c r="D91" i="4" s="1"/>
  <c r="D106" i="4" s="1"/>
  <c r="D127" i="4" s="1"/>
  <c r="D32" i="4"/>
  <c r="C33" i="4"/>
  <c r="C91" i="4" s="1"/>
  <c r="C106" i="4" s="1"/>
  <c r="C127" i="4" s="1"/>
  <c r="C32" i="4"/>
  <c r="C14" i="3"/>
  <c r="C69" i="1"/>
  <c r="D27" i="3"/>
  <c r="D29" i="3"/>
  <c r="D28" i="3"/>
  <c r="D69" i="1"/>
  <c r="E27" i="3"/>
  <c r="E29" i="3"/>
  <c r="E28" i="3"/>
  <c r="C27" i="3"/>
  <c r="C29" i="3"/>
  <c r="C28" i="3"/>
  <c r="C18" i="1"/>
  <c r="D19" i="3"/>
  <c r="D18" i="1"/>
  <c r="E19" i="3"/>
  <c r="B18" i="1"/>
  <c r="C19" i="3"/>
  <c r="D14" i="3"/>
  <c r="A26" i="3"/>
  <c r="A27" i="3" s="1"/>
  <c r="A28" i="3" s="1"/>
  <c r="A29" i="3" s="1"/>
  <c r="A30" i="3" s="1"/>
  <c r="A31" i="3" s="1"/>
  <c r="A32" i="3" s="1"/>
  <c r="D34" i="4" l="1"/>
  <c r="C34" i="4"/>
  <c r="B20" i="1"/>
  <c r="B22" i="1" s="1"/>
  <c r="C23" i="3"/>
  <c r="C22" i="3" s="1"/>
  <c r="C30" i="3"/>
  <c r="C21" i="3"/>
  <c r="C52" i="3"/>
  <c r="D20" i="1"/>
  <c r="D22" i="1" s="1"/>
  <c r="E30" i="3"/>
  <c r="E21" i="3"/>
  <c r="E52" i="3"/>
  <c r="E23" i="3"/>
  <c r="E22" i="3" s="1"/>
  <c r="C20" i="1"/>
  <c r="C22" i="1" s="1"/>
  <c r="D21" i="3"/>
  <c r="D52" i="3"/>
  <c r="D23" i="3"/>
  <c r="D22" i="3" s="1"/>
  <c r="D30" i="3"/>
  <c r="A35" i="3"/>
  <c r="A42" i="3" s="1"/>
  <c r="A43" i="3" s="1"/>
  <c r="A45" i="3" s="1"/>
  <c r="A46" i="3" s="1"/>
  <c r="A47" i="3" s="1"/>
  <c r="A48" i="3" s="1"/>
  <c r="A50" i="3" s="1"/>
  <c r="A52" i="3" s="1"/>
  <c r="A55" i="3" s="1"/>
  <c r="C76" i="1" l="1"/>
  <c r="C91" i="1" s="1"/>
  <c r="D53" i="3"/>
  <c r="D24" i="3"/>
  <c r="D51" i="3"/>
  <c r="D40" i="3"/>
  <c r="D76" i="1"/>
  <c r="D91" i="1" s="1"/>
  <c r="E53" i="3"/>
  <c r="E24" i="3"/>
  <c r="E51" i="3"/>
  <c r="E40" i="3"/>
  <c r="D20" i="3"/>
  <c r="D55" i="3"/>
  <c r="C20" i="3"/>
  <c r="C55" i="3"/>
  <c r="E20" i="3"/>
  <c r="E55" i="3"/>
  <c r="B76" i="1"/>
  <c r="B91" i="1" s="1"/>
  <c r="C53" i="3"/>
  <c r="C24" i="3"/>
  <c r="C40" i="3"/>
  <c r="C51" i="3"/>
  <c r="A36" i="3"/>
  <c r="A37" i="3" s="1"/>
  <c r="A38" i="3" s="1"/>
  <c r="A40" i="3" s="1"/>
  <c r="D109" i="1" l="1"/>
  <c r="E33" i="3"/>
  <c r="E32" i="3" s="1"/>
  <c r="E31" i="3"/>
  <c r="B109" i="1"/>
  <c r="C33" i="3"/>
  <c r="C32" i="3" s="1"/>
  <c r="C31" i="3"/>
  <c r="C109" i="1"/>
  <c r="D33" i="3"/>
  <c r="D32" i="3" s="1"/>
  <c r="D31" i="3"/>
</calcChain>
</file>

<file path=xl/sharedStrings.xml><?xml version="1.0" encoding="utf-8"?>
<sst xmlns="http://schemas.openxmlformats.org/spreadsheetml/2006/main" count="358" uniqueCount="213">
  <si>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</si>
  <si>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</si>
  <si>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</si>
  <si>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</si>
  <si>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</si>
  <si>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</si>
  <si>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</si>
  <si>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</si>
  <si>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</si>
  <si>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</si>
  <si>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</si>
  <si>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</si>
  <si>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</si>
  <si>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</si>
  <si>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</si>
  <si>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</si>
  <si>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</si>
  <si>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</si>
  <si>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</si>
  <si>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</si>
  <si>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</si>
  <si>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</si>
  <si>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</si>
  <si>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</si>
  <si>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</si>
  <si>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</si>
  <si>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</si>
  <si>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</si>
  <si>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</si>
  <si>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</si>
  <si>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</si>
  <si>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</si>
  <si>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</si>
  <si>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</si>
  <si>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</si>
  <si>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</si>
  <si>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</si>
  <si>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</si>
  <si>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</si>
  <si>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</si>
  <si>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</si>
  <si>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</si>
  <si>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</si>
  <si>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</si>
  <si>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</si>
  <si>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</si>
  <si>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</si>
  <si>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</si>
  <si>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</si>
  <si>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</si>
  <si>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</si>
  <si>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</si>
  <si>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</si>
  <si>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</si>
  <si>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</si>
  <si>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</si>
  <si>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</si>
  <si>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</si>
  <si>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</si>
  <si>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</si>
  <si>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</si>
  <si>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</si>
  <si>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</si>
  <si>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</si>
  <si>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</si>
  <si>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</si>
  <si>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</si>
  <si>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</si>
  <si>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</si>
  <si>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</si>
  <si>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</si>
  <si>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</si>
  <si>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</si>
  <si>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</si>
  <si>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</si>
  <si>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</si>
  <si>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</si>
  <si>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</si>
  <si>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</si>
  <si>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</si>
  <si>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</si>
  <si>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</si>
  <si>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</si>
  <si>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</si>
  <si>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</si>
  <si>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</si>
  <si>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</si>
  <si>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</si>
  <si>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</si>
  <si>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</si>
  <si>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</si>
  <si>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</si>
  <si>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</si>
  <si>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</si>
  <si>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</si>
  <si>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</si>
  <si>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</si>
  <si>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</si>
  <si>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</si>
  <si>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</si>
  <si>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</si>
  <si>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</si>
  <si>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</si>
  <si>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</si>
  <si>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</si>
  <si>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</si>
  <si>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</si>
  <si>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</si>
  <si>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</si>
  <si>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</si>
  <si>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</si>
  <si>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</si>
  <si>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</si>
  <si>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</si>
  <si>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</si>
  <si>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</si>
  <si>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</si>
  <si>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</si>
  <si>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</si>
  <si>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</si>
  <si>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</si>
  <si>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</si>
  <si>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</si>
  <si>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</si>
  <si>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</si>
  <si>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</si>
  <si>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</si>
  <si>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</si>
  <si>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</si>
  <si>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</si>
  <si>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</si>
  <si>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</si>
  <si>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</si>
  <si>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</si>
  <si>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</si>
  <si>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</si>
  <si>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</si>
  <si>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</si>
  <si>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</si>
  <si>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</si>
  <si>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</si>
  <si>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</si>
  <si>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</si>
  <si>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</si>
  <si>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</si>
  <si>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</si>
  <si>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</si>
  <si>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</si>
  <si>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</si>
  <si>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Formula</t>
  </si>
  <si>
    <t>Current Assets/Current Liabilities</t>
  </si>
  <si>
    <t>days</t>
  </si>
  <si>
    <t>Inventories/Cost of Sales × 365</t>
  </si>
  <si>
    <t>Accounts Payable/Cost of Sales x 365</t>
  </si>
  <si>
    <t>Account Receivables/Total Revenue(Net Profit) x 365</t>
  </si>
  <si>
    <t>Receivables Days + Inventory Days - Payable Days</t>
  </si>
  <si>
    <t>(Current Assets - Current Liabilities)/Total Revenue x 100</t>
  </si>
  <si>
    <t>%</t>
  </si>
  <si>
    <t>(Cash+Marketable Securities+Receivables​)/Current Liabilities</t>
  </si>
  <si>
    <t>(Cash &amp; Cash Equivalents)/Current Liabilities</t>
  </si>
  <si>
    <t>Gross Profit/Total Net Sales x 100</t>
  </si>
  <si>
    <t>Operating Income + Depreciatrion and Amortization</t>
  </si>
  <si>
    <t>EBITBA/Total Net Sales x 100</t>
  </si>
  <si>
    <t>EBIT/Total Net Sales x 100</t>
  </si>
  <si>
    <t>Operating Income</t>
  </si>
  <si>
    <t>Net Income/Total Net Sales x 100</t>
  </si>
  <si>
    <t>Total Liabilities/Total Sharesholder's Equity</t>
  </si>
  <si>
    <t>Total Liabilities/Total Assets x 100</t>
  </si>
  <si>
    <t>Long-term Debt/(Total Liabilities + Sharesholder's Equity) x 100</t>
  </si>
  <si>
    <t>EBIT/Interest Expense</t>
  </si>
  <si>
    <t>Operating Cash Flow/Total Debt</t>
  </si>
  <si>
    <t>(Operating Cash Flow - Capital Expenditures )/Shares Outstanding</t>
  </si>
  <si>
    <t>why multiiply by 1000</t>
  </si>
  <si>
    <t>Total Net Sales/Total Assets</t>
  </si>
  <si>
    <t>Total Net Sales/Net Property, Plant, and Equipment</t>
  </si>
  <si>
    <t>Cost of Sales/Average Inventory</t>
  </si>
  <si>
    <t>Average Inventory</t>
  </si>
  <si>
    <t>(Inventory Year T + Inventory Year T - 1)/2</t>
  </si>
  <si>
    <t>Net Income/Total Assets x 100</t>
  </si>
  <si>
    <t>Market Price per Share/Earnings per Share (EPS)</t>
  </si>
  <si>
    <t>Market Price per Share from Bloomberg</t>
  </si>
  <si>
    <t>USD (as at 1st of Jan of each year)</t>
  </si>
  <si>
    <t>Market Price per Share/Book Value per Share</t>
  </si>
  <si>
    <t>Shareholder's Equity/Outstading Shares</t>
  </si>
  <si>
    <t>Dividends per Share/Earnings per Share (EPS) x100</t>
  </si>
  <si>
    <t>Dividends per Share/Market Price per Share x 100</t>
  </si>
  <si>
    <t>Net Income/Total Shareholder's Equity x100</t>
  </si>
  <si>
    <t>EBIT/Total Assets - Current Liabilities x 100</t>
  </si>
  <si>
    <t>Enterprice Value/EBITBA</t>
  </si>
  <si>
    <t>Market Cap</t>
  </si>
  <si>
    <t>Market Price per Share x Outstanding Shares</t>
  </si>
  <si>
    <t>Total Debt</t>
  </si>
  <si>
    <t>Short-term + Long-term debt</t>
  </si>
  <si>
    <t>Market Cap + Total Debt - Cash and Cash Eq</t>
  </si>
  <si>
    <t>Liquid Assets</t>
  </si>
  <si>
    <t>Average Daily Expenditures</t>
  </si>
  <si>
    <t>Cash and Cash Eq + Marketable Securities</t>
  </si>
  <si>
    <t>Total Operating Expenses/365</t>
  </si>
  <si>
    <t>Total Liquid Assets/Average Daily Expenditures</t>
  </si>
  <si>
    <t>Total net sales growth</t>
  </si>
  <si>
    <t>Gross margin growth</t>
  </si>
  <si>
    <t>Total operating expenses growth</t>
  </si>
  <si>
    <t>Services growth</t>
  </si>
  <si>
    <t>Products growth</t>
  </si>
  <si>
    <t>Total assets growth</t>
  </si>
  <si>
    <t>Total liabilities growth</t>
  </si>
  <si>
    <t>Total shareholder's equity growth</t>
  </si>
  <si>
    <t>COGS margin</t>
  </si>
  <si>
    <t>Gross profit margin</t>
  </si>
  <si>
    <t>Total operating expenses margin</t>
  </si>
  <si>
    <t>Research and development margin</t>
  </si>
  <si>
    <t>Selling, general and administrative margin</t>
  </si>
  <si>
    <t>Net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</si>
</sst>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9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2" fillId="0" borderId="1" xfId="0" applyFont="1" applyFill="1" applyBorder="1"/>
    <xf numFmtId="164" fontId="2" fillId="0" borderId="1" xfId="1" applyNumberFormat="1" applyFont="1" applyFill="1" applyBorder="1"/>
    <xf numFmtId="0" fontId="3" fillId="0" borderId="0" xfId="0" applyFont="1"/>
    <xf numFmtId="0" fontId="8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left" indent="1"/>
    </xf>
    <xf numFmtId="43" fontId="9" fillId="0" borderId="0" xfId="1" applyFont="1"/>
    <xf numFmtId="0" fontId="9" fillId="0" borderId="0" xfId="0" applyFont="1"/>
    <xf numFmtId="43" fontId="0" fillId="0" borderId="0" xfId="1" applyFont="1"/>
    <xf numFmtId="37" fontId="9" fillId="0" borderId="0" xfId="1" applyNumberFormat="1" applyFont="1"/>
    <xf numFmtId="0" fontId="2" fillId="0" borderId="0" xfId="0" applyFont="1" applyBorder="1"/>
    <xf numFmtId="164" fontId="2" fillId="0" borderId="0" xfId="1" applyNumberFormat="1" applyFont="1" applyBorder="1"/>
    <xf numFmtId="0" fontId="10" fillId="0" borderId="0" xfId="0" applyFont="1" applyBorder="1" applyAlignment="1">
      <alignment horizontal="left" indent="3"/>
    </xf>
    <xf numFmtId="169" fontId="10" fillId="0" borderId="0" xfId="1" applyNumberFormat="1" applyFont="1" applyBorder="1" applyAlignment="1">
      <alignment horizontal="left" indent="3"/>
    </xf>
    <xf numFmtId="164" fontId="11" fillId="0" borderId="0" xfId="1" applyNumberFormat="1" applyFont="1" applyAlignment="1">
      <alignment horizontal="left" indent="3"/>
    </xf>
    <xf numFmtId="0" fontId="11" fillId="0" borderId="0" xfId="0" applyFont="1" applyAlignment="1">
      <alignment horizontal="left" indent="3"/>
    </xf>
    <xf numFmtId="0" fontId="10" fillId="0" borderId="4" xfId="0" applyFont="1" applyBorder="1" applyAlignment="1">
      <alignment horizontal="left" indent="3"/>
    </xf>
    <xf numFmtId="169" fontId="10" fillId="0" borderId="4" xfId="1" applyNumberFormat="1" applyFont="1" applyBorder="1" applyAlignment="1">
      <alignment horizontal="left" indent="3"/>
    </xf>
    <xf numFmtId="164" fontId="11" fillId="0" borderId="4" xfId="1" applyNumberFormat="1" applyFont="1" applyBorder="1" applyAlignment="1">
      <alignment horizontal="left" indent="3"/>
    </xf>
    <xf numFmtId="0" fontId="10" fillId="0" borderId="5" xfId="0" applyFont="1" applyBorder="1" applyAlignment="1">
      <alignment horizontal="left" indent="3"/>
    </xf>
    <xf numFmtId="169" fontId="10" fillId="0" borderId="5" xfId="1" applyNumberFormat="1" applyFont="1" applyBorder="1" applyAlignment="1">
      <alignment horizontal="left" indent="3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0" zoomScale="156" workbookViewId="0">
      <selection activeCell="A21" sqref="A21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4"/>
  <sheetViews>
    <sheetView topLeftCell="A62" workbookViewId="0">
      <selection activeCell="B96" sqref="B9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7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</row>
    <row r="2" spans="1:7" x14ac:dyDescent="0.2">
      <c r="A2" s="24" t="s">
        <v>1</v>
      </c>
      <c r="B2" s="24"/>
      <c r="C2" s="24"/>
      <c r="D2" s="24"/>
    </row>
    <row r="3" spans="1:7" x14ac:dyDescent="0.2">
      <c r="B3" s="23" t="s">
        <v>23</v>
      </c>
      <c r="C3" s="23"/>
      <c r="D3" s="23"/>
    </row>
    <row r="4" spans="1:7" x14ac:dyDescent="0.2">
      <c r="B4" s="7">
        <v>2022</v>
      </c>
      <c r="C4" s="7">
        <v>2021</v>
      </c>
      <c r="D4" s="7">
        <v>2020</v>
      </c>
    </row>
    <row r="5" spans="1:7" x14ac:dyDescent="0.2">
      <c r="A5" t="s">
        <v>3</v>
      </c>
    </row>
    <row r="6" spans="1:7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7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7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7" x14ac:dyDescent="0.2">
      <c r="A9" t="s">
        <v>7</v>
      </c>
      <c r="B9" s="12"/>
      <c r="C9" s="12"/>
      <c r="D9" s="12"/>
    </row>
    <row r="10" spans="1:7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7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7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7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7" x14ac:dyDescent="0.2">
      <c r="A14" t="s">
        <v>10</v>
      </c>
      <c r="B14" s="12"/>
      <c r="C14" s="12"/>
      <c r="D14" s="12"/>
    </row>
    <row r="15" spans="1:7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7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141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25" t="s">
        <v>26</v>
      </c>
      <c r="B36" s="26">
        <v>23646</v>
      </c>
      <c r="C36" s="26">
        <v>34940</v>
      </c>
      <c r="D36" s="26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27" t="s">
        <v>40</v>
      </c>
      <c r="B56" s="28">
        <f>+SUM(B51:B55)</f>
        <v>153982</v>
      </c>
      <c r="C56" s="28">
        <f t="shared" ref="C56:D56" si="12">+SUM(C51:C55)</f>
        <v>125481</v>
      </c>
      <c r="D56" s="28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81C0-F692-554D-AC50-3AFFD8218E41}">
  <dimension ref="A1:G136"/>
  <sheetViews>
    <sheetView tabSelected="1" workbookViewId="0">
      <selection activeCell="C11" sqref="C11"/>
    </sheetView>
  </sheetViews>
  <sheetFormatPr baseColWidth="10" defaultColWidth="8.83203125" defaultRowHeight="15" x14ac:dyDescent="0.2"/>
  <cols>
    <col min="1" max="1" width="45" customWidth="1"/>
    <col min="2" max="2" width="11.83203125" bestFit="1" customWidth="1"/>
    <col min="3" max="3" width="11.5" bestFit="1" customWidth="1"/>
    <col min="4" max="4" width="11.6640625" bestFit="1" customWidth="1"/>
  </cols>
  <sheetData>
    <row r="1" spans="1:7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</row>
    <row r="2" spans="1:7" x14ac:dyDescent="0.2">
      <c r="A2" s="24" t="s">
        <v>1</v>
      </c>
      <c r="B2" s="24"/>
      <c r="C2" s="24"/>
      <c r="D2" s="24"/>
    </row>
    <row r="3" spans="1:7" x14ac:dyDescent="0.2">
      <c r="B3" s="23" t="s">
        <v>23</v>
      </c>
      <c r="C3" s="23"/>
      <c r="D3" s="23"/>
    </row>
    <row r="4" spans="1:7" x14ac:dyDescent="0.2">
      <c r="B4" s="7">
        <v>2022</v>
      </c>
      <c r="C4" s="7">
        <v>2021</v>
      </c>
      <c r="D4" s="7">
        <v>2020</v>
      </c>
    </row>
    <row r="5" spans="1:7" x14ac:dyDescent="0.2">
      <c r="A5" t="s">
        <v>3</v>
      </c>
    </row>
    <row r="6" spans="1:7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7" s="42" customFormat="1" x14ac:dyDescent="0.2">
      <c r="A7" s="39" t="s">
        <v>203</v>
      </c>
      <c r="B7" s="40">
        <f>(B6-C6)/C6*100</f>
        <v>6.3239764351428418</v>
      </c>
      <c r="C7" s="40">
        <f>(C6-D6)/D6*100</f>
        <v>34.720743656765436</v>
      </c>
      <c r="D7" s="41"/>
    </row>
    <row r="8" spans="1:7" x14ac:dyDescent="0.2">
      <c r="A8" s="1" t="s">
        <v>5</v>
      </c>
      <c r="B8" s="12">
        <v>78129</v>
      </c>
      <c r="C8" s="12">
        <v>68425</v>
      </c>
      <c r="D8" s="12">
        <v>53768</v>
      </c>
    </row>
    <row r="9" spans="1:7" s="42" customFormat="1" x14ac:dyDescent="0.2">
      <c r="A9" s="39" t="s">
        <v>202</v>
      </c>
      <c r="B9" s="40">
        <f>(B8-C8)/C8*100</f>
        <v>14.181951041286078</v>
      </c>
      <c r="C9" s="40">
        <f>(C8-D8)/D8*100</f>
        <v>27.259708376729652</v>
      </c>
      <c r="D9" s="41"/>
    </row>
    <row r="10" spans="1:7" x14ac:dyDescent="0.2">
      <c r="A10" s="8" t="s">
        <v>6</v>
      </c>
      <c r="B10" s="13">
        <f>+B6+B8</f>
        <v>394328</v>
      </c>
      <c r="C10" s="13">
        <f t="shared" ref="C10:D10" si="0">+C6+C8</f>
        <v>365817</v>
      </c>
      <c r="D10" s="13">
        <f t="shared" si="0"/>
        <v>274515</v>
      </c>
    </row>
    <row r="11" spans="1:7" s="42" customFormat="1" x14ac:dyDescent="0.2">
      <c r="A11" s="39" t="s">
        <v>199</v>
      </c>
      <c r="B11" s="40">
        <f>(B10-C10)/C10*100</f>
        <v>7.7937876041846055</v>
      </c>
      <c r="C11" s="40">
        <f t="shared" ref="C11" si="1">(C10-D10)/D10*100</f>
        <v>33.25938473307469</v>
      </c>
      <c r="D11" s="41"/>
    </row>
    <row r="12" spans="1:7" x14ac:dyDescent="0.2">
      <c r="A12" t="s">
        <v>7</v>
      </c>
      <c r="B12" s="12"/>
      <c r="C12" s="12"/>
      <c r="D12" s="12"/>
    </row>
    <row r="13" spans="1:7" x14ac:dyDescent="0.2">
      <c r="A13" s="1" t="s">
        <v>4</v>
      </c>
      <c r="B13" s="12">
        <v>201471</v>
      </c>
      <c r="C13" s="12">
        <v>192266</v>
      </c>
      <c r="D13" s="12">
        <v>151286</v>
      </c>
    </row>
    <row r="14" spans="1:7" x14ac:dyDescent="0.2">
      <c r="A14" s="1" t="s">
        <v>5</v>
      </c>
      <c r="B14" s="12">
        <v>22075</v>
      </c>
      <c r="C14" s="12">
        <v>20715</v>
      </c>
      <c r="D14" s="12">
        <v>18273</v>
      </c>
    </row>
    <row r="15" spans="1:7" x14ac:dyDescent="0.2">
      <c r="A15" s="8" t="s">
        <v>8</v>
      </c>
      <c r="B15" s="13">
        <f>+B13+B14</f>
        <v>223546</v>
      </c>
      <c r="C15" s="13">
        <f t="shared" ref="C15:D15" si="2">+C13+C14</f>
        <v>212981</v>
      </c>
      <c r="D15" s="13">
        <f t="shared" si="2"/>
        <v>169559</v>
      </c>
    </row>
    <row r="16" spans="1:7" s="42" customFormat="1" x14ac:dyDescent="0.2">
      <c r="A16" s="39" t="s">
        <v>207</v>
      </c>
      <c r="B16" s="40">
        <f>B15/B10*100</f>
        <v>56.690369438639912</v>
      </c>
      <c r="C16" s="40">
        <f>C15/C10*100</f>
        <v>58.220640374832222</v>
      </c>
      <c r="D16" s="40">
        <f>D15/D10*100</f>
        <v>61.76675227218913</v>
      </c>
    </row>
    <row r="17" spans="1:4" x14ac:dyDescent="0.2">
      <c r="A17" s="8" t="s">
        <v>9</v>
      </c>
      <c r="B17" s="13">
        <f>+B10-B15</f>
        <v>170782</v>
      </c>
      <c r="C17" s="13">
        <f t="shared" ref="C17:D17" si="3">+C10-C15</f>
        <v>152836</v>
      </c>
      <c r="D17" s="13">
        <f t="shared" si="3"/>
        <v>104956</v>
      </c>
    </row>
    <row r="18" spans="1:4" s="42" customFormat="1" x14ac:dyDescent="0.2">
      <c r="A18" s="39" t="s">
        <v>208</v>
      </c>
      <c r="B18" s="40">
        <f>B17/B10*100</f>
        <v>43.309630561360088</v>
      </c>
      <c r="C18" s="40">
        <f t="shared" ref="C18:D18" si="4">C17/C10*100</f>
        <v>41.779359625167778</v>
      </c>
      <c r="D18" s="40">
        <f t="shared" si="4"/>
        <v>38.233247727810863</v>
      </c>
    </row>
    <row r="19" spans="1:4" s="42" customFormat="1" x14ac:dyDescent="0.2">
      <c r="A19" s="39" t="s">
        <v>200</v>
      </c>
      <c r="B19" s="40">
        <f>(B17-C17)/C17*100</f>
        <v>11.741997958596142</v>
      </c>
      <c r="C19" s="40">
        <f>(C17-D17)/D17*100</f>
        <v>45.61911658218682</v>
      </c>
      <c r="D19" s="41"/>
    </row>
    <row r="20" spans="1:4" x14ac:dyDescent="0.2">
      <c r="A20" t="s">
        <v>10</v>
      </c>
      <c r="B20" s="12"/>
      <c r="C20" s="12"/>
      <c r="D20" s="12"/>
    </row>
    <row r="21" spans="1:4" x14ac:dyDescent="0.2">
      <c r="A21" s="1" t="s">
        <v>11</v>
      </c>
      <c r="B21" s="12">
        <v>26251</v>
      </c>
      <c r="C21" s="12">
        <v>21914</v>
      </c>
      <c r="D21" s="12">
        <v>18752</v>
      </c>
    </row>
    <row r="22" spans="1:4" s="42" customFormat="1" x14ac:dyDescent="0.2">
      <c r="A22" s="39" t="s">
        <v>210</v>
      </c>
      <c r="B22" s="40">
        <f>B21/B10*100</f>
        <v>6.6571483637986653</v>
      </c>
      <c r="C22" s="40">
        <f t="shared" ref="C22:D22" si="5">C21/C10*100</f>
        <v>5.9904269074427923</v>
      </c>
      <c r="D22" s="40">
        <f t="shared" si="5"/>
        <v>6.8309564140393064</v>
      </c>
    </row>
    <row r="23" spans="1:4" x14ac:dyDescent="0.2">
      <c r="A23" s="1" t="s">
        <v>12</v>
      </c>
      <c r="B23" s="12">
        <v>25094</v>
      </c>
      <c r="C23" s="12">
        <v>21973</v>
      </c>
      <c r="D23" s="12">
        <v>19916</v>
      </c>
    </row>
    <row r="24" spans="1:4" s="42" customFormat="1" x14ac:dyDescent="0.2">
      <c r="A24" s="39" t="s">
        <v>211</v>
      </c>
      <c r="B24" s="40">
        <f>B23/B10*100</f>
        <v>6.3637378020328264</v>
      </c>
      <c r="C24" s="40">
        <f>C23/C10*100</f>
        <v>6.0065551901633878</v>
      </c>
      <c r="D24" s="40">
        <f>D23/D10*100</f>
        <v>7.254976959364698</v>
      </c>
    </row>
    <row r="25" spans="1:4" x14ac:dyDescent="0.2">
      <c r="A25" s="8" t="s">
        <v>13</v>
      </c>
      <c r="B25" s="13">
        <f>+B21+B23</f>
        <v>51345</v>
      </c>
      <c r="C25" s="13">
        <f t="shared" ref="C25:D25" si="6">+C21+C23</f>
        <v>43887</v>
      </c>
      <c r="D25" s="13">
        <f t="shared" si="6"/>
        <v>38668</v>
      </c>
    </row>
    <row r="26" spans="1:4" s="42" customFormat="1" x14ac:dyDescent="0.2">
      <c r="A26" s="39" t="s">
        <v>209</v>
      </c>
      <c r="B26" s="40">
        <f>B25/B10*100</f>
        <v>13.020886165831492</v>
      </c>
      <c r="C26" s="40">
        <f t="shared" ref="C26:D26" si="7">C25/C10*100</f>
        <v>11.99698209760618</v>
      </c>
      <c r="D26" s="40">
        <f t="shared" si="7"/>
        <v>14.085933373404004</v>
      </c>
    </row>
    <row r="27" spans="1:4" s="42" customFormat="1" x14ac:dyDescent="0.2">
      <c r="A27" s="39" t="s">
        <v>201</v>
      </c>
      <c r="B27" s="40">
        <f>(B25-C25)/C25*100</f>
        <v>16.993642764372137</v>
      </c>
      <c r="C27" s="40">
        <f t="shared" ref="C27" si="8">(C25-D25)/D25*100</f>
        <v>13.496948381090307</v>
      </c>
      <c r="D27" s="41"/>
    </row>
    <row r="28" spans="1:4" s="7" customFormat="1" x14ac:dyDescent="0.2">
      <c r="A28" s="8" t="s">
        <v>14</v>
      </c>
      <c r="B28" s="13">
        <f>+B17-B25</f>
        <v>119437</v>
      </c>
      <c r="C28" s="13">
        <f>+C17-C25</f>
        <v>108949</v>
      </c>
      <c r="D28" s="13">
        <f>+D17-D25</f>
        <v>66288</v>
      </c>
    </row>
    <row r="29" spans="1:4" x14ac:dyDescent="0.2">
      <c r="A29" t="s">
        <v>15</v>
      </c>
      <c r="B29" s="12">
        <v>-334</v>
      </c>
      <c r="C29" s="12">
        <v>258</v>
      </c>
      <c r="D29" s="12">
        <v>803</v>
      </c>
    </row>
    <row r="30" spans="1:4" x14ac:dyDescent="0.2">
      <c r="A30" s="8" t="s">
        <v>16</v>
      </c>
      <c r="B30" s="13">
        <f>+B28+B29</f>
        <v>119103</v>
      </c>
      <c r="C30" s="13">
        <f t="shared" ref="C30:D30" si="9">+C28+C29</f>
        <v>109207</v>
      </c>
      <c r="D30" s="13">
        <f t="shared" si="9"/>
        <v>67091</v>
      </c>
    </row>
    <row r="31" spans="1:4" x14ac:dyDescent="0.2">
      <c r="A31" t="s">
        <v>17</v>
      </c>
      <c r="B31" s="12">
        <v>19300</v>
      </c>
      <c r="C31" s="12">
        <v>14527</v>
      </c>
      <c r="D31" s="12">
        <v>9680</v>
      </c>
    </row>
    <row r="32" spans="1:4" s="42" customFormat="1" x14ac:dyDescent="0.2">
      <c r="A32" s="46" t="s">
        <v>94</v>
      </c>
      <c r="B32" s="47">
        <f>B31/B30*100</f>
        <v>16.204461684424405</v>
      </c>
      <c r="C32" s="47">
        <f t="shared" ref="C32:D32" si="10">C31/C30*100</f>
        <v>13.302260844085087</v>
      </c>
      <c r="D32" s="47">
        <f t="shared" si="10"/>
        <v>14.428164731484102</v>
      </c>
    </row>
    <row r="33" spans="1:4" x14ac:dyDescent="0.2">
      <c r="A33" s="37" t="s">
        <v>18</v>
      </c>
      <c r="B33" s="38">
        <f>+B30-B31</f>
        <v>99803</v>
      </c>
      <c r="C33" s="38">
        <f>+C30-C31</f>
        <v>94680</v>
      </c>
      <c r="D33" s="38">
        <f>+D30-D31</f>
        <v>57411</v>
      </c>
    </row>
    <row r="34" spans="1:4" s="42" customFormat="1" ht="16" thickBot="1" x14ac:dyDescent="0.25">
      <c r="A34" s="43" t="s">
        <v>212</v>
      </c>
      <c r="B34" s="44">
        <f>B33/B10*100</f>
        <v>25.309640705199733</v>
      </c>
      <c r="C34" s="44">
        <f t="shared" ref="C34:D34" si="11">C33/C10*100</f>
        <v>25.881793355694239</v>
      </c>
      <c r="D34" s="44">
        <f t="shared" si="11"/>
        <v>20.913611278072235</v>
      </c>
    </row>
    <row r="35" spans="1:4" ht="16" thickTop="1" x14ac:dyDescent="0.2">
      <c r="A35" t="s">
        <v>19</v>
      </c>
    </row>
    <row r="36" spans="1:4" x14ac:dyDescent="0.2">
      <c r="A36" s="1" t="s">
        <v>20</v>
      </c>
      <c r="B36" s="10">
        <v>6.15</v>
      </c>
      <c r="C36" s="10">
        <v>5.67</v>
      </c>
      <c r="D36" s="10">
        <v>3.31</v>
      </c>
    </row>
    <row r="37" spans="1:4" x14ac:dyDescent="0.2">
      <c r="A37" s="1" t="s">
        <v>21</v>
      </c>
      <c r="B37" s="10">
        <v>6.11</v>
      </c>
      <c r="C37" s="10">
        <v>5.61</v>
      </c>
      <c r="D37" s="10">
        <v>3.28</v>
      </c>
    </row>
    <row r="38" spans="1:4" x14ac:dyDescent="0.2">
      <c r="A38" t="s">
        <v>22</v>
      </c>
    </row>
    <row r="39" spans="1:4" x14ac:dyDescent="0.2">
      <c r="A39" s="1" t="s">
        <v>20</v>
      </c>
      <c r="B39" s="2">
        <v>16215963</v>
      </c>
      <c r="C39" s="2">
        <v>16701272</v>
      </c>
      <c r="D39" s="2">
        <v>17352119</v>
      </c>
    </row>
    <row r="40" spans="1:4" x14ac:dyDescent="0.2">
      <c r="A40" s="1" t="s">
        <v>21</v>
      </c>
      <c r="B40" s="2">
        <v>16325819</v>
      </c>
      <c r="C40" s="2">
        <v>16864919</v>
      </c>
      <c r="D40" s="2">
        <v>17528214</v>
      </c>
    </row>
    <row r="43" spans="1:4" x14ac:dyDescent="0.2">
      <c r="A43" s="24" t="s">
        <v>24</v>
      </c>
      <c r="B43" s="24"/>
      <c r="C43" s="24"/>
      <c r="D43" s="24"/>
    </row>
    <row r="44" spans="1:4" x14ac:dyDescent="0.2">
      <c r="B44" s="23" t="s">
        <v>141</v>
      </c>
      <c r="C44" s="23"/>
      <c r="D44" s="23"/>
    </row>
    <row r="45" spans="1:4" x14ac:dyDescent="0.2">
      <c r="B45" s="7">
        <f>+B4</f>
        <v>2022</v>
      </c>
      <c r="C45" s="7">
        <f>+C4</f>
        <v>2021</v>
      </c>
      <c r="D45" s="7">
        <f>+D4</f>
        <v>2020</v>
      </c>
    </row>
    <row r="47" spans="1:4" x14ac:dyDescent="0.2">
      <c r="A47" t="s">
        <v>25</v>
      </c>
    </row>
    <row r="48" spans="1:4" x14ac:dyDescent="0.2">
      <c r="A48" s="25" t="s">
        <v>26</v>
      </c>
      <c r="B48" s="26">
        <v>23646</v>
      </c>
      <c r="C48" s="26">
        <v>34940</v>
      </c>
      <c r="D48" s="26">
        <v>38016</v>
      </c>
    </row>
    <row r="49" spans="1:4" x14ac:dyDescent="0.2">
      <c r="A49" s="1" t="s">
        <v>27</v>
      </c>
      <c r="B49" s="12">
        <v>24658</v>
      </c>
      <c r="C49" s="12">
        <v>27699</v>
      </c>
      <c r="D49" s="12">
        <v>52927</v>
      </c>
    </row>
    <row r="50" spans="1:4" x14ac:dyDescent="0.2">
      <c r="A50" s="1" t="s">
        <v>28</v>
      </c>
      <c r="B50" s="12">
        <v>28184</v>
      </c>
      <c r="C50" s="12">
        <v>26278</v>
      </c>
      <c r="D50" s="12">
        <v>16120</v>
      </c>
    </row>
    <row r="51" spans="1:4" x14ac:dyDescent="0.2">
      <c r="A51" s="1" t="s">
        <v>29</v>
      </c>
      <c r="B51" s="12">
        <v>4946</v>
      </c>
      <c r="C51" s="12">
        <v>6580</v>
      </c>
      <c r="D51" s="12">
        <v>4061</v>
      </c>
    </row>
    <row r="52" spans="1:4" x14ac:dyDescent="0.2">
      <c r="A52" s="1" t="s">
        <v>47</v>
      </c>
      <c r="B52" s="12">
        <v>32748</v>
      </c>
      <c r="C52" s="12">
        <v>25228</v>
      </c>
      <c r="D52" s="12">
        <v>21325</v>
      </c>
    </row>
    <row r="53" spans="1:4" x14ac:dyDescent="0.2">
      <c r="A53" s="1" t="s">
        <v>30</v>
      </c>
      <c r="B53" s="12">
        <v>21223</v>
      </c>
      <c r="C53" s="12">
        <v>14111</v>
      </c>
      <c r="D53" s="12">
        <v>11264</v>
      </c>
    </row>
    <row r="54" spans="1:4" x14ac:dyDescent="0.2">
      <c r="A54" s="8" t="s">
        <v>31</v>
      </c>
      <c r="B54" s="13">
        <f>+SUM(B48:B53)</f>
        <v>135405</v>
      </c>
      <c r="C54" s="13">
        <f t="shared" ref="C54:D54" si="12">+SUM(C48:C53)</f>
        <v>134836</v>
      </c>
      <c r="D54" s="13">
        <f t="shared" si="12"/>
        <v>143713</v>
      </c>
    </row>
    <row r="55" spans="1:4" x14ac:dyDescent="0.2">
      <c r="A55" t="s">
        <v>48</v>
      </c>
      <c r="B55" s="12"/>
      <c r="C55" s="12"/>
      <c r="D55" s="12"/>
    </row>
    <row r="56" spans="1:4" x14ac:dyDescent="0.2">
      <c r="A56" s="1" t="s">
        <v>27</v>
      </c>
      <c r="B56" s="12">
        <v>120805</v>
      </c>
      <c r="C56" s="12">
        <v>127877</v>
      </c>
      <c r="D56" s="12">
        <v>100887</v>
      </c>
    </row>
    <row r="57" spans="1:4" x14ac:dyDescent="0.2">
      <c r="A57" s="1" t="s">
        <v>32</v>
      </c>
      <c r="B57" s="12">
        <v>42117</v>
      </c>
      <c r="C57" s="12">
        <v>39440</v>
      </c>
      <c r="D57" s="12">
        <v>36766</v>
      </c>
    </row>
    <row r="58" spans="1:4" x14ac:dyDescent="0.2">
      <c r="A58" s="1" t="s">
        <v>49</v>
      </c>
      <c r="B58" s="12">
        <v>54428</v>
      </c>
      <c r="C58" s="12">
        <v>48849</v>
      </c>
      <c r="D58" s="12">
        <v>42522</v>
      </c>
    </row>
    <row r="59" spans="1:4" x14ac:dyDescent="0.2">
      <c r="A59" s="8" t="s">
        <v>50</v>
      </c>
      <c r="B59" s="13">
        <f>+SUM(B56:B58)</f>
        <v>217350</v>
      </c>
      <c r="C59" s="13">
        <f t="shared" ref="C59:D59" si="13">+SUM(C56:C58)</f>
        <v>216166</v>
      </c>
      <c r="D59" s="13">
        <f t="shared" si="13"/>
        <v>180175</v>
      </c>
    </row>
    <row r="60" spans="1:4" x14ac:dyDescent="0.2">
      <c r="A60" s="8" t="s">
        <v>33</v>
      </c>
      <c r="B60" s="13">
        <f>+B54+B59</f>
        <v>352755</v>
      </c>
      <c r="C60" s="13">
        <f t="shared" ref="C60:D60" si="14">+C54+C59</f>
        <v>351002</v>
      </c>
      <c r="D60" s="13">
        <f t="shared" si="14"/>
        <v>323888</v>
      </c>
    </row>
    <row r="61" spans="1:4" s="42" customFormat="1" ht="16" thickBot="1" x14ac:dyDescent="0.25">
      <c r="A61" s="43" t="s">
        <v>204</v>
      </c>
      <c r="B61" s="44">
        <f>(B60-C60)/C60*100</f>
        <v>0.49942735369029234</v>
      </c>
      <c r="C61" s="44">
        <f t="shared" ref="C61" si="15">(C60-D60)/D60*100</f>
        <v>8.3714123400681704</v>
      </c>
      <c r="D61" s="45"/>
    </row>
    <row r="62" spans="1:4" ht="16" thickTop="1" x14ac:dyDescent="0.2"/>
    <row r="63" spans="1:4" x14ac:dyDescent="0.2">
      <c r="A63" t="s">
        <v>34</v>
      </c>
    </row>
    <row r="64" spans="1:4" x14ac:dyDescent="0.2">
      <c r="A64" s="1" t="s">
        <v>35</v>
      </c>
      <c r="B64" s="12">
        <v>64115</v>
      </c>
      <c r="C64" s="12">
        <v>54763</v>
      </c>
      <c r="D64" s="12">
        <v>42296</v>
      </c>
    </row>
    <row r="65" spans="1:4" x14ac:dyDescent="0.2">
      <c r="A65" s="1" t="s">
        <v>36</v>
      </c>
      <c r="B65" s="12">
        <v>60845</v>
      </c>
      <c r="C65" s="12">
        <v>47493</v>
      </c>
      <c r="D65" s="12">
        <v>42684</v>
      </c>
    </row>
    <row r="66" spans="1:4" x14ac:dyDescent="0.2">
      <c r="A66" s="1" t="s">
        <v>37</v>
      </c>
      <c r="B66" s="12">
        <v>7912</v>
      </c>
      <c r="C66" s="12">
        <v>7612</v>
      </c>
      <c r="D66" s="12">
        <v>6643</v>
      </c>
    </row>
    <row r="67" spans="1:4" x14ac:dyDescent="0.2">
      <c r="A67" s="1" t="s">
        <v>38</v>
      </c>
      <c r="B67" s="12">
        <v>9982</v>
      </c>
      <c r="C67" s="12">
        <v>6000</v>
      </c>
      <c r="D67" s="12">
        <v>4996</v>
      </c>
    </row>
    <row r="68" spans="1:4" x14ac:dyDescent="0.2">
      <c r="A68" s="1" t="s">
        <v>39</v>
      </c>
      <c r="B68" s="12">
        <v>11128</v>
      </c>
      <c r="C68" s="12">
        <v>9613</v>
      </c>
      <c r="D68" s="12">
        <v>8773</v>
      </c>
    </row>
    <row r="69" spans="1:4" x14ac:dyDescent="0.2">
      <c r="A69" s="27" t="s">
        <v>40</v>
      </c>
      <c r="B69" s="28">
        <f>+SUM(B64:B68)</f>
        <v>153982</v>
      </c>
      <c r="C69" s="28">
        <f t="shared" ref="C69:D69" si="16">+SUM(C64:C68)</f>
        <v>125481</v>
      </c>
      <c r="D69" s="28">
        <f t="shared" si="16"/>
        <v>105392</v>
      </c>
    </row>
    <row r="70" spans="1:4" x14ac:dyDescent="0.2">
      <c r="A70" t="s">
        <v>51</v>
      </c>
      <c r="B70" s="12"/>
      <c r="C70" s="12"/>
      <c r="D70" s="12"/>
    </row>
    <row r="71" spans="1:4" x14ac:dyDescent="0.2">
      <c r="A71" s="1" t="s">
        <v>37</v>
      </c>
      <c r="B71" s="12"/>
      <c r="C71" s="12"/>
      <c r="D71" s="12"/>
    </row>
    <row r="72" spans="1:4" x14ac:dyDescent="0.2">
      <c r="A72" s="1" t="s">
        <v>39</v>
      </c>
      <c r="B72" s="12">
        <v>98959</v>
      </c>
      <c r="C72" s="12">
        <v>109106</v>
      </c>
      <c r="D72" s="12">
        <v>98667</v>
      </c>
    </row>
    <row r="73" spans="1:4" x14ac:dyDescent="0.2">
      <c r="A73" s="1" t="s">
        <v>52</v>
      </c>
      <c r="B73" s="12">
        <v>49142</v>
      </c>
      <c r="C73" s="12">
        <v>53325</v>
      </c>
      <c r="D73" s="12">
        <v>54490</v>
      </c>
    </row>
    <row r="74" spans="1:4" x14ac:dyDescent="0.2">
      <c r="A74" s="22" t="s">
        <v>53</v>
      </c>
      <c r="B74" s="21">
        <f>+B72+B73</f>
        <v>148101</v>
      </c>
      <c r="C74" s="21">
        <f t="shared" ref="C74:D74" si="17">+C72+C73</f>
        <v>162431</v>
      </c>
      <c r="D74" s="21">
        <f t="shared" si="17"/>
        <v>153157</v>
      </c>
    </row>
    <row r="75" spans="1:4" x14ac:dyDescent="0.2">
      <c r="A75" s="8" t="s">
        <v>41</v>
      </c>
      <c r="B75" s="13">
        <f>+B69+B74</f>
        <v>302083</v>
      </c>
      <c r="C75" s="13">
        <f t="shared" ref="C75:D75" si="18">+C69+C74</f>
        <v>287912</v>
      </c>
      <c r="D75" s="13">
        <f t="shared" si="18"/>
        <v>258549</v>
      </c>
    </row>
    <row r="76" spans="1:4" s="42" customFormat="1" x14ac:dyDescent="0.2">
      <c r="A76" s="39" t="s">
        <v>205</v>
      </c>
      <c r="B76" s="40">
        <f>(B75-C75)/C75*100</f>
        <v>4.9219900525160467</v>
      </c>
      <c r="C76" s="40">
        <f t="shared" ref="C76" si="19">(C75-D75)/D75*100</f>
        <v>11.356841449783213</v>
      </c>
      <c r="D76" s="41"/>
    </row>
    <row r="77" spans="1:4" x14ac:dyDescent="0.2">
      <c r="B77" s="12"/>
      <c r="C77" s="12"/>
      <c r="D77" s="12"/>
    </row>
    <row r="78" spans="1:4" x14ac:dyDescent="0.2">
      <c r="A78" t="s">
        <v>42</v>
      </c>
      <c r="B78" s="12"/>
      <c r="C78" s="12"/>
      <c r="D78" s="12"/>
    </row>
    <row r="79" spans="1:4" x14ac:dyDescent="0.2">
      <c r="A79" s="1" t="s">
        <v>54</v>
      </c>
      <c r="B79" s="12">
        <v>64849</v>
      </c>
      <c r="C79" s="12">
        <v>57365</v>
      </c>
      <c r="D79" s="12">
        <v>50779</v>
      </c>
    </row>
    <row r="80" spans="1:4" x14ac:dyDescent="0.2">
      <c r="A80" s="1" t="s">
        <v>43</v>
      </c>
      <c r="B80" s="12">
        <v>-3068</v>
      </c>
      <c r="C80" s="12">
        <v>5562</v>
      </c>
      <c r="D80" s="12">
        <v>14966</v>
      </c>
    </row>
    <row r="81" spans="1:4" x14ac:dyDescent="0.2">
      <c r="A81" s="1" t="s">
        <v>44</v>
      </c>
      <c r="B81" s="12">
        <v>-11109</v>
      </c>
      <c r="C81" s="12">
        <v>163</v>
      </c>
      <c r="D81" s="12">
        <v>-406</v>
      </c>
    </row>
    <row r="82" spans="1:4" x14ac:dyDescent="0.2">
      <c r="A82" s="8" t="s">
        <v>45</v>
      </c>
      <c r="B82" s="13">
        <f>+SUM(B79:B81)</f>
        <v>50672</v>
      </c>
      <c r="C82" s="13">
        <f t="shared" ref="C82:D82" si="20">+SUM(C79:C81)</f>
        <v>63090</v>
      </c>
      <c r="D82" s="13">
        <f t="shared" si="20"/>
        <v>65339</v>
      </c>
    </row>
    <row r="83" spans="1:4" s="42" customFormat="1" x14ac:dyDescent="0.2">
      <c r="A83" s="39" t="s">
        <v>206</v>
      </c>
      <c r="B83" s="40">
        <f>(B82-C82)/C82*100</f>
        <v>-19.682992550324933</v>
      </c>
      <c r="C83" s="40">
        <f t="shared" ref="C83" si="21">(C82-D82)/D82*100</f>
        <v>-3.4420483937617661</v>
      </c>
      <c r="D83" s="41"/>
    </row>
    <row r="84" spans="1:4" ht="16" thickBot="1" x14ac:dyDescent="0.25">
      <c r="A84" s="9" t="s">
        <v>46</v>
      </c>
      <c r="B84" s="14">
        <f>+B82+B75</f>
        <v>352755</v>
      </c>
      <c r="C84" s="14">
        <f t="shared" ref="C84:D84" si="22">+C82+C75</f>
        <v>351002</v>
      </c>
      <c r="D84" s="14">
        <f t="shared" si="22"/>
        <v>323888</v>
      </c>
    </row>
    <row r="85" spans="1:4" ht="16" thickTop="1" x14ac:dyDescent="0.2"/>
    <row r="86" spans="1:4" x14ac:dyDescent="0.2">
      <c r="A86" s="24" t="s">
        <v>55</v>
      </c>
      <c r="B86" s="24"/>
      <c r="C86" s="24"/>
      <c r="D86" s="24"/>
    </row>
    <row r="87" spans="1:4" x14ac:dyDescent="0.2">
      <c r="B87" s="23" t="s">
        <v>23</v>
      </c>
      <c r="C87" s="23"/>
      <c r="D87" s="23"/>
    </row>
    <row r="88" spans="1:4" x14ac:dyDescent="0.2">
      <c r="B88" s="7">
        <f>+B45</f>
        <v>2022</v>
      </c>
      <c r="C88" s="7">
        <f t="shared" ref="C88:D88" si="23">+C45</f>
        <v>2021</v>
      </c>
      <c r="D88" s="7">
        <f t="shared" si="23"/>
        <v>2020</v>
      </c>
    </row>
    <row r="90" spans="1:4" x14ac:dyDescent="0.2">
      <c r="A90" s="7" t="s">
        <v>56</v>
      </c>
      <c r="B90" s="15"/>
      <c r="C90" s="15"/>
      <c r="D90" s="15"/>
    </row>
    <row r="91" spans="1:4" x14ac:dyDescent="0.2">
      <c r="A91" t="s">
        <v>57</v>
      </c>
      <c r="B91" s="12">
        <f>+B33</f>
        <v>99803</v>
      </c>
      <c r="C91" s="12">
        <f t="shared" ref="C91:D91" si="24">+C33</f>
        <v>94680</v>
      </c>
      <c r="D91" s="12">
        <f t="shared" si="24"/>
        <v>57411</v>
      </c>
    </row>
    <row r="92" spans="1:4" x14ac:dyDescent="0.2">
      <c r="A92" s="11" t="s">
        <v>18</v>
      </c>
      <c r="B92" s="15"/>
      <c r="C92" s="15"/>
      <c r="D92" s="15"/>
    </row>
    <row r="93" spans="1:4" x14ac:dyDescent="0.2">
      <c r="A93" s="1" t="s">
        <v>58</v>
      </c>
      <c r="B93" s="12"/>
      <c r="C93" s="12"/>
      <c r="D93" s="12"/>
    </row>
    <row r="94" spans="1:4" x14ac:dyDescent="0.2">
      <c r="A94" s="3" t="s">
        <v>59</v>
      </c>
      <c r="B94" s="12">
        <v>11104</v>
      </c>
      <c r="C94" s="12">
        <v>11284</v>
      </c>
      <c r="D94" s="12">
        <v>11056</v>
      </c>
    </row>
    <row r="95" spans="1:4" x14ac:dyDescent="0.2">
      <c r="A95" s="3" t="s">
        <v>83</v>
      </c>
      <c r="B95" s="12">
        <v>9038</v>
      </c>
      <c r="C95" s="12">
        <v>7906</v>
      </c>
      <c r="D95" s="12">
        <v>6829</v>
      </c>
    </row>
    <row r="96" spans="1:4" x14ac:dyDescent="0.2">
      <c r="A96" s="3" t="s">
        <v>60</v>
      </c>
      <c r="B96" s="12">
        <v>895</v>
      </c>
      <c r="C96" s="12">
        <v>-4774</v>
      </c>
      <c r="D96" s="12">
        <v>-215</v>
      </c>
    </row>
    <row r="97" spans="1:4" x14ac:dyDescent="0.2">
      <c r="A97" s="3" t="s">
        <v>61</v>
      </c>
      <c r="B97" s="12">
        <v>111</v>
      </c>
      <c r="C97" s="12">
        <v>-147</v>
      </c>
      <c r="D97" s="12">
        <v>-97</v>
      </c>
    </row>
    <row r="98" spans="1:4" x14ac:dyDescent="0.2">
      <c r="A98" t="s">
        <v>62</v>
      </c>
      <c r="B98" s="12"/>
      <c r="C98" s="12"/>
      <c r="D98" s="12"/>
    </row>
    <row r="99" spans="1:4" x14ac:dyDescent="0.2">
      <c r="A99" s="1" t="s">
        <v>28</v>
      </c>
      <c r="B99" s="12">
        <v>-1823</v>
      </c>
      <c r="C99" s="12">
        <v>-10125</v>
      </c>
      <c r="D99" s="12">
        <v>6917</v>
      </c>
    </row>
    <row r="100" spans="1:4" x14ac:dyDescent="0.2">
      <c r="A100" s="1" t="s">
        <v>29</v>
      </c>
      <c r="B100" s="12">
        <v>1484</v>
      </c>
      <c r="C100" s="12">
        <v>-2642</v>
      </c>
      <c r="D100" s="12">
        <v>-127</v>
      </c>
    </row>
    <row r="101" spans="1:4" x14ac:dyDescent="0.2">
      <c r="A101" s="1" t="s">
        <v>47</v>
      </c>
      <c r="B101" s="12">
        <v>-7520</v>
      </c>
      <c r="C101" s="12">
        <v>-3903</v>
      </c>
      <c r="D101" s="12">
        <v>1553</v>
      </c>
    </row>
    <row r="102" spans="1:4" x14ac:dyDescent="0.2">
      <c r="A102" s="1" t="s">
        <v>84</v>
      </c>
      <c r="B102" s="12">
        <v>-6499</v>
      </c>
      <c r="C102" s="12">
        <v>-8042</v>
      </c>
      <c r="D102" s="12">
        <v>-9588</v>
      </c>
    </row>
    <row r="103" spans="1:4" x14ac:dyDescent="0.2">
      <c r="A103" s="1" t="s">
        <v>35</v>
      </c>
      <c r="B103" s="12">
        <v>9448</v>
      </c>
      <c r="C103" s="12">
        <v>12326</v>
      </c>
      <c r="D103" s="12">
        <v>-4062</v>
      </c>
    </row>
    <row r="104" spans="1:4" x14ac:dyDescent="0.2">
      <c r="A104" s="1" t="s">
        <v>37</v>
      </c>
      <c r="B104" s="12">
        <v>478</v>
      </c>
      <c r="C104" s="12">
        <v>1676</v>
      </c>
      <c r="D104" s="12">
        <v>2081</v>
      </c>
    </row>
    <row r="105" spans="1:4" x14ac:dyDescent="0.2">
      <c r="A105" s="1" t="s">
        <v>85</v>
      </c>
      <c r="B105" s="12">
        <v>5632</v>
      </c>
      <c r="C105" s="12">
        <v>5799</v>
      </c>
      <c r="D105" s="12">
        <v>8916</v>
      </c>
    </row>
    <row r="106" spans="1:4" x14ac:dyDescent="0.2">
      <c r="A106" s="8" t="s">
        <v>63</v>
      </c>
      <c r="B106" s="13">
        <f>+SUM(B91:B105)</f>
        <v>122151</v>
      </c>
      <c r="C106" s="13">
        <f t="shared" ref="C106:D106" si="25">+SUM(C91:C105)</f>
        <v>104038</v>
      </c>
      <c r="D106" s="13">
        <f t="shared" si="25"/>
        <v>80674</v>
      </c>
    </row>
    <row r="107" spans="1:4" x14ac:dyDescent="0.2">
      <c r="A107" s="7" t="s">
        <v>64</v>
      </c>
      <c r="B107" s="12"/>
      <c r="C107" s="12"/>
      <c r="D107" s="12"/>
    </row>
    <row r="108" spans="1:4" x14ac:dyDescent="0.2">
      <c r="A108" s="1" t="s">
        <v>65</v>
      </c>
      <c r="B108" s="12">
        <v>-76923</v>
      </c>
      <c r="C108" s="12">
        <v>-109558</v>
      </c>
      <c r="D108" s="12">
        <v>-114938</v>
      </c>
    </row>
    <row r="109" spans="1:4" x14ac:dyDescent="0.2">
      <c r="A109" s="1" t="s">
        <v>66</v>
      </c>
      <c r="B109" s="12">
        <v>29917</v>
      </c>
      <c r="C109" s="12">
        <v>59023</v>
      </c>
      <c r="D109" s="12">
        <v>69918</v>
      </c>
    </row>
    <row r="110" spans="1:4" x14ac:dyDescent="0.2">
      <c r="A110" s="1" t="s">
        <v>67</v>
      </c>
      <c r="B110" s="12">
        <v>37446</v>
      </c>
      <c r="C110" s="12">
        <v>47460</v>
      </c>
      <c r="D110" s="12">
        <v>50473</v>
      </c>
    </row>
    <row r="111" spans="1:4" x14ac:dyDescent="0.2">
      <c r="A111" s="1" t="s">
        <v>68</v>
      </c>
      <c r="B111" s="12">
        <v>-10708</v>
      </c>
      <c r="C111" s="12">
        <v>-11085</v>
      </c>
      <c r="D111" s="12">
        <v>-7309</v>
      </c>
    </row>
    <row r="112" spans="1:4" x14ac:dyDescent="0.2">
      <c r="A112" s="1" t="s">
        <v>69</v>
      </c>
      <c r="B112" s="12">
        <v>-306</v>
      </c>
      <c r="C112" s="12">
        <v>-33</v>
      </c>
      <c r="D112" s="12">
        <v>-1524</v>
      </c>
    </row>
    <row r="113" spans="1:4" x14ac:dyDescent="0.2">
      <c r="A113" s="1" t="s">
        <v>61</v>
      </c>
      <c r="B113" s="12">
        <v>-1780</v>
      </c>
      <c r="C113" s="12">
        <v>-352</v>
      </c>
      <c r="D113" s="12">
        <v>-909</v>
      </c>
    </row>
    <row r="114" spans="1:4" x14ac:dyDescent="0.2">
      <c r="A114" s="8" t="s">
        <v>70</v>
      </c>
      <c r="B114" s="13">
        <f>+SUM(B108:B113)</f>
        <v>-22354</v>
      </c>
      <c r="C114" s="13">
        <f t="shared" ref="C114:D114" si="26">+SUM(C108:C113)</f>
        <v>-14545</v>
      </c>
      <c r="D114" s="13">
        <f t="shared" si="26"/>
        <v>-4289</v>
      </c>
    </row>
    <row r="115" spans="1:4" s="42" customFormat="1" x14ac:dyDescent="0.2">
      <c r="A115" s="39" t="s">
        <v>95</v>
      </c>
      <c r="B115" s="40">
        <f>B111/B10*100</f>
        <v>-2.715505873283155</v>
      </c>
      <c r="C115" s="40">
        <f t="shared" ref="C115:D115" si="27">C111/C10*100</f>
        <v>-3.0302036264033658</v>
      </c>
      <c r="D115" s="40">
        <f t="shared" si="27"/>
        <v>-2.6625138881299746</v>
      </c>
    </row>
    <row r="116" spans="1:4" s="42" customFormat="1" x14ac:dyDescent="0.2">
      <c r="A116" s="46" t="s">
        <v>96</v>
      </c>
      <c r="B116" s="47">
        <f>B111/(B57-B94)*100</f>
        <v>-34.527456228033401</v>
      </c>
      <c r="C116" s="47">
        <f t="shared" ref="C116:D116" si="28">C111/(C57-C94)*100</f>
        <v>-39.36993891177724</v>
      </c>
      <c r="D116" s="47">
        <f t="shared" si="28"/>
        <v>-28.428626993387784</v>
      </c>
    </row>
    <row r="117" spans="1:4" x14ac:dyDescent="0.2">
      <c r="A117" s="37"/>
      <c r="B117" s="38"/>
      <c r="C117" s="38"/>
      <c r="D117" s="38"/>
    </row>
    <row r="118" spans="1:4" x14ac:dyDescent="0.2">
      <c r="A118" s="7" t="s">
        <v>71</v>
      </c>
      <c r="B118" s="12"/>
      <c r="C118" s="12"/>
      <c r="D118" s="12"/>
    </row>
    <row r="119" spans="1:4" x14ac:dyDescent="0.2">
      <c r="A119" s="1" t="s">
        <v>86</v>
      </c>
      <c r="B119" s="12">
        <v>-6223</v>
      </c>
      <c r="C119" s="12">
        <v>-6556</v>
      </c>
      <c r="D119" s="12">
        <v>-3634</v>
      </c>
    </row>
    <row r="120" spans="1:4" x14ac:dyDescent="0.2">
      <c r="A120" s="1" t="s">
        <v>72</v>
      </c>
      <c r="B120" s="12">
        <v>-14841</v>
      </c>
      <c r="C120" s="12">
        <v>-14467</v>
      </c>
      <c r="D120" s="12">
        <v>-14081</v>
      </c>
    </row>
    <row r="121" spans="1:4" x14ac:dyDescent="0.2">
      <c r="A121" s="1" t="s">
        <v>73</v>
      </c>
      <c r="B121" s="12">
        <v>-89402</v>
      </c>
      <c r="C121" s="12">
        <v>-85971</v>
      </c>
      <c r="D121" s="12">
        <v>-72358</v>
      </c>
    </row>
    <row r="122" spans="1:4" x14ac:dyDescent="0.2">
      <c r="A122" s="1" t="s">
        <v>74</v>
      </c>
      <c r="B122" s="12">
        <v>5465</v>
      </c>
      <c r="C122" s="12">
        <v>20393</v>
      </c>
      <c r="D122" s="12">
        <v>16091</v>
      </c>
    </row>
    <row r="123" spans="1:4" x14ac:dyDescent="0.2">
      <c r="A123" s="1" t="s">
        <v>75</v>
      </c>
      <c r="B123" s="12">
        <v>-9543</v>
      </c>
      <c r="C123" s="12">
        <v>-8750</v>
      </c>
      <c r="D123" s="12">
        <v>-12629</v>
      </c>
    </row>
    <row r="124" spans="1:4" x14ac:dyDescent="0.2">
      <c r="A124" s="1" t="s">
        <v>76</v>
      </c>
      <c r="B124" s="12">
        <v>3955</v>
      </c>
      <c r="C124" s="12">
        <v>1022</v>
      </c>
      <c r="D124" s="12">
        <v>-963</v>
      </c>
    </row>
    <row r="125" spans="1:4" x14ac:dyDescent="0.2">
      <c r="A125" s="1" t="s">
        <v>61</v>
      </c>
      <c r="B125" s="12">
        <v>-160</v>
      </c>
      <c r="C125" s="12">
        <v>976</v>
      </c>
      <c r="D125" s="12">
        <v>754</v>
      </c>
    </row>
    <row r="126" spans="1:4" x14ac:dyDescent="0.2">
      <c r="A126" s="8" t="s">
        <v>77</v>
      </c>
      <c r="B126" s="13">
        <f>+SUM(B119:B125)</f>
        <v>-110749</v>
      </c>
      <c r="C126" s="13">
        <f t="shared" ref="C126:D126" si="29">+SUM(C119:C125)</f>
        <v>-93353</v>
      </c>
      <c r="D126" s="13">
        <f t="shared" si="29"/>
        <v>-86820</v>
      </c>
    </row>
    <row r="127" spans="1:4" x14ac:dyDescent="0.2">
      <c r="A127" s="8" t="s">
        <v>78</v>
      </c>
      <c r="B127" s="13">
        <f>+B106+B114+B126</f>
        <v>-10952</v>
      </c>
      <c r="C127" s="13">
        <f t="shared" ref="C127:D127" si="30">+C106+C114+C126</f>
        <v>-3860</v>
      </c>
      <c r="D127" s="13">
        <f t="shared" si="30"/>
        <v>-10435</v>
      </c>
    </row>
    <row r="128" spans="1:4" ht="16" thickBot="1" x14ac:dyDescent="0.25">
      <c r="A128" s="9" t="s">
        <v>79</v>
      </c>
      <c r="B128" s="14">
        <v>24977</v>
      </c>
      <c r="C128" s="14">
        <v>35929</v>
      </c>
      <c r="D128" s="14">
        <v>39789</v>
      </c>
    </row>
    <row r="129" spans="1:4" ht="16" thickTop="1" x14ac:dyDescent="0.2">
      <c r="B129" s="12"/>
      <c r="C129" s="12"/>
      <c r="D129" s="12"/>
    </row>
    <row r="130" spans="1:4" x14ac:dyDescent="0.2">
      <c r="A130" t="s">
        <v>80</v>
      </c>
      <c r="B130" s="12"/>
      <c r="C130" s="12"/>
      <c r="D130" s="12"/>
    </row>
    <row r="131" spans="1:4" x14ac:dyDescent="0.2">
      <c r="A131" t="s">
        <v>81</v>
      </c>
      <c r="B131" s="12">
        <v>19573</v>
      </c>
      <c r="C131" s="12">
        <v>25385</v>
      </c>
      <c r="D131" s="12">
        <v>9501</v>
      </c>
    </row>
    <row r="132" spans="1:4" x14ac:dyDescent="0.2">
      <c r="A132" t="s">
        <v>82</v>
      </c>
      <c r="B132" s="12">
        <v>2865</v>
      </c>
      <c r="C132" s="12">
        <v>2687</v>
      </c>
      <c r="D132" s="12">
        <v>3002</v>
      </c>
    </row>
    <row r="134" spans="1:4" x14ac:dyDescent="0.2">
      <c r="A134" s="1"/>
    </row>
    <row r="135" spans="1:4" x14ac:dyDescent="0.2">
      <c r="A135" s="1"/>
    </row>
    <row r="136" spans="1:4" x14ac:dyDescent="0.2">
      <c r="A136" s="1"/>
    </row>
  </sheetData>
  <mergeCells count="6">
    <mergeCell ref="A2:D2"/>
    <mergeCell ref="B3:D3"/>
    <mergeCell ref="A43:D43"/>
    <mergeCell ref="B44:D44"/>
    <mergeCell ref="A86:D86"/>
    <mergeCell ref="B87:D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workbookViewId="0">
      <selection activeCell="C33" sqref="C33"/>
    </sheetView>
  </sheetViews>
  <sheetFormatPr baseColWidth="10" defaultColWidth="8.83203125" defaultRowHeight="15" x14ac:dyDescent="0.2"/>
  <cols>
    <col min="1" max="1" width="4.6640625" customWidth="1"/>
    <col min="2" max="2" width="24.1640625" customWidth="1"/>
    <col min="3" max="5" width="16.33203125" bestFit="1" customWidth="1"/>
    <col min="6" max="6" width="25.83203125" bestFit="1" customWidth="1"/>
  </cols>
  <sheetData>
    <row r="1" spans="1:12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</row>
    <row r="2" spans="1:12" x14ac:dyDescent="0.2">
      <c r="C2" s="23" t="s">
        <v>23</v>
      </c>
      <c r="D2" s="23"/>
      <c r="E2" s="23"/>
    </row>
    <row r="3" spans="1:12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s="7" t="s">
        <v>149</v>
      </c>
    </row>
    <row r="4" spans="1:12" x14ac:dyDescent="0.2">
      <c r="A4" s="18">
        <v>1</v>
      </c>
      <c r="B4" s="7" t="s">
        <v>99</v>
      </c>
      <c r="C4" s="30"/>
      <c r="D4" s="30"/>
      <c r="E4" s="30"/>
      <c r="F4" s="30"/>
      <c r="G4" s="30"/>
      <c r="H4" s="30"/>
      <c r="I4" s="30"/>
      <c r="L4" s="29"/>
    </row>
    <row r="5" spans="1:12" s="34" customFormat="1" x14ac:dyDescent="0.2">
      <c r="A5" s="31">
        <f>+A4+0.1</f>
        <v>1.1000000000000001</v>
      </c>
      <c r="B5" s="32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  <c r="G5" s="34" t="s">
        <v>150</v>
      </c>
    </row>
    <row r="6" spans="1:12" s="34" customFormat="1" x14ac:dyDescent="0.2">
      <c r="A6" s="31">
        <f t="shared" ref="A6:A15" si="0">+A5+0.1</f>
        <v>1.2000000000000002</v>
      </c>
      <c r="B6" s="32" t="s">
        <v>101</v>
      </c>
      <c r="C6" s="33">
        <f>('Financial Statements'!B36+'Financial Statements'!B37+'Financial Statements'!B38)/'Financial Statements'!B56</f>
        <v>0.49673338442155579</v>
      </c>
      <c r="D6" s="33">
        <f>('Financial Statements'!C36+'Financial Statements'!C37+'Financial Statements'!C38)/'Financial Statements'!C56</f>
        <v>0.70860927152317876</v>
      </c>
      <c r="E6" s="33">
        <f>('Financial Statements'!D36+'Financial Statements'!D37+'Financial Statements'!D38)/'Financial Statements'!D56</f>
        <v>1.0158550933657204</v>
      </c>
      <c r="G6" s="34" t="s">
        <v>158</v>
      </c>
    </row>
    <row r="7" spans="1:12" s="34" customFormat="1" x14ac:dyDescent="0.2">
      <c r="A7" s="31">
        <f t="shared" si="0"/>
        <v>1.3000000000000003</v>
      </c>
      <c r="B7" s="32" t="s">
        <v>102</v>
      </c>
      <c r="C7" s="33">
        <f>('Financial Statements'!B36+'Financial Statements'!B37)/'Financial Statements'!B56</f>
        <v>0.31369900377966253</v>
      </c>
      <c r="D7" s="33">
        <f>('Financial Statements'!C36+'Financial Statements'!C37)/'Financial Statements'!C56</f>
        <v>0.49919111259872012</v>
      </c>
      <c r="E7" s="33">
        <f>('Financial Statements'!D36+'Financial Statements'!D37)/'Financial Statements'!D56</f>
        <v>0.86290230757552755</v>
      </c>
      <c r="G7" s="34" t="s">
        <v>159</v>
      </c>
    </row>
    <row r="8" spans="1:12" s="34" customFormat="1" x14ac:dyDescent="0.2">
      <c r="A8" s="31">
        <f t="shared" si="0"/>
        <v>1.4000000000000004</v>
      </c>
      <c r="B8" s="32" t="s">
        <v>103</v>
      </c>
      <c r="C8" s="36">
        <f>C9/C10</f>
        <v>343.38221832700356</v>
      </c>
      <c r="D8" s="36">
        <f t="shared" ref="D8:E8" si="1">D9/D10</f>
        <v>520.95688928384266</v>
      </c>
      <c r="E8" s="36">
        <f t="shared" si="1"/>
        <v>858.4409589324506</v>
      </c>
      <c r="F8" s="34" t="s">
        <v>151</v>
      </c>
      <c r="G8" s="34" t="s">
        <v>198</v>
      </c>
    </row>
    <row r="9" spans="1:12" s="34" customFormat="1" x14ac:dyDescent="0.2">
      <c r="A9" s="31"/>
      <c r="B9" s="32" t="s">
        <v>194</v>
      </c>
      <c r="C9" s="36">
        <f>'Financial Statements'!B36+'Financial Statements'!B37</f>
        <v>48304</v>
      </c>
      <c r="D9" s="36">
        <f>'Financial Statements'!C36+'Financial Statements'!C37</f>
        <v>62639</v>
      </c>
      <c r="E9" s="36">
        <f>'Financial Statements'!D36+'Financial Statements'!D37</f>
        <v>90943</v>
      </c>
      <c r="G9" s="34" t="s">
        <v>196</v>
      </c>
    </row>
    <row r="10" spans="1:12" s="34" customFormat="1" x14ac:dyDescent="0.2">
      <c r="A10" s="31"/>
      <c r="B10" s="32" t="s">
        <v>195</v>
      </c>
      <c r="C10" s="36">
        <f>'Financial Statements'!B17/365</f>
        <v>140.67123287671234</v>
      </c>
      <c r="D10" s="36">
        <f>'Financial Statements'!C17/365</f>
        <v>120.23835616438356</v>
      </c>
      <c r="E10" s="36">
        <f>'Financial Statements'!D17/365</f>
        <v>105.93972602739726</v>
      </c>
      <c r="G10" s="34" t="s">
        <v>197</v>
      </c>
    </row>
    <row r="11" spans="1:12" s="34" customFormat="1" x14ac:dyDescent="0.2">
      <c r="A11" s="31">
        <f>+A8+0.1</f>
        <v>1.5000000000000004</v>
      </c>
      <c r="B11" s="32" t="s">
        <v>104</v>
      </c>
      <c r="C11" s="36">
        <f>('Financial Statements'!B39/'Financial Statements'!B12)*365</f>
        <v>8.0756980666171607</v>
      </c>
      <c r="D11" s="36">
        <f>('Financial Statements'!C39/'Financial Statements'!C12)*365</f>
        <v>11.27659274770989</v>
      </c>
      <c r="E11" s="36">
        <f>('Financial Statements'!D39/'Financial Statements'!D12)*365</f>
        <v>8.7418833562358831</v>
      </c>
      <c r="F11" s="34" t="s">
        <v>151</v>
      </c>
      <c r="G11" s="34" t="s">
        <v>152</v>
      </c>
    </row>
    <row r="12" spans="1:12" s="34" customFormat="1" x14ac:dyDescent="0.2">
      <c r="A12" s="31">
        <f t="shared" si="0"/>
        <v>1.6000000000000005</v>
      </c>
      <c r="B12" s="32" t="s">
        <v>105</v>
      </c>
      <c r="C12" s="36">
        <f>'Financial Statements'!B51/'Financial Statements'!B12*365</f>
        <v>104.68527730310539</v>
      </c>
      <c r="D12" s="36">
        <f>'Financial Statements'!C51/'Financial Statements'!C12*365</f>
        <v>93.851071222315596</v>
      </c>
      <c r="E12" s="36">
        <f>'Financial Statements'!D51/'Financial Statements'!D12*365</f>
        <v>91.048189715674198</v>
      </c>
      <c r="F12" s="34" t="s">
        <v>151</v>
      </c>
      <c r="G12" s="34" t="s">
        <v>153</v>
      </c>
    </row>
    <row r="13" spans="1:12" s="34" customFormat="1" x14ac:dyDescent="0.2">
      <c r="A13" s="31">
        <f t="shared" si="0"/>
        <v>1.7000000000000006</v>
      </c>
      <c r="B13" s="32" t="s">
        <v>106</v>
      </c>
      <c r="C13" s="36">
        <f>'Financial Statements'!B38/'Financial Statements'!B8*365</f>
        <v>26.087825363656648</v>
      </c>
      <c r="D13" s="36">
        <f>'Financial Statements'!C38/'Financial Statements'!C8*365</f>
        <v>26.219311841713207</v>
      </c>
      <c r="E13" s="36">
        <f>'Financial Statements'!D38/'Financial Statements'!D8*365</f>
        <v>21.433437152796749</v>
      </c>
      <c r="F13" s="34" t="s">
        <v>151</v>
      </c>
      <c r="G13" s="34" t="s">
        <v>154</v>
      </c>
    </row>
    <row r="14" spans="1:12" s="34" customFormat="1" x14ac:dyDescent="0.2">
      <c r="A14" s="31">
        <f t="shared" si="0"/>
        <v>1.8000000000000007</v>
      </c>
      <c r="B14" s="32" t="s">
        <v>107</v>
      </c>
      <c r="C14" s="36">
        <f>C13+C11-C12</f>
        <v>-70.521753872831582</v>
      </c>
      <c r="D14" s="36">
        <f t="shared" ref="D14:E14" si="2">D13+D11-D12</f>
        <v>-56.355166632892498</v>
      </c>
      <c r="E14" s="36">
        <f t="shared" si="2"/>
        <v>-60.872869206641568</v>
      </c>
      <c r="F14" s="34" t="s">
        <v>151</v>
      </c>
      <c r="G14" s="34" t="s">
        <v>155</v>
      </c>
    </row>
    <row r="15" spans="1:12" s="34" customFormat="1" x14ac:dyDescent="0.2">
      <c r="A15" s="31">
        <f t="shared" si="0"/>
        <v>1.9000000000000008</v>
      </c>
      <c r="B15" s="32" t="s">
        <v>108</v>
      </c>
      <c r="C15" s="33">
        <f>('Financial Statements'!B42-'Financial Statements'!B56)/'Financial Statements'!B8*100</f>
        <v>-4.7110527276784806</v>
      </c>
      <c r="D15" s="33">
        <f>('Financial Statements'!C42-'Financial Statements'!C56)/'Financial Statements'!C8*100</f>
        <v>2.5572895737486232</v>
      </c>
      <c r="E15" s="33">
        <f>('Financial Statements'!D42-'Financial Statements'!D56)/'Financial Statements'!D8*100</f>
        <v>13.959528623208204</v>
      </c>
      <c r="F15" s="34" t="s">
        <v>157</v>
      </c>
      <c r="G15" s="34" t="s">
        <v>156</v>
      </c>
    </row>
    <row r="16" spans="1:12" x14ac:dyDescent="0.2">
      <c r="A16" s="18"/>
      <c r="B16" s="3"/>
    </row>
    <row r="17" spans="1:7" x14ac:dyDescent="0.2">
      <c r="A17" s="18"/>
    </row>
    <row r="18" spans="1:7" x14ac:dyDescent="0.2">
      <c r="A18" s="18">
        <f>+A4+1</f>
        <v>2</v>
      </c>
      <c r="B18" s="17" t="s">
        <v>109</v>
      </c>
    </row>
    <row r="19" spans="1:7" s="34" customFormat="1" x14ac:dyDescent="0.2">
      <c r="A19" s="31">
        <f>+A18+0.1</f>
        <v>2.1</v>
      </c>
      <c r="B19" s="32" t="s">
        <v>9</v>
      </c>
      <c r="C19" s="33">
        <f>'Financial Statements'!B13/'Financial Statements'!B8*100</f>
        <v>43.309630561360088</v>
      </c>
      <c r="D19" s="33">
        <f>'Financial Statements'!C13/'Financial Statements'!C8*100</f>
        <v>41.779359625167778</v>
      </c>
      <c r="E19" s="33">
        <f>'Financial Statements'!D13/'Financial Statements'!D8*100</f>
        <v>38.233247727810863</v>
      </c>
      <c r="F19" s="34" t="s">
        <v>157</v>
      </c>
      <c r="G19" s="34" t="s">
        <v>160</v>
      </c>
    </row>
    <row r="20" spans="1:7" s="34" customFormat="1" x14ac:dyDescent="0.2">
      <c r="A20" s="31">
        <f>+A19+0.1</f>
        <v>2.2000000000000002</v>
      </c>
      <c r="B20" s="32" t="s">
        <v>110</v>
      </c>
      <c r="C20" s="33">
        <f>C21/'Financial Statements'!B8*100</f>
        <v>33.104674281308959</v>
      </c>
      <c r="D20" s="33">
        <f>D21/'Financial Statements'!C8*100</f>
        <v>32.86697993805646</v>
      </c>
      <c r="E20" s="33">
        <f>E21/'Financial Statements'!D8*100</f>
        <v>28.174780977360069</v>
      </c>
      <c r="F20" s="34" t="s">
        <v>157</v>
      </c>
      <c r="G20" s="34" t="s">
        <v>162</v>
      </c>
    </row>
    <row r="21" spans="1:7" s="34" customFormat="1" x14ac:dyDescent="0.2">
      <c r="A21" s="31"/>
      <c r="B21" s="32" t="s">
        <v>111</v>
      </c>
      <c r="C21" s="36">
        <f>'Financial Statements'!B18+'Financial Statements'!B79</f>
        <v>130541</v>
      </c>
      <c r="D21" s="36">
        <f>'Financial Statements'!C18+'Financial Statements'!C79</f>
        <v>120233</v>
      </c>
      <c r="E21" s="36">
        <f>'Financial Statements'!D18+'Financial Statements'!D79</f>
        <v>77344</v>
      </c>
      <c r="G21" s="34" t="s">
        <v>161</v>
      </c>
    </row>
    <row r="22" spans="1:7" s="34" customFormat="1" x14ac:dyDescent="0.2">
      <c r="A22" s="31">
        <f>+A20+0.1</f>
        <v>2.3000000000000003</v>
      </c>
      <c r="B22" s="32" t="s">
        <v>112</v>
      </c>
      <c r="C22" s="33">
        <f>C23/'Financial Statements'!B8</f>
        <v>0.30288744395528594</v>
      </c>
      <c r="D22" s="33">
        <f>D23/'Financial Statements'!C8</f>
        <v>0.29782377527561593</v>
      </c>
      <c r="E22" s="33">
        <f>E23/'Financial Statements'!D8</f>
        <v>0.24147314354406862</v>
      </c>
      <c r="F22" s="34" t="s">
        <v>157</v>
      </c>
      <c r="G22" s="34" t="s">
        <v>163</v>
      </c>
    </row>
    <row r="23" spans="1:7" s="34" customFormat="1" x14ac:dyDescent="0.2">
      <c r="A23" s="31"/>
      <c r="B23" s="32" t="s">
        <v>113</v>
      </c>
      <c r="C23" s="36">
        <f>'Financial Statements'!B18</f>
        <v>119437</v>
      </c>
      <c r="D23" s="36">
        <f>'Financial Statements'!C18</f>
        <v>108949</v>
      </c>
      <c r="E23" s="36">
        <f>'Financial Statements'!D18</f>
        <v>66288</v>
      </c>
      <c r="G23" s="34" t="s">
        <v>164</v>
      </c>
    </row>
    <row r="24" spans="1:7" s="34" customFormat="1" x14ac:dyDescent="0.2">
      <c r="A24" s="31">
        <f>+A22+0.1</f>
        <v>2.4000000000000004</v>
      </c>
      <c r="B24" s="32" t="s">
        <v>114</v>
      </c>
      <c r="C24" s="33">
        <f>'Financial Statements'!B22/'Financial Statements'!B8</f>
        <v>0.25309640705199732</v>
      </c>
      <c r="D24" s="33">
        <f>'Financial Statements'!C22/'Financial Statements'!C8</f>
        <v>0.25881793355694238</v>
      </c>
      <c r="E24" s="33">
        <f>'Financial Statements'!D22/'Financial Statements'!D8</f>
        <v>0.20913611278072236</v>
      </c>
      <c r="F24" s="34" t="s">
        <v>157</v>
      </c>
      <c r="G24" s="34" t="s">
        <v>165</v>
      </c>
    </row>
    <row r="25" spans="1:7" x14ac:dyDescent="0.2">
      <c r="A25" s="18"/>
    </row>
    <row r="26" spans="1:7" x14ac:dyDescent="0.2">
      <c r="A26" s="18">
        <f>+A18+1</f>
        <v>3</v>
      </c>
      <c r="B26" s="7" t="s">
        <v>115</v>
      </c>
    </row>
    <row r="27" spans="1:7" s="34" customFormat="1" x14ac:dyDescent="0.2">
      <c r="A27" s="31">
        <f>+A26+0.1</f>
        <v>3.1</v>
      </c>
      <c r="B27" s="32" t="s">
        <v>116</v>
      </c>
      <c r="C27" s="33">
        <f>'Financial Statements'!B62/'Financial Statements'!B68</f>
        <v>5.9615369434796337</v>
      </c>
      <c r="D27" s="33">
        <f>'Financial Statements'!C62/'Financial Statements'!C68</f>
        <v>4.5635124425423994</v>
      </c>
      <c r="E27" s="33">
        <f>'Financial Statements'!D62/'Financial Statements'!D68</f>
        <v>3.9570394404566951</v>
      </c>
      <c r="G27" s="34" t="s">
        <v>166</v>
      </c>
    </row>
    <row r="28" spans="1:7" s="34" customFormat="1" x14ac:dyDescent="0.2">
      <c r="A28" s="31">
        <f t="shared" ref="A28:A32" si="3">+A27+0.1</f>
        <v>3.2</v>
      </c>
      <c r="B28" s="32" t="s">
        <v>117</v>
      </c>
      <c r="C28" s="33">
        <f>'Financial Statements'!B62/'Financial Statements'!B48*100</f>
        <v>85.635355983614687</v>
      </c>
      <c r="D28" s="33">
        <f>'Financial Statements'!C62/'Financial Statements'!C48*100</f>
        <v>82.025743443057308</v>
      </c>
      <c r="E28" s="33">
        <f>'Financial Statements'!D62/'Financial Statements'!D48*100</f>
        <v>79.826668477992385</v>
      </c>
      <c r="F28" s="34" t="s">
        <v>157</v>
      </c>
      <c r="G28" s="34" t="s">
        <v>167</v>
      </c>
    </row>
    <row r="29" spans="1:7" s="34" customFormat="1" x14ac:dyDescent="0.2">
      <c r="A29" s="31">
        <f t="shared" si="3"/>
        <v>3.3000000000000003</v>
      </c>
      <c r="B29" s="32" t="s">
        <v>118</v>
      </c>
      <c r="C29" s="33">
        <f>'Financial Statements'!B59/('Financial Statements'!B62+'Financial Statements'!B68)*100</f>
        <v>28.053181386514719</v>
      </c>
      <c r="D29" s="33">
        <f>'Financial Statements'!C59/('Financial Statements'!C62+'Financial Statements'!C68)*100</f>
        <v>31.084153366647481</v>
      </c>
      <c r="E29" s="33">
        <f>'Financial Statements'!D59/('Financial Statements'!D62+'Financial Statements'!D68)*100</f>
        <v>30.463308304105123</v>
      </c>
      <c r="F29" s="34" t="s">
        <v>157</v>
      </c>
      <c r="G29" s="34" t="s">
        <v>168</v>
      </c>
    </row>
    <row r="30" spans="1:7" s="34" customFormat="1" x14ac:dyDescent="0.2">
      <c r="A30" s="31">
        <f t="shared" si="3"/>
        <v>3.4000000000000004</v>
      </c>
      <c r="B30" s="32" t="s">
        <v>119</v>
      </c>
      <c r="C30" s="33">
        <f>'Financial Statements'!B18/'Financial Statements'!B114</f>
        <v>41.68830715532286</v>
      </c>
      <c r="D30" s="33">
        <f>'Financial Statements'!C18/'Financial Statements'!C114</f>
        <v>40.546706363974693</v>
      </c>
      <c r="E30" s="33">
        <f>'Financial Statements'!D18/'Financial Statements'!D114</f>
        <v>22.081279147235175</v>
      </c>
      <c r="F30" s="34" t="s">
        <v>157</v>
      </c>
      <c r="G30" s="34" t="s">
        <v>169</v>
      </c>
    </row>
    <row r="31" spans="1:7" s="34" customFormat="1" x14ac:dyDescent="0.2">
      <c r="A31" s="31">
        <f>+A30+0.1</f>
        <v>3.5000000000000004</v>
      </c>
      <c r="B31" s="32" t="s">
        <v>120</v>
      </c>
      <c r="C31" s="33">
        <f>'Financial Statements'!B91/('Financial Statements'!B54+'Financial Statements'!B59)</f>
        <v>1.1212582957747772</v>
      </c>
      <c r="D31" s="33">
        <f>'Financial Statements'!C91/('Financial Statements'!C54+'Financial Statements'!C59)</f>
        <v>0.90384515142564248</v>
      </c>
      <c r="E31" s="33">
        <f>'Financial Statements'!D91/('Financial Statements'!D54+'Financial Statements'!D59)</f>
        <v>0.77823331371849169</v>
      </c>
      <c r="F31" s="34" t="s">
        <v>157</v>
      </c>
      <c r="G31" s="34" t="s">
        <v>170</v>
      </c>
    </row>
    <row r="32" spans="1:7" s="34" customFormat="1" x14ac:dyDescent="0.2">
      <c r="A32" s="31">
        <f t="shared" si="3"/>
        <v>3.6000000000000005</v>
      </c>
      <c r="B32" s="32" t="s">
        <v>121</v>
      </c>
      <c r="C32" s="33">
        <f>C33/'Financial Statements'!B27*1000</f>
        <v>6.8724256462598001</v>
      </c>
      <c r="D32" s="33">
        <f>D33/'Financial Statements'!C27*1000</f>
        <v>5.56562398361035</v>
      </c>
      <c r="E32" s="33">
        <f>E33/'Financial Statements'!D27*1000</f>
        <v>4.2280138811864996</v>
      </c>
      <c r="G32" s="34" t="s">
        <v>171</v>
      </c>
    </row>
    <row r="33" spans="1:7" s="34" customFormat="1" x14ac:dyDescent="0.2">
      <c r="A33" s="31"/>
      <c r="B33" s="32" t="s">
        <v>122</v>
      </c>
      <c r="C33" s="33">
        <f>'Financial Statements'!B91+'Financial Statements'!B96</f>
        <v>111443</v>
      </c>
      <c r="D33" s="33">
        <f>'Financial Statements'!C91+'Financial Statements'!C96</f>
        <v>92953</v>
      </c>
      <c r="E33" s="33">
        <f>'Financial Statements'!D91+'Financial Statements'!D96</f>
        <v>73365</v>
      </c>
      <c r="G33" s="34" t="s">
        <v>172</v>
      </c>
    </row>
    <row r="34" spans="1:7" x14ac:dyDescent="0.2">
      <c r="A34" s="18"/>
    </row>
    <row r="35" spans="1:7" x14ac:dyDescent="0.2">
      <c r="A35" s="18">
        <f>+A26+1</f>
        <v>4</v>
      </c>
      <c r="B35" s="17" t="s">
        <v>123</v>
      </c>
    </row>
    <row r="36" spans="1:7" s="34" customFormat="1" x14ac:dyDescent="0.2">
      <c r="A36" s="31">
        <f>+A35+0.1</f>
        <v>4.0999999999999996</v>
      </c>
      <c r="B36" s="32" t="s">
        <v>124</v>
      </c>
      <c r="C36" s="33">
        <f>'Financial Statements'!B8/'Financial Statements'!B48</f>
        <v>1.1178523337727317</v>
      </c>
      <c r="D36" s="33">
        <f>'Financial Statements'!C8/'Financial Statements'!C48</f>
        <v>1.0422077367080529</v>
      </c>
      <c r="E36" s="33">
        <f>'Financial Statements'!D8/'Financial Statements'!D48</f>
        <v>0.84756150274168851</v>
      </c>
      <c r="G36" s="34" t="s">
        <v>173</v>
      </c>
    </row>
    <row r="37" spans="1:7" s="34" customFormat="1" x14ac:dyDescent="0.2">
      <c r="A37" s="31">
        <f t="shared" ref="A37" si="4">+A36+0.1</f>
        <v>4.1999999999999993</v>
      </c>
      <c r="B37" s="32" t="s">
        <v>125</v>
      </c>
      <c r="C37" s="33">
        <f>'Financial Statements'!B8/'Financial Statements'!B45</f>
        <v>9.3626801529073767</v>
      </c>
      <c r="D37" s="33">
        <f>'Financial Statements'!C8/'Financial Statements'!C45</f>
        <v>9.2752789046653152</v>
      </c>
      <c r="E37" s="33">
        <f>'Financial Statements'!D8/'Financial Statements'!D45</f>
        <v>7.4665451776097482</v>
      </c>
      <c r="G37" s="34" t="s">
        <v>174</v>
      </c>
    </row>
    <row r="38" spans="1:7" s="34" customFormat="1" x14ac:dyDescent="0.2">
      <c r="A38" s="31">
        <f>+A37+0.1</f>
        <v>4.2999999999999989</v>
      </c>
      <c r="B38" s="32" t="s">
        <v>126</v>
      </c>
      <c r="C38" s="33">
        <f>'Financial Statements'!B12/'List of Ratios'!C39</f>
        <v>38.789866389033492</v>
      </c>
      <c r="D38" s="33">
        <f>'Financial Statements'!C12/'List of Ratios'!D39</f>
        <v>40.030260313880277</v>
      </c>
      <c r="E38" s="33"/>
      <c r="G38" s="34" t="s">
        <v>175</v>
      </c>
    </row>
    <row r="39" spans="1:7" s="34" customFormat="1" x14ac:dyDescent="0.2">
      <c r="A39" s="31"/>
      <c r="B39" s="32" t="s">
        <v>176</v>
      </c>
      <c r="C39" s="33">
        <f>('Financial Statements'!B39+'Financial Statements'!C39)/2</f>
        <v>5763</v>
      </c>
      <c r="D39" s="33">
        <f>('Financial Statements'!C39+'Financial Statements'!D39)/2</f>
        <v>5320.5</v>
      </c>
      <c r="E39" s="33"/>
      <c r="G39" s="34" t="s">
        <v>177</v>
      </c>
    </row>
    <row r="40" spans="1:7" s="34" customFormat="1" x14ac:dyDescent="0.2">
      <c r="A40" s="31">
        <f>+A38+0.1</f>
        <v>4.3999999999999986</v>
      </c>
      <c r="B40" s="32" t="s">
        <v>127</v>
      </c>
      <c r="C40" s="33">
        <f>'Financial Statements'!B22/'Financial Statements'!B48*100</f>
        <v>28.292440929256852</v>
      </c>
      <c r="D40" s="33">
        <f>'Financial Statements'!C22/'Financial Statements'!C48*100</f>
        <v>26.974205275183614</v>
      </c>
      <c r="E40" s="33">
        <f>'Financial Statements'!D22/'Financial Statements'!D48*100</f>
        <v>17.725571802598431</v>
      </c>
      <c r="F40" s="34" t="s">
        <v>157</v>
      </c>
      <c r="G40" s="34" t="s">
        <v>178</v>
      </c>
    </row>
    <row r="41" spans="1:7" x14ac:dyDescent="0.2">
      <c r="A41" s="18"/>
    </row>
    <row r="42" spans="1:7" x14ac:dyDescent="0.2">
      <c r="A42" s="18">
        <f>+A35+1</f>
        <v>5</v>
      </c>
      <c r="B42" s="17" t="s">
        <v>128</v>
      </c>
    </row>
    <row r="43" spans="1:7" s="34" customFormat="1" x14ac:dyDescent="0.2">
      <c r="A43" s="31">
        <f>+A42+0.1</f>
        <v>5.0999999999999996</v>
      </c>
      <c r="B43" s="32" t="s">
        <v>129</v>
      </c>
      <c r="C43" s="33">
        <f>C44/'Financial Statements'!B24</f>
        <v>28.873170731707315</v>
      </c>
      <c r="D43" s="33">
        <f>D44/'Financial Statements'!C24</f>
        <v>23.289241622574959</v>
      </c>
      <c r="E43" s="33">
        <f>E44/'Financial Statements'!D24</f>
        <v>22.465256797583081</v>
      </c>
      <c r="G43" s="34" t="s">
        <v>179</v>
      </c>
    </row>
    <row r="44" spans="1:7" s="34" customFormat="1" x14ac:dyDescent="0.2">
      <c r="A44" s="31"/>
      <c r="B44" s="32" t="s">
        <v>180</v>
      </c>
      <c r="C44" s="33">
        <v>177.57</v>
      </c>
      <c r="D44" s="33">
        <v>132.05000000000001</v>
      </c>
      <c r="E44" s="33">
        <v>74.36</v>
      </c>
      <c r="F44" s="34" t="s">
        <v>181</v>
      </c>
    </row>
    <row r="45" spans="1:7" s="34" customFormat="1" x14ac:dyDescent="0.2">
      <c r="A45" s="31">
        <f>+A43+0.1</f>
        <v>5.1999999999999993</v>
      </c>
      <c r="B45" s="32" t="s">
        <v>130</v>
      </c>
      <c r="C45" s="33">
        <f>'Financial Statements'!B24</f>
        <v>6.15</v>
      </c>
      <c r="D45" s="33">
        <f>'Financial Statements'!C24</f>
        <v>5.67</v>
      </c>
      <c r="E45" s="33">
        <f>'Financial Statements'!D24</f>
        <v>3.31</v>
      </c>
    </row>
    <row r="46" spans="1:7" s="34" customFormat="1" x14ac:dyDescent="0.2">
      <c r="A46" s="31">
        <f t="shared" ref="A46:A48" si="5">+A45+0.1</f>
        <v>5.2999999999999989</v>
      </c>
      <c r="B46" s="32" t="s">
        <v>131</v>
      </c>
      <c r="C46" s="33">
        <f>C44/C47</f>
        <v>56.825634470910956</v>
      </c>
      <c r="D46" s="33">
        <f t="shared" ref="D46:E46" si="6">D44/D47</f>
        <v>34.956458513235063</v>
      </c>
      <c r="E46" s="33">
        <f t="shared" si="6"/>
        <v>19.747831598891935</v>
      </c>
      <c r="G46" s="34" t="s">
        <v>182</v>
      </c>
    </row>
    <row r="47" spans="1:7" s="34" customFormat="1" x14ac:dyDescent="0.2">
      <c r="A47" s="31">
        <f>+A46+0.1</f>
        <v>5.3999999999999986</v>
      </c>
      <c r="B47" s="32" t="s">
        <v>132</v>
      </c>
      <c r="C47" s="33">
        <f>'Financial Statements'!B68/'Financial Statements'!B27*1000</f>
        <v>3.124822127430853</v>
      </c>
      <c r="D47" s="33">
        <f>'Financial Statements'!C68/'Financial Statements'!C27*1000</f>
        <v>3.7775565837141025</v>
      </c>
      <c r="E47" s="33">
        <f>'Financial Statements'!D68/'Financial Statements'!D27*1000</f>
        <v>3.765476712094932</v>
      </c>
      <c r="G47" s="34" t="s">
        <v>183</v>
      </c>
    </row>
    <row r="48" spans="1:7" s="34" customFormat="1" x14ac:dyDescent="0.2">
      <c r="A48" s="31">
        <f t="shared" si="5"/>
        <v>5.4999999999999982</v>
      </c>
      <c r="B48" s="32" t="s">
        <v>133</v>
      </c>
      <c r="C48" s="33">
        <f>C49/C45</f>
        <v>3.5772357723577231E-2</v>
      </c>
      <c r="D48" s="33">
        <f t="shared" ref="D48:E48" si="7">D49/D45</f>
        <v>3.6155202821869487E-2</v>
      </c>
      <c r="E48" s="33">
        <f t="shared" si="7"/>
        <v>0.23262839879154079</v>
      </c>
      <c r="G48" s="34" t="s">
        <v>184</v>
      </c>
    </row>
    <row r="49" spans="1:7" s="34" customFormat="1" x14ac:dyDescent="0.2">
      <c r="A49" s="31"/>
      <c r="B49" s="32" t="s">
        <v>134</v>
      </c>
      <c r="C49" s="33">
        <v>0.22</v>
      </c>
      <c r="D49" s="33">
        <v>0.20499999999999999</v>
      </c>
      <c r="E49" s="33">
        <v>0.77</v>
      </c>
    </row>
    <row r="50" spans="1:7" s="34" customFormat="1" x14ac:dyDescent="0.2">
      <c r="A50" s="31">
        <f>+A48+0.1</f>
        <v>5.5999999999999979</v>
      </c>
      <c r="B50" s="32" t="s">
        <v>135</v>
      </c>
      <c r="C50" s="33">
        <f>C49/C44*100</f>
        <v>0.12389480204989581</v>
      </c>
      <c r="D50" s="33">
        <f t="shared" ref="D50:E50" si="8">D49/D44*100</f>
        <v>0.15524422567209387</v>
      </c>
      <c r="E50" s="33">
        <f t="shared" si="8"/>
        <v>1.0355029585798818</v>
      </c>
      <c r="G50" s="34" t="s">
        <v>185</v>
      </c>
    </row>
    <row r="51" spans="1:7" s="34" customFormat="1" x14ac:dyDescent="0.2">
      <c r="A51" s="31">
        <f t="shared" ref="A51:A53" si="9">+A49+0.1</f>
        <v>0.1</v>
      </c>
      <c r="B51" s="32" t="s">
        <v>136</v>
      </c>
      <c r="C51" s="33">
        <f>'Financial Statements'!B22/'Financial Statements'!B68*100</f>
        <v>196.95887275023682</v>
      </c>
      <c r="D51" s="33">
        <f>'Financial Statements'!C22/'Financial Statements'!C68*100</f>
        <v>150.07132667617688</v>
      </c>
      <c r="E51" s="33">
        <f>'Financial Statements'!D22/'Financial Statements'!D68*100</f>
        <v>87.866358530127485</v>
      </c>
      <c r="G51" s="34" t="s">
        <v>186</v>
      </c>
    </row>
    <row r="52" spans="1:7" s="34" customFormat="1" x14ac:dyDescent="0.2">
      <c r="A52" s="31">
        <f t="shared" si="9"/>
        <v>5.6999999999999975</v>
      </c>
      <c r="B52" s="32" t="s">
        <v>137</v>
      </c>
      <c r="C52" s="33">
        <f>'Financial Statements'!B18/('Financial Statements'!B48-'Financial Statements'!B56)*100</f>
        <v>60.087134570590571</v>
      </c>
      <c r="D52" s="33">
        <f>'Financial Statements'!C18/('Financial Statements'!C48-'Financial Statements'!C56)*100</f>
        <v>48.309913489209436</v>
      </c>
      <c r="E52" s="33">
        <f>'Financial Statements'!D18/('Financial Statements'!D48-'Financial Statements'!D56)*100</f>
        <v>30.338312829525481</v>
      </c>
      <c r="F52" s="34" t="s">
        <v>157</v>
      </c>
      <c r="G52" s="34" t="s">
        <v>187</v>
      </c>
    </row>
    <row r="53" spans="1:7" s="34" customFormat="1" x14ac:dyDescent="0.2">
      <c r="A53" s="31">
        <f t="shared" si="9"/>
        <v>0.2</v>
      </c>
      <c r="B53" s="32" t="s">
        <v>127</v>
      </c>
      <c r="C53" s="33">
        <f>'Financial Statements'!B22/'Financial Statements'!B48*100</f>
        <v>28.292440929256852</v>
      </c>
      <c r="D53" s="33">
        <f>'Financial Statements'!C22/'Financial Statements'!C48*100</f>
        <v>26.974205275183614</v>
      </c>
      <c r="E53" s="33">
        <f>'Financial Statements'!D22/'Financial Statements'!D48*100</f>
        <v>17.725571802598431</v>
      </c>
      <c r="G53" s="34" t="s">
        <v>178</v>
      </c>
    </row>
    <row r="54" spans="1:7" s="34" customFormat="1" x14ac:dyDescent="0.2">
      <c r="A54" s="31"/>
      <c r="B54" s="32" t="s">
        <v>189</v>
      </c>
      <c r="C54" s="33">
        <f>C44*'Financial Statements'!B27</f>
        <v>2879468549.9099998</v>
      </c>
      <c r="D54" s="33">
        <f>D44*'Financial Statements'!C27</f>
        <v>2205402967.6000004</v>
      </c>
      <c r="E54" s="33">
        <f>E44*'Financial Statements'!D27</f>
        <v>1290303568.8399999</v>
      </c>
      <c r="G54" s="34" t="s">
        <v>190</v>
      </c>
    </row>
    <row r="55" spans="1:7" s="34" customFormat="1" x14ac:dyDescent="0.2">
      <c r="A55" s="31">
        <f>+A52+0.1</f>
        <v>5.7999999999999972</v>
      </c>
      <c r="B55" s="32" t="s">
        <v>138</v>
      </c>
      <c r="C55" s="33">
        <f>C56/C21</f>
        <v>22058.62518986372</v>
      </c>
      <c r="D55" s="33">
        <f>D56/D21</f>
        <v>18343.439376876569</v>
      </c>
      <c r="E55" s="33">
        <f>E56/E21</f>
        <v>16683.55648582954</v>
      </c>
      <c r="G55" s="34" t="s">
        <v>188</v>
      </c>
    </row>
    <row r="56" spans="1:7" s="34" customFormat="1" x14ac:dyDescent="0.2">
      <c r="A56" s="31"/>
      <c r="B56" s="32" t="s">
        <v>139</v>
      </c>
      <c r="C56" s="33">
        <f>C54+C57-'Financial Statements'!B36</f>
        <v>2879554990.9099998</v>
      </c>
      <c r="D56" s="33">
        <f>D54+D57-'Financial Statements'!C36</f>
        <v>2205486746.6000004</v>
      </c>
      <c r="E56" s="33">
        <f>E54+E57-'Financial Statements'!D36</f>
        <v>1290372992.8399999</v>
      </c>
      <c r="G56" s="34" t="s">
        <v>193</v>
      </c>
    </row>
    <row r="57" spans="1:7" s="34" customFormat="1" x14ac:dyDescent="0.2">
      <c r="A57" s="31"/>
      <c r="B57" s="32" t="s">
        <v>191</v>
      </c>
      <c r="C57" s="33">
        <f>'Financial Statements'!B55+'Financial Statements'!B59</f>
        <v>110087</v>
      </c>
      <c r="D57" s="33">
        <f>'Financial Statements'!C55+'Financial Statements'!C59</f>
        <v>118719</v>
      </c>
      <c r="E57" s="33">
        <f>'Financial Statements'!D55+'Financial Statements'!D59</f>
        <v>107440</v>
      </c>
      <c r="G57" s="34" t="s">
        <v>192</v>
      </c>
    </row>
    <row r="58" spans="1:7" x14ac:dyDescent="0.2">
      <c r="C58" s="35"/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Additional Requirements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Marina Chancheva</cp:lastModifiedBy>
  <dcterms:created xsi:type="dcterms:W3CDTF">2020-05-18T16:32:37Z</dcterms:created>
  <dcterms:modified xsi:type="dcterms:W3CDTF">2024-10-13T20:50:09Z</dcterms:modified>
</cp:coreProperties>
</file>