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7530" activeTab="2"/>
  </bookViews>
  <sheets>
    <sheet name="Instructions" sheetId="2" r:id="rId1"/>
    <sheet name="Financial Statements" sheetId="1" r:id="rId2"/>
    <sheet name="List of Ratios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3" l="1"/>
  <c r="D35" i="3"/>
  <c r="C35" i="3"/>
  <c r="E28" i="3"/>
  <c r="D28" i="3"/>
  <c r="D21" i="3"/>
  <c r="C28" i="3"/>
  <c r="E25" i="3"/>
  <c r="D25" i="3"/>
  <c r="C25" i="3"/>
  <c r="E21" i="3"/>
  <c r="C21" i="3"/>
  <c r="C7" i="3"/>
  <c r="D7" i="3"/>
  <c r="C8" i="3"/>
  <c r="E7" i="3"/>
  <c r="E6" i="3"/>
  <c r="N8" i="3" l="1"/>
  <c r="O8" i="3"/>
  <c r="P8" i="3"/>
  <c r="N12" i="3"/>
  <c r="O12" i="3"/>
  <c r="P12" i="3"/>
  <c r="N13" i="3"/>
  <c r="O13" i="3"/>
  <c r="P13" i="3"/>
  <c r="N17" i="3"/>
  <c r="O17" i="3"/>
  <c r="P17" i="3"/>
  <c r="N18" i="3"/>
  <c r="O18" i="3"/>
  <c r="P18" i="3"/>
  <c r="N20" i="3"/>
  <c r="O20" i="3"/>
  <c r="P20" i="3"/>
  <c r="N22" i="3"/>
  <c r="O22" i="3"/>
  <c r="P22" i="3"/>
  <c r="N33" i="3"/>
  <c r="O33" i="3"/>
  <c r="P33" i="3"/>
  <c r="N42" i="3"/>
  <c r="O42" i="3"/>
  <c r="P42" i="3"/>
  <c r="N47" i="3"/>
  <c r="O47" i="3"/>
  <c r="P47" i="3"/>
  <c r="N48" i="3"/>
  <c r="O48" i="3"/>
  <c r="P48" i="3"/>
  <c r="N56" i="3"/>
  <c r="O56" i="3"/>
  <c r="P56" i="3"/>
  <c r="N61" i="3"/>
  <c r="O61" i="3"/>
  <c r="P61" i="3"/>
  <c r="N62" i="3"/>
  <c r="O62" i="3"/>
  <c r="P62" i="3"/>
  <c r="N68" i="3"/>
  <c r="O68" i="3"/>
  <c r="P68" i="3"/>
  <c r="N69" i="3"/>
  <c r="O69" i="3"/>
  <c r="P69" i="3"/>
  <c r="N73" i="3"/>
  <c r="O73" i="3"/>
  <c r="P73" i="3"/>
  <c r="N76" i="3"/>
  <c r="O76" i="3"/>
  <c r="P76" i="3"/>
  <c r="N91" i="3"/>
  <c r="O91" i="3"/>
  <c r="P91" i="3"/>
  <c r="N99" i="3"/>
  <c r="O99" i="3"/>
  <c r="P99" i="3"/>
  <c r="N108" i="3"/>
  <c r="O108" i="3"/>
  <c r="P108" i="3"/>
  <c r="N109" i="3"/>
  <c r="O109" i="3"/>
  <c r="P109" i="3"/>
  <c r="E88" i="3"/>
  <c r="C88" i="3"/>
  <c r="D88" i="3"/>
  <c r="E87" i="3"/>
  <c r="D87" i="3"/>
  <c r="C87" i="3"/>
  <c r="C86" i="3"/>
  <c r="E86" i="3"/>
  <c r="D86" i="3"/>
  <c r="E84" i="3"/>
  <c r="D84" i="3"/>
  <c r="C84" i="3"/>
  <c r="E83" i="3"/>
  <c r="D83" i="3"/>
  <c r="C83" i="3"/>
  <c r="E82" i="3"/>
  <c r="D82" i="3"/>
  <c r="C82" i="3"/>
  <c r="E81" i="3"/>
  <c r="D81" i="3"/>
  <c r="C81" i="3"/>
  <c r="E80" i="3"/>
  <c r="D80" i="3"/>
  <c r="C80" i="3"/>
  <c r="E79" i="3"/>
  <c r="D79" i="3"/>
  <c r="C79" i="3"/>
  <c r="E49" i="3"/>
  <c r="D49" i="3"/>
  <c r="C49" i="3"/>
  <c r="E47" i="3"/>
  <c r="D47" i="3"/>
  <c r="C47" i="3"/>
  <c r="D40" i="3"/>
  <c r="C40" i="3"/>
  <c r="E40" i="3"/>
  <c r="E41" i="3"/>
  <c r="E51" i="3" s="1"/>
  <c r="D41" i="3"/>
  <c r="D43" i="3" s="1"/>
  <c r="D42" i="3" s="1"/>
  <c r="C41" i="3"/>
  <c r="C51" i="3" s="1"/>
  <c r="E37" i="3"/>
  <c r="D37" i="3"/>
  <c r="C37" i="3"/>
  <c r="E36" i="3"/>
  <c r="D36" i="3"/>
  <c r="C36" i="3"/>
  <c r="E34" i="3"/>
  <c r="D34" i="3"/>
  <c r="C34" i="3"/>
  <c r="C30" i="3"/>
  <c r="E31" i="3"/>
  <c r="E30" i="3" s="1"/>
  <c r="D31" i="3"/>
  <c r="D30" i="3" s="1"/>
  <c r="C31" i="3"/>
  <c r="E29" i="3"/>
  <c r="D29" i="3"/>
  <c r="C29" i="3"/>
  <c r="C27" i="3"/>
  <c r="E27" i="3"/>
  <c r="D27" i="3"/>
  <c r="E26" i="3"/>
  <c r="D26" i="3"/>
  <c r="C26" i="3"/>
  <c r="E22" i="3"/>
  <c r="D22" i="3"/>
  <c r="C22" i="3"/>
  <c r="C20" i="3"/>
  <c r="D48" i="3"/>
  <c r="E19" i="3"/>
  <c r="E18" i="3" s="1"/>
  <c r="D19" i="3"/>
  <c r="D18" i="3" s="1"/>
  <c r="C19" i="3"/>
  <c r="C18" i="3" s="1"/>
  <c r="E17" i="3"/>
  <c r="D17" i="3"/>
  <c r="C17" i="3"/>
  <c r="C14" i="3"/>
  <c r="C13" i="3" s="1"/>
  <c r="E14" i="3"/>
  <c r="E13" i="3" s="1"/>
  <c r="D14" i="3"/>
  <c r="D13" i="3" s="1"/>
  <c r="E11" i="3"/>
  <c r="D11" i="3"/>
  <c r="C11" i="3"/>
  <c r="E10" i="3"/>
  <c r="D10" i="3"/>
  <c r="D12" i="3" s="1"/>
  <c r="C10" i="3"/>
  <c r="E9" i="3"/>
  <c r="E12" i="3" s="1"/>
  <c r="D9" i="3"/>
  <c r="C9" i="3"/>
  <c r="C12" i="3" s="1"/>
  <c r="E8" i="3"/>
  <c r="D8" i="3"/>
  <c r="D6" i="3"/>
  <c r="C6" i="3"/>
  <c r="E5" i="3"/>
  <c r="D5" i="3"/>
  <c r="C5" i="3"/>
  <c r="E20" i="3" l="1"/>
  <c r="C43" i="3"/>
  <c r="C42" i="3" s="1"/>
  <c r="E48" i="3"/>
  <c r="C45" i="3"/>
  <c r="C50" i="3"/>
  <c r="E50" i="3"/>
  <c r="C48" i="3"/>
  <c r="D45" i="3"/>
  <c r="D51" i="3"/>
  <c r="D50" i="3" s="1"/>
  <c r="D20" i="3"/>
  <c r="E43" i="3"/>
  <c r="E42" i="3" s="1"/>
  <c r="E45" i="3"/>
  <c r="D109" i="1"/>
  <c r="B109" i="1"/>
  <c r="D108" i="1"/>
  <c r="C108" i="1"/>
  <c r="B108" i="1"/>
  <c r="D99" i="1"/>
  <c r="C99" i="1"/>
  <c r="B99" i="1"/>
  <c r="C46" i="3" l="1"/>
  <c r="C44" i="3"/>
  <c r="E46" i="3"/>
  <c r="E44" i="3"/>
  <c r="D44" i="3"/>
  <c r="D46" i="3"/>
  <c r="D68" i="1"/>
  <c r="C68" i="1"/>
  <c r="B68" i="1"/>
  <c r="D61" i="1"/>
  <c r="C61" i="1"/>
  <c r="B61" i="1"/>
  <c r="D56" i="1"/>
  <c r="C56" i="1"/>
  <c r="C62" i="1" s="1"/>
  <c r="B56" i="1"/>
  <c r="B62" i="1" s="1"/>
  <c r="B48" i="1"/>
  <c r="D47" i="1"/>
  <c r="C47" i="1"/>
  <c r="B47" i="1"/>
  <c r="D42" i="1"/>
  <c r="C42" i="1"/>
  <c r="B42" i="1"/>
  <c r="D17" i="1"/>
  <c r="C17" i="1"/>
  <c r="B17" i="1"/>
  <c r="D13" i="1"/>
  <c r="D18" i="1" s="1"/>
  <c r="D20" i="1" s="1"/>
  <c r="D22" i="1" s="1"/>
  <c r="D76" i="1" s="1"/>
  <c r="D91" i="1" s="1"/>
  <c r="D12" i="1"/>
  <c r="C12" i="1"/>
  <c r="B12" i="1"/>
  <c r="D8" i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C48" i="1"/>
  <c r="D62" i="1"/>
  <c r="D69" i="1" s="1"/>
  <c r="C69" i="1"/>
  <c r="D48" i="1"/>
  <c r="B69" i="1"/>
  <c r="A47" i="3"/>
  <c r="A49" i="3" s="1"/>
  <c r="A24" i="3"/>
  <c r="A25" i="3" s="1"/>
  <c r="A26" i="3" s="1"/>
  <c r="A27" i="3" s="1"/>
  <c r="A28" i="3" s="1"/>
  <c r="A29" i="3" s="1"/>
  <c r="A30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<sst xmlns="http://schemas.openxmlformats.org/spreadsheetml/2006/main" count="310" uniqueCount="161">
  <si>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</si>
  <si>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</si>
  <si>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</si>
  <si>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</si>
  <si>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</si>
  <si>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</si>
  <si>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</si>
  <si>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</si>
  <si>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</si>
  <si>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</si>
  <si>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</si>
  <si>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</si>
  <si>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</si>
  <si>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</si>
  <si>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</si>
  <si>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</si>
  <si>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</si>
  <si>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</si>
  <si>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</si>
  <si>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</si>
  <si>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</si>
  <si>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</si>
  <si>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</si>
  <si>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</si>
  <si>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</si>
  <si>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</si>
  <si>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</si>
  <si>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</si>
  <si>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</si>
  <si>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</si>
  <si>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</si>
  <si>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</si>
  <si>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</si>
  <si>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</si>
  <si>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</si>
  <si>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</si>
  <si>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</si>
  <si>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</si>
  <si>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</si>
  <si>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</si>
  <si>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</si>
  <si>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</si>
  <si>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</si>
  <si>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</si>
  <si>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</si>
  <si>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</si>
  <si>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</si>
  <si>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</si>
  <si>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</si>
  <si>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</si>
  <si>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</si>
  <si>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</si>
  <si>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</si>
  <si>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</si>
  <si>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</si>
  <si>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</si>
  <si>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</si>
  <si>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</si>
  <si>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</si>
  <si>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</si>
  <si>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</si>
  <si>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</si>
  <si>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</si>
  <si>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</si>
  <si>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</si>
  <si>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</si>
  <si>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</si>
  <si>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</si>
  <si>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</si>
  <si>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</si>
  <si>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</si>
  <si>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</si>
  <si>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</si>
  <si>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</si>
  <si>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</si>
  <si>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</si>
  <si>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</si>
  <si>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</si>
  <si>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</si>
  <si>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</si>
  <si>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</si>
  <si>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</si>
  <si>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</si>
  <si>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</si>
  <si>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</si>
  <si>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</si>
  <si>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</si>
  <si>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</si>
  <si>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</si>
  <si>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</si>
  <si>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</si>
  <si>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</si>
  <si>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</si>
  <si>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</si>
  <si>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</si>
  <si>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</si>
  <si>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</si>
  <si>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</si>
  <si>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</si>
  <si>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</si>
  <si>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</si>
  <si>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</si>
  <si>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</si>
  <si>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</si>
  <si>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</si>
  <si>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</si>
  <si>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</si>
  <si>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</si>
  <si>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</si>
  <si>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</si>
  <si>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</si>
  <si>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</si>
  <si>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</si>
  <si>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</si>
  <si>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</si>
  <si>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</si>
  <si>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</si>
  <si>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</si>
  <si>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</si>
  <si>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</si>
  <si>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</si>
  <si>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</si>
  <si>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</si>
  <si>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</si>
  <si>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</si>
  <si>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</si>
  <si>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</si>
  <si>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</si>
  <si>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</si>
  <si>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</si>
  <si>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</si>
  <si>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</si>
  <si>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</si>
  <si>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</si>
  <si>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</si>
  <si>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</si>
  <si>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</si>
  <si>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</si>
  <si>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</si>
  <si>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</si>
  <si>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</si>
  <si>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</si>
  <si>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</si>
  <si>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</si>
  <si>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</si>
  <si>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</si>
  <si>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</si>
  <si>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</si>
  <si>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</si>
  <si>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</si>
  <si>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Product Sales Compound Annual Growth Rate</t>
  </si>
  <si>
    <t>Service Sales Compound Annual Growth Rate</t>
  </si>
  <si>
    <t>Net Sales Compound Annual Growth Rate</t>
  </si>
  <si>
    <t>Gross Profit CAGR</t>
  </si>
  <si>
    <t>Research and Operating expense CAGR</t>
  </si>
  <si>
    <t>Selling,general and adminsitrive expense CAGR</t>
  </si>
  <si>
    <t>Compound Annal Growth Rates</t>
  </si>
  <si>
    <t>Margins/as a % of net sales</t>
  </si>
  <si>
    <t>Operating Income</t>
  </si>
  <si>
    <t xml:space="preserve">Selling,general and adminsitrive expense </t>
  </si>
  <si>
    <t>Research and Operating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</si>
</sst>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0" fontId="0" fillId="0" borderId="0" xfId="0" applyNumberFormat="1"/>
    <xf numFmtId="43" fontId="0" fillId="0" borderId="0" xfId="0" applyNumberFormat="1"/>
    <xf numFmtId="9" fontId="0" fillId="0" borderId="0" xfId="3" applyFont="1"/>
    <xf numFmtId="10" fontId="0" fillId="0" borderId="0" xfId="0" applyNumberFormat="1"/>
    <xf numFmtId="0" fontId="2" fillId="0" borderId="0" xfId="0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2" workbookViewId="0">
      <selection activeCell="A22" sqref="A22:A24"/>
    </sheetView>
  </sheetViews>
  <sheetFormatPr defaultRowHeight="15" x14ac:dyDescent="0.25"/>
  <cols>
    <col min="1" max="1" width="104.5703125" customWidth="1"/>
  </cols>
  <sheetData>
    <row r="1" spans="1:1" ht="23.45" x14ac:dyDescent="0.45">
      <c r="A1" s="5" t="s">
        <v>87</v>
      </c>
    </row>
    <row r="3" spans="1:1" ht="14.45" x14ac:dyDescent="0.3">
      <c r="A3" s="7" t="s">
        <v>141</v>
      </c>
    </row>
    <row r="4" spans="1:1" ht="14.45" x14ac:dyDescent="0.3">
      <c r="A4" s="16" t="s">
        <v>88</v>
      </c>
    </row>
    <row r="5" spans="1:1" ht="14.45" x14ac:dyDescent="0.3">
      <c r="A5" s="7" t="s">
        <v>97</v>
      </c>
    </row>
    <row r="6" spans="1:1" ht="14.45" x14ac:dyDescent="0.3">
      <c r="A6" s="1" t="s">
        <v>148</v>
      </c>
    </row>
    <row r="7" spans="1:1" ht="14.45" x14ac:dyDescent="0.3">
      <c r="A7" s="1"/>
    </row>
    <row r="8" spans="1:1" ht="14.45" x14ac:dyDescent="0.3">
      <c r="A8" s="17" t="s">
        <v>149</v>
      </c>
    </row>
    <row r="9" spans="1:1" ht="14.45" x14ac:dyDescent="0.3">
      <c r="A9" s="1" t="s">
        <v>145</v>
      </c>
    </row>
    <row r="10" spans="1:1" ht="14.45" x14ac:dyDescent="0.3">
      <c r="A10" s="1" t="s">
        <v>89</v>
      </c>
    </row>
    <row r="11" spans="1:1" ht="14.45" x14ac:dyDescent="0.3">
      <c r="A11" s="1" t="s">
        <v>90</v>
      </c>
    </row>
    <row r="12" spans="1:1" ht="14.45" x14ac:dyDescent="0.3">
      <c r="A12" s="1" t="s">
        <v>91</v>
      </c>
    </row>
    <row r="13" spans="1:1" ht="14.45" x14ac:dyDescent="0.3">
      <c r="A13" s="1"/>
    </row>
    <row r="14" spans="1:1" ht="14.45" x14ac:dyDescent="0.3">
      <c r="A14" s="17" t="s">
        <v>92</v>
      </c>
    </row>
    <row r="15" spans="1:1" ht="14.45" x14ac:dyDescent="0.3">
      <c r="A15" s="1" t="s">
        <v>146</v>
      </c>
    </row>
    <row r="16" spans="1:1" ht="14.45" x14ac:dyDescent="0.3">
      <c r="A16" s="1" t="s">
        <v>89</v>
      </c>
    </row>
    <row r="17" spans="1:1" ht="14.45" x14ac:dyDescent="0.3">
      <c r="A17" s="1" t="s">
        <v>90</v>
      </c>
    </row>
    <row r="18" spans="1:1" ht="14.45" x14ac:dyDescent="0.3">
      <c r="A18" s="1" t="s">
        <v>14</v>
      </c>
    </row>
    <row r="19" spans="1:1" ht="14.45" x14ac:dyDescent="0.3">
      <c r="A19" s="1" t="s">
        <v>93</v>
      </c>
    </row>
    <row r="20" spans="1:1" ht="14.45" x14ac:dyDescent="0.3">
      <c r="A20" s="1"/>
    </row>
    <row r="21" spans="1:1" ht="14.45" x14ac:dyDescent="0.3">
      <c r="A21" s="17" t="s">
        <v>98</v>
      </c>
    </row>
    <row r="22" spans="1:1" ht="14.45" x14ac:dyDescent="0.3">
      <c r="A22" s="1" t="s">
        <v>94</v>
      </c>
    </row>
    <row r="23" spans="1:1" ht="14.45" x14ac:dyDescent="0.3">
      <c r="A23" s="1" t="s">
        <v>95</v>
      </c>
    </row>
    <row r="24" spans="1:1" ht="14.45" x14ac:dyDescent="0.3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workbookViewId="0">
      <selection activeCell="A41" sqref="A41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ht="14.45" x14ac:dyDescent="0.3">
      <c r="A2" s="31" t="s">
        <v>1</v>
      </c>
      <c r="B2" s="31"/>
      <c r="C2" s="31"/>
      <c r="D2" s="31"/>
    </row>
    <row r="3" spans="1:10" ht="14.45" x14ac:dyDescent="0.3">
      <c r="B3" s="30" t="s">
        <v>23</v>
      </c>
      <c r="C3" s="30"/>
      <c r="D3" s="30"/>
    </row>
    <row r="4" spans="1:10" ht="14.45" x14ac:dyDescent="0.3">
      <c r="B4" s="7">
        <v>2022</v>
      </c>
      <c r="C4" s="7">
        <v>2021</v>
      </c>
      <c r="D4" s="7">
        <v>2020</v>
      </c>
    </row>
    <row r="5" spans="1:10" ht="14.45" x14ac:dyDescent="0.3">
      <c r="A5" t="s">
        <v>3</v>
      </c>
    </row>
    <row r="6" spans="1:10" ht="14.45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ht="14.45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ht="14.45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ht="14.45" x14ac:dyDescent="0.3">
      <c r="A9" t="s">
        <v>7</v>
      </c>
      <c r="B9" s="12"/>
      <c r="C9" s="12"/>
      <c r="D9" s="12"/>
    </row>
    <row r="10" spans="1:10" ht="14.45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ht="14.45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ht="14.45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ht="14.45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ht="14.45" x14ac:dyDescent="0.3">
      <c r="A14" t="s">
        <v>10</v>
      </c>
      <c r="B14" s="12"/>
      <c r="C14" s="12"/>
      <c r="D14" s="12"/>
    </row>
    <row r="15" spans="1:10" ht="14.45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ht="14.45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ht="14.45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 ht="14.45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ht="14.45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ht="14.45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5">
      <c r="A31" s="31" t="s">
        <v>24</v>
      </c>
      <c r="B31" s="31"/>
      <c r="C31" s="31"/>
      <c r="D31" s="31"/>
    </row>
    <row r="32" spans="1:4" x14ac:dyDescent="0.25">
      <c r="B32" s="30" t="s">
        <v>142</v>
      </c>
      <c r="C32" s="30"/>
      <c r="D32" s="30"/>
    </row>
    <row r="33" spans="1:4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5">
      <c r="A35" t="s">
        <v>25</v>
      </c>
    </row>
    <row r="36" spans="1: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5">
      <c r="A43" t="s">
        <v>48</v>
      </c>
      <c r="B43" s="12"/>
      <c r="C43" s="12"/>
      <c r="D43" s="12"/>
    </row>
    <row r="44" spans="1: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4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31" t="s">
        <v>55</v>
      </c>
      <c r="B71" s="31"/>
      <c r="C71" s="31"/>
      <c r="D71" s="31"/>
    </row>
    <row r="72" spans="1:4" x14ac:dyDescent="0.25">
      <c r="B72" s="30" t="s">
        <v>23</v>
      </c>
      <c r="C72" s="30"/>
      <c r="D72" s="30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tabSelected="1" zoomScale="80" zoomScaleNormal="80" workbookViewId="0">
      <selection activeCell="E36" sqref="E36"/>
    </sheetView>
  </sheetViews>
  <sheetFormatPr defaultRowHeight="15" x14ac:dyDescent="0.25"/>
  <cols>
    <col min="1" max="1" width="4.7109375" customWidth="1"/>
    <col min="2" max="2" width="55.85546875" customWidth="1"/>
    <col min="3" max="5" width="17.85546875" bestFit="1" customWidth="1"/>
    <col min="13" max="13" width="59" customWidth="1"/>
    <col min="14" max="15" width="11.5703125" bestFit="1" customWidth="1"/>
    <col min="16" max="16" width="11.7109375" bestFit="1" customWidth="1"/>
  </cols>
  <sheetData>
    <row r="1" spans="1:16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  <c r="M1" s="6" t="s">
        <v>0</v>
      </c>
      <c r="N1" s="4" t="s">
        <v>2</v>
      </c>
      <c r="O1" s="4"/>
      <c r="P1" s="4"/>
    </row>
    <row r="2" spans="1:16" x14ac:dyDescent="0.25">
      <c r="C2" s="30" t="s">
        <v>23</v>
      </c>
      <c r="D2" s="30"/>
      <c r="E2" s="30"/>
      <c r="M2" s="31" t="s">
        <v>1</v>
      </c>
      <c r="N2" s="31"/>
      <c r="O2" s="31"/>
      <c r="P2" s="31"/>
    </row>
    <row r="3" spans="1:16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N3" s="30" t="s">
        <v>23</v>
      </c>
      <c r="O3" s="30"/>
      <c r="P3" s="30"/>
    </row>
    <row r="4" spans="1:16" x14ac:dyDescent="0.25">
      <c r="A4" s="18">
        <v>1</v>
      </c>
      <c r="B4" s="7" t="s">
        <v>99</v>
      </c>
      <c r="N4" s="7">
        <v>2022</v>
      </c>
      <c r="O4" s="7">
        <v>2021</v>
      </c>
      <c r="P4" s="7">
        <v>2020</v>
      </c>
    </row>
    <row r="5" spans="1:16" x14ac:dyDescent="0.25">
      <c r="A5" s="18">
        <f>+A4+0.1</f>
        <v>1.1000000000000001</v>
      </c>
      <c r="B5" s="1" t="s">
        <v>100</v>
      </c>
      <c r="C5" s="25">
        <f>N42/N56</f>
        <v>0.87935602862672257</v>
      </c>
      <c r="D5" s="25">
        <f>O42/O56</f>
        <v>1.0745531195957954</v>
      </c>
      <c r="E5" s="25">
        <f>P42/P56</f>
        <v>1.3636044481554577</v>
      </c>
      <c r="M5" t="s">
        <v>3</v>
      </c>
    </row>
    <row r="6" spans="1:16" x14ac:dyDescent="0.25">
      <c r="A6" s="18">
        <f t="shared" ref="A6:A13" si="0">+A5+0.1</f>
        <v>1.2000000000000002</v>
      </c>
      <c r="B6" s="1" t="s">
        <v>101</v>
      </c>
      <c r="C6" s="25">
        <f>(N42-N39)/N56</f>
        <v>0.84723539114961488</v>
      </c>
      <c r="D6" s="25">
        <f>(O42-O39)/O56</f>
        <v>1.0221149018576519</v>
      </c>
      <c r="E6" s="25">
        <f>(P42-P39)/P56</f>
        <v>1.325072111735236</v>
      </c>
      <c r="M6" s="1" t="s">
        <v>4</v>
      </c>
      <c r="N6" s="12">
        <v>316199</v>
      </c>
      <c r="O6" s="12">
        <v>297392</v>
      </c>
      <c r="P6" s="12">
        <v>220747</v>
      </c>
    </row>
    <row r="7" spans="1:16" x14ac:dyDescent="0.25">
      <c r="A7" s="18">
        <f t="shared" si="0"/>
        <v>1.3000000000000003</v>
      </c>
      <c r="B7" s="1" t="s">
        <v>102</v>
      </c>
      <c r="C7" s="26">
        <f>(N36+N37)/N56</f>
        <v>0.31369900377966253</v>
      </c>
      <c r="D7" s="26">
        <f>(O36+O37)/O56</f>
        <v>0.49919111259872012</v>
      </c>
      <c r="E7" s="26">
        <f>(P36+P37)/P56</f>
        <v>0.86290230757552755</v>
      </c>
      <c r="M7" s="1" t="s">
        <v>5</v>
      </c>
      <c r="N7" s="12">
        <v>78129</v>
      </c>
      <c r="O7" s="12">
        <v>68425</v>
      </c>
      <c r="P7" s="12">
        <v>53768</v>
      </c>
    </row>
    <row r="8" spans="1:16" x14ac:dyDescent="0.25">
      <c r="A8" s="18">
        <f t="shared" si="0"/>
        <v>1.4000000000000004</v>
      </c>
      <c r="B8" s="1" t="s">
        <v>103</v>
      </c>
      <c r="C8" s="25">
        <f>(N36+N37+N38)/N56</f>
        <v>0.49673338442155579</v>
      </c>
      <c r="D8" s="25">
        <f>(O36+O37+O38)/O56</f>
        <v>0.70860927152317876</v>
      </c>
      <c r="E8" s="25">
        <f>(P36+P37+P38)/P56</f>
        <v>1.0158550933657204</v>
      </c>
      <c r="M8" s="8" t="s">
        <v>6</v>
      </c>
      <c r="N8" s="13">
        <f>+N6+N7</f>
        <v>394328</v>
      </c>
      <c r="O8" s="13">
        <f t="shared" ref="O8:P8" si="1">+O6+O7</f>
        <v>365817</v>
      </c>
      <c r="P8" s="13">
        <f t="shared" si="1"/>
        <v>274515</v>
      </c>
    </row>
    <row r="9" spans="1:16" x14ac:dyDescent="0.25">
      <c r="A9" s="18">
        <f t="shared" si="0"/>
        <v>1.5000000000000004</v>
      </c>
      <c r="B9" s="1" t="s">
        <v>104</v>
      </c>
      <c r="C9" s="25">
        <f>365/N39</f>
        <v>7.3797007682976146E-2</v>
      </c>
      <c r="D9" s="25">
        <f>365/O39</f>
        <v>5.5471124620060791E-2</v>
      </c>
      <c r="E9" s="25">
        <f>365/P39</f>
        <v>8.9879340064023636E-2</v>
      </c>
      <c r="M9" t="s">
        <v>7</v>
      </c>
      <c r="N9" s="12"/>
      <c r="O9" s="12"/>
      <c r="P9" s="12"/>
    </row>
    <row r="10" spans="1:16" x14ac:dyDescent="0.25">
      <c r="A10" s="18">
        <f t="shared" si="0"/>
        <v>1.6000000000000005</v>
      </c>
      <c r="B10" s="1" t="s">
        <v>105</v>
      </c>
      <c r="C10" s="25">
        <f>N51/(N12/365)</f>
        <v>104.68527730310541</v>
      </c>
      <c r="D10" s="25">
        <f>O51/(O12/365)</f>
        <v>93.85107122231561</v>
      </c>
      <c r="E10" s="25">
        <f>P51/(P12/365)</f>
        <v>91.048189715674184</v>
      </c>
      <c r="M10" s="1" t="s">
        <v>4</v>
      </c>
      <c r="N10" s="12">
        <v>201471</v>
      </c>
      <c r="O10" s="12">
        <v>192266</v>
      </c>
      <c r="P10" s="12">
        <v>151286</v>
      </c>
    </row>
    <row r="11" spans="1:16" x14ac:dyDescent="0.25">
      <c r="A11" s="18">
        <f t="shared" si="0"/>
        <v>1.7000000000000006</v>
      </c>
      <c r="B11" s="1" t="s">
        <v>106</v>
      </c>
      <c r="C11" s="25">
        <f>N38/(N8/365)</f>
        <v>26.087825363656655</v>
      </c>
      <c r="D11" s="25">
        <f>O38/(O8/365)</f>
        <v>26.219311841713203</v>
      </c>
      <c r="E11" s="25">
        <f>P38/(P8/365)</f>
        <v>21.433437152796753</v>
      </c>
      <c r="M11" s="1" t="s">
        <v>5</v>
      </c>
      <c r="N11" s="12">
        <v>22075</v>
      </c>
      <c r="O11" s="12">
        <v>20715</v>
      </c>
      <c r="P11" s="12">
        <v>18273</v>
      </c>
    </row>
    <row r="12" spans="1:16" x14ac:dyDescent="0.25">
      <c r="A12" s="18">
        <f t="shared" si="0"/>
        <v>1.8000000000000007</v>
      </c>
      <c r="B12" s="1" t="s">
        <v>107</v>
      </c>
      <c r="C12" s="25">
        <f>(C9+C10)-C11</f>
        <v>78.671248947131716</v>
      </c>
      <c r="D12" s="25">
        <f>(D9+D10)-D11</f>
        <v>67.687230505222459</v>
      </c>
      <c r="E12" s="25">
        <f>(E9+E10)-E11</f>
        <v>69.704631902941458</v>
      </c>
      <c r="M12" s="8" t="s">
        <v>8</v>
      </c>
      <c r="N12" s="13">
        <f>+N10+N11</f>
        <v>223546</v>
      </c>
      <c r="O12" s="13">
        <f t="shared" ref="O12:P12" si="2">+O10+O11</f>
        <v>212981</v>
      </c>
      <c r="P12" s="13">
        <f t="shared" si="2"/>
        <v>169559</v>
      </c>
    </row>
    <row r="13" spans="1:16" x14ac:dyDescent="0.25">
      <c r="A13" s="18">
        <f t="shared" si="0"/>
        <v>1.9000000000000008</v>
      </c>
      <c r="B13" s="1" t="s">
        <v>108</v>
      </c>
      <c r="C13" s="27">
        <f>(C14/N8)</f>
        <v>-4.711052727678481E-2</v>
      </c>
      <c r="D13" s="27">
        <f>(D14/O8)</f>
        <v>2.557289573748623E-2</v>
      </c>
      <c r="E13" s="27">
        <f>(E14/P8)</f>
        <v>0.13959528623208203</v>
      </c>
      <c r="M13" s="8" t="s">
        <v>9</v>
      </c>
      <c r="N13" s="13">
        <f>+N8-N12</f>
        <v>170782</v>
      </c>
      <c r="O13" s="13">
        <f t="shared" ref="O13:P13" si="3">+O8-O12</f>
        <v>152836</v>
      </c>
      <c r="P13" s="13">
        <f t="shared" si="3"/>
        <v>104956</v>
      </c>
    </row>
    <row r="14" spans="1:16" x14ac:dyDescent="0.25">
      <c r="A14" s="18"/>
      <c r="B14" s="3" t="s">
        <v>109</v>
      </c>
      <c r="C14" s="25">
        <f>N42-N56</f>
        <v>-18577</v>
      </c>
      <c r="D14" s="25">
        <f>O42-O56</f>
        <v>9355</v>
      </c>
      <c r="E14" s="25">
        <f>P42-P56</f>
        <v>38321</v>
      </c>
      <c r="M14" t="s">
        <v>10</v>
      </c>
      <c r="N14" s="12"/>
      <c r="O14" s="12"/>
      <c r="P14" s="12"/>
    </row>
    <row r="15" spans="1:16" x14ac:dyDescent="0.25">
      <c r="A15" s="18"/>
      <c r="M15" s="1" t="s">
        <v>11</v>
      </c>
      <c r="N15" s="12">
        <v>26251</v>
      </c>
      <c r="O15" s="12">
        <v>21914</v>
      </c>
      <c r="P15" s="12">
        <v>18752</v>
      </c>
    </row>
    <row r="16" spans="1:16" x14ac:dyDescent="0.25">
      <c r="A16" s="18">
        <f>+A4+1</f>
        <v>2</v>
      </c>
      <c r="B16" s="17" t="s">
        <v>110</v>
      </c>
      <c r="M16" s="1" t="s">
        <v>12</v>
      </c>
      <c r="N16" s="12">
        <v>25094</v>
      </c>
      <c r="O16" s="12">
        <v>21973</v>
      </c>
      <c r="P16" s="12">
        <v>19916</v>
      </c>
    </row>
    <row r="17" spans="1:16" x14ac:dyDescent="0.25">
      <c r="A17" s="18">
        <f>+A16+0.1</f>
        <v>2.1</v>
      </c>
      <c r="B17" s="1" t="s">
        <v>9</v>
      </c>
      <c r="C17" s="24">
        <f>N13+0</f>
        <v>170782</v>
      </c>
      <c r="D17" s="24">
        <f>O13+0</f>
        <v>152836</v>
      </c>
      <c r="E17" s="24">
        <f>P13+0</f>
        <v>104956</v>
      </c>
      <c r="M17" s="8" t="s">
        <v>13</v>
      </c>
      <c r="N17" s="13">
        <f>+N15+N16</f>
        <v>51345</v>
      </c>
      <c r="O17" s="13">
        <f t="shared" ref="O17:P17" si="4">+O15+O16</f>
        <v>43887</v>
      </c>
      <c r="P17" s="13">
        <f t="shared" si="4"/>
        <v>38668</v>
      </c>
    </row>
    <row r="18" spans="1:16" x14ac:dyDescent="0.25">
      <c r="A18" s="18">
        <f>+A17+0.1</f>
        <v>2.2000000000000002</v>
      </c>
      <c r="B18" s="1" t="s">
        <v>111</v>
      </c>
      <c r="C18">
        <f>C19/N8</f>
        <v>0.28125570590980098</v>
      </c>
      <c r="D18">
        <f>D19/O8</f>
        <v>0.28966395766189107</v>
      </c>
      <c r="E18">
        <f>E19/P8</f>
        <v>0.24941077901025444</v>
      </c>
      <c r="M18" s="8" t="s">
        <v>14</v>
      </c>
      <c r="N18" s="13">
        <f>+N13-N17</f>
        <v>119437</v>
      </c>
      <c r="O18" s="13">
        <f t="shared" ref="O18:P18" si="5">+O13-O17</f>
        <v>108949</v>
      </c>
      <c r="P18" s="13">
        <f t="shared" si="5"/>
        <v>66288</v>
      </c>
    </row>
    <row r="19" spans="1:16" x14ac:dyDescent="0.25">
      <c r="A19" s="18"/>
      <c r="B19" s="3" t="s">
        <v>112</v>
      </c>
      <c r="C19" s="24">
        <f>N79+N76</f>
        <v>110907</v>
      </c>
      <c r="D19" s="24">
        <f>O76+O79</f>
        <v>105964</v>
      </c>
      <c r="E19" s="24">
        <f>P76+P79</f>
        <v>68467</v>
      </c>
      <c r="M19" t="s">
        <v>15</v>
      </c>
      <c r="N19" s="12">
        <v>-334</v>
      </c>
      <c r="O19" s="12">
        <v>258</v>
      </c>
      <c r="P19" s="12">
        <v>803</v>
      </c>
    </row>
    <row r="20" spans="1:16" x14ac:dyDescent="0.25">
      <c r="A20" s="18">
        <f>+A18+0.1</f>
        <v>2.3000000000000003</v>
      </c>
      <c r="B20" s="1" t="s">
        <v>113</v>
      </c>
      <c r="C20">
        <f>C21/N8</f>
        <v>0.30288744395528594</v>
      </c>
      <c r="D20">
        <f>D21/O8</f>
        <v>0.29782377527561593</v>
      </c>
      <c r="E20">
        <f>E21/P8</f>
        <v>0.24147314354406862</v>
      </c>
      <c r="M20" s="8" t="s">
        <v>16</v>
      </c>
      <c r="N20" s="13">
        <f>+N18+N19</f>
        <v>119103</v>
      </c>
      <c r="O20" s="13">
        <f t="shared" ref="O20:P20" si="6">+O18+O19</f>
        <v>109207</v>
      </c>
      <c r="P20" s="13">
        <f t="shared" si="6"/>
        <v>67091</v>
      </c>
    </row>
    <row r="21" spans="1:16" x14ac:dyDescent="0.25">
      <c r="A21" s="18"/>
      <c r="B21" s="3" t="s">
        <v>114</v>
      </c>
      <c r="C21" s="24">
        <f>119437</f>
        <v>119437</v>
      </c>
      <c r="D21" s="24">
        <f>108949</f>
        <v>108949</v>
      </c>
      <c r="E21" s="24">
        <f>66288</f>
        <v>66288</v>
      </c>
      <c r="M21" t="s">
        <v>17</v>
      </c>
      <c r="N21" s="12">
        <v>19300</v>
      </c>
      <c r="O21" s="12">
        <v>14527</v>
      </c>
      <c r="P21" s="12">
        <v>9680</v>
      </c>
    </row>
    <row r="22" spans="1:16" ht="15.75" thickBot="1" x14ac:dyDescent="0.3">
      <c r="A22" s="18">
        <f>+A20+0.1</f>
        <v>2.4000000000000004</v>
      </c>
      <c r="B22" s="1" t="s">
        <v>115</v>
      </c>
      <c r="C22">
        <f>N22/N8</f>
        <v>0.25309640705199732</v>
      </c>
      <c r="D22">
        <f>O22/O8</f>
        <v>0.25881793355694238</v>
      </c>
      <c r="E22">
        <f>P22/P8</f>
        <v>0.20913611278072236</v>
      </c>
      <c r="M22" s="9" t="s">
        <v>18</v>
      </c>
      <c r="N22" s="14">
        <f>+N20-N21</f>
        <v>99803</v>
      </c>
      <c r="O22" s="14">
        <f t="shared" ref="O22:P22" si="7">+O20-O21</f>
        <v>94680</v>
      </c>
      <c r="P22" s="14">
        <f t="shared" si="7"/>
        <v>57411</v>
      </c>
    </row>
    <row r="23" spans="1:16" ht="15.75" thickTop="1" x14ac:dyDescent="0.25">
      <c r="A23" s="18"/>
      <c r="M23" t="s">
        <v>19</v>
      </c>
    </row>
    <row r="24" spans="1:16" x14ac:dyDescent="0.25">
      <c r="A24" s="18">
        <f>+A16+1</f>
        <v>3</v>
      </c>
      <c r="B24" s="7" t="s">
        <v>116</v>
      </c>
      <c r="M24" s="1" t="s">
        <v>20</v>
      </c>
      <c r="N24" s="10">
        <v>6.15</v>
      </c>
      <c r="O24" s="10">
        <v>5.67</v>
      </c>
      <c r="P24" s="10">
        <v>3.31</v>
      </c>
    </row>
    <row r="25" spans="1:16" x14ac:dyDescent="0.25">
      <c r="A25" s="18">
        <f>+A24+0.1</f>
        <v>3.1</v>
      </c>
      <c r="B25" s="1" t="s">
        <v>117</v>
      </c>
      <c r="C25" s="25">
        <f>(110087+98959)/50672</f>
        <v>4.1254736343542788</v>
      </c>
      <c r="D25">
        <f>(109106+9613)/63090</f>
        <v>1.8817403708987162</v>
      </c>
      <c r="E25">
        <f>(98667+8773)/65339</f>
        <v>1.6443471739696047</v>
      </c>
      <c r="M25" s="1" t="s">
        <v>21</v>
      </c>
      <c r="N25" s="10">
        <v>6.11</v>
      </c>
      <c r="O25" s="10">
        <v>5.61</v>
      </c>
      <c r="P25" s="10">
        <v>3.28</v>
      </c>
    </row>
    <row r="26" spans="1:16" x14ac:dyDescent="0.25">
      <c r="A26" s="18">
        <f t="shared" ref="A26:A30" si="8">+A25+0.1</f>
        <v>3.2</v>
      </c>
      <c r="B26" s="1" t="s">
        <v>118</v>
      </c>
      <c r="C26">
        <f>N62/N48</f>
        <v>0.85635355983614692</v>
      </c>
      <c r="D26">
        <f>O62/O48</f>
        <v>0.82025743443057308</v>
      </c>
      <c r="E26">
        <f>P62/P48</f>
        <v>0.79826668477992391</v>
      </c>
      <c r="M26" t="s">
        <v>22</v>
      </c>
    </row>
    <row r="27" spans="1:16" x14ac:dyDescent="0.25">
      <c r="A27" s="18">
        <f t="shared" si="8"/>
        <v>3.3000000000000003</v>
      </c>
      <c r="B27" s="1" t="s">
        <v>119</v>
      </c>
      <c r="C27" s="25">
        <f>N61/(N61+N68)</f>
        <v>0.74507604151469264</v>
      </c>
      <c r="D27" s="25">
        <f>O61/(O61+O68)</f>
        <v>0.72024778180302496</v>
      </c>
      <c r="E27" s="25">
        <f>P61/(P61+P68)</f>
        <v>0.70096020064440534</v>
      </c>
      <c r="M27" s="1" t="s">
        <v>20</v>
      </c>
      <c r="N27" s="2">
        <v>16215963</v>
      </c>
      <c r="O27" s="2">
        <v>16701272</v>
      </c>
      <c r="P27" s="2">
        <v>17352119</v>
      </c>
    </row>
    <row r="28" spans="1:16" x14ac:dyDescent="0.25">
      <c r="A28" s="18">
        <f t="shared" si="8"/>
        <v>3.4000000000000004</v>
      </c>
      <c r="B28" s="1" t="s">
        <v>120</v>
      </c>
      <c r="C28" s="32">
        <f>C21/N114</f>
        <v>41.68830715532286</v>
      </c>
      <c r="D28">
        <f>D21/O114</f>
        <v>40.546706363974693</v>
      </c>
      <c r="E28">
        <f>E21/P114</f>
        <v>22.081279147235175</v>
      </c>
      <c r="M28" s="1" t="s">
        <v>21</v>
      </c>
      <c r="N28" s="2">
        <v>16325819</v>
      </c>
      <c r="O28" s="2">
        <v>16864919</v>
      </c>
      <c r="P28" s="2">
        <v>17528214</v>
      </c>
    </row>
    <row r="29" spans="1:16" x14ac:dyDescent="0.25">
      <c r="A29" s="18">
        <f t="shared" si="8"/>
        <v>3.5000000000000004</v>
      </c>
      <c r="B29" s="1" t="s">
        <v>121</v>
      </c>
      <c r="C29">
        <f>N91/N62</f>
        <v>0.40436237722745072</v>
      </c>
      <c r="D29">
        <f>O91/O62</f>
        <v>0.3613534691155631</v>
      </c>
      <c r="E29">
        <f>P91/P62</f>
        <v>0.31202596026285151</v>
      </c>
    </row>
    <row r="30" spans="1:16" x14ac:dyDescent="0.25">
      <c r="A30" s="18">
        <f t="shared" si="8"/>
        <v>3.6000000000000005</v>
      </c>
      <c r="B30" s="1" t="s">
        <v>122</v>
      </c>
      <c r="C30">
        <f>C31/(N27+N28)</f>
        <v>1.7355841176737033E-3</v>
      </c>
      <c r="D30">
        <f>D31/(O27+O28)</f>
        <v>1.7015633379432299E-3</v>
      </c>
      <c r="E30">
        <f>E31/(P27+P28)</f>
        <v>7.4382890782608067E-4</v>
      </c>
    </row>
    <row r="31" spans="1:16" x14ac:dyDescent="0.25">
      <c r="A31" s="18"/>
      <c r="B31" s="3" t="s">
        <v>123</v>
      </c>
      <c r="C31" s="24">
        <f>(N22+N79)-N46</f>
        <v>56479</v>
      </c>
      <c r="D31" s="24">
        <f>(O22+O79)-O46</f>
        <v>57115</v>
      </c>
      <c r="E31" s="24">
        <f>(P22+P79)-P46</f>
        <v>25945</v>
      </c>
      <c r="M31" s="31" t="s">
        <v>24</v>
      </c>
      <c r="N31" s="31"/>
      <c r="O31" s="31"/>
      <c r="P31" s="31"/>
    </row>
    <row r="32" spans="1:16" x14ac:dyDescent="0.25">
      <c r="A32" s="18"/>
      <c r="N32" s="30" t="s">
        <v>142</v>
      </c>
      <c r="O32" s="30"/>
      <c r="P32" s="30"/>
    </row>
    <row r="33" spans="1:16" x14ac:dyDescent="0.25">
      <c r="A33" s="18">
        <f>+A24+1</f>
        <v>4</v>
      </c>
      <c r="B33" s="17" t="s">
        <v>124</v>
      </c>
      <c r="N33" s="7">
        <f>+N4</f>
        <v>2022</v>
      </c>
      <c r="O33" s="7">
        <f t="shared" ref="O33:P33" si="9">+O4</f>
        <v>2021</v>
      </c>
      <c r="P33" s="7">
        <f t="shared" si="9"/>
        <v>2020</v>
      </c>
    </row>
    <row r="34" spans="1:16" x14ac:dyDescent="0.25">
      <c r="A34" s="18">
        <f>+A33+0.1</f>
        <v>4.0999999999999996</v>
      </c>
      <c r="B34" s="1" t="s">
        <v>125</v>
      </c>
      <c r="C34">
        <f>N8/N48</f>
        <v>1.1178523337727317</v>
      </c>
      <c r="D34">
        <f>O8/O48</f>
        <v>1.0422077367080529</v>
      </c>
      <c r="E34">
        <f>P8/P48</f>
        <v>0.84756150274168851</v>
      </c>
    </row>
    <row r="35" spans="1:16" x14ac:dyDescent="0.25">
      <c r="A35" s="18">
        <f t="shared" ref="A35:A37" si="10">+A34+0.1</f>
        <v>4.1999999999999993</v>
      </c>
      <c r="B35" s="1" t="s">
        <v>126</v>
      </c>
      <c r="C35">
        <f>N8/N45</f>
        <v>9.3626801529073767</v>
      </c>
      <c r="D35">
        <f>O8/O45</f>
        <v>9.2752789046653152</v>
      </c>
      <c r="E35">
        <f>P8/P45</f>
        <v>7.4665451776097482</v>
      </c>
      <c r="M35" t="s">
        <v>25</v>
      </c>
    </row>
    <row r="36" spans="1:16" x14ac:dyDescent="0.25">
      <c r="A36" s="18">
        <f t="shared" si="10"/>
        <v>4.2999999999999989</v>
      </c>
      <c r="B36" s="1" t="s">
        <v>127</v>
      </c>
      <c r="C36" s="26">
        <f>N12/(AVERAGE(N39:N85))</f>
        <v>2.9023007928969933</v>
      </c>
      <c r="D36" s="26">
        <f>O12/(AVERAGE(O39:O85))</f>
        <v>2.8359535787550816</v>
      </c>
      <c r="E36" s="26">
        <f>P12/(AVERAGE(P39:P85))</f>
        <v>2.4905297327467815</v>
      </c>
      <c r="M36" s="1" t="s">
        <v>26</v>
      </c>
      <c r="N36" s="12">
        <v>23646</v>
      </c>
      <c r="O36" s="12">
        <v>34940</v>
      </c>
      <c r="P36" s="12">
        <v>38016</v>
      </c>
    </row>
    <row r="37" spans="1:16" x14ac:dyDescent="0.25">
      <c r="A37" s="18">
        <f t="shared" si="10"/>
        <v>4.3999999999999986</v>
      </c>
      <c r="B37" s="1" t="s">
        <v>128</v>
      </c>
      <c r="C37">
        <f>N22/N48</f>
        <v>0.28292440929256851</v>
      </c>
      <c r="D37">
        <f>O22/O48</f>
        <v>0.26974205275183616</v>
      </c>
      <c r="E37">
        <f>P22/P48</f>
        <v>0.1772557180259843</v>
      </c>
      <c r="M37" s="1" t="s">
        <v>27</v>
      </c>
      <c r="N37" s="12">
        <v>24658</v>
      </c>
      <c r="O37" s="12">
        <v>27699</v>
      </c>
      <c r="P37" s="12">
        <v>52927</v>
      </c>
    </row>
    <row r="38" spans="1:16" x14ac:dyDescent="0.25">
      <c r="A38" s="18"/>
      <c r="M38" s="1" t="s">
        <v>28</v>
      </c>
      <c r="N38" s="12">
        <v>28184</v>
      </c>
      <c r="O38" s="12">
        <v>26278</v>
      </c>
      <c r="P38" s="12">
        <v>16120</v>
      </c>
    </row>
    <row r="39" spans="1:16" x14ac:dyDescent="0.25">
      <c r="A39" s="18">
        <f>+A33+1</f>
        <v>5</v>
      </c>
      <c r="B39" s="17" t="s">
        <v>129</v>
      </c>
      <c r="M39" s="1" t="s">
        <v>29</v>
      </c>
      <c r="N39" s="12">
        <v>4946</v>
      </c>
      <c r="O39" s="12">
        <v>6580</v>
      </c>
      <c r="P39" s="12">
        <v>4061</v>
      </c>
    </row>
    <row r="40" spans="1:16" x14ac:dyDescent="0.25">
      <c r="A40" s="18">
        <f>+A39+0.1</f>
        <v>5.0999999999999996</v>
      </c>
      <c r="B40" s="1" t="s">
        <v>130</v>
      </c>
      <c r="C40">
        <f>(136.69/(N22/N28))</f>
        <v>22359.810818412272</v>
      </c>
      <c r="D40">
        <f>(139.17/(O22/O28))</f>
        <v>24789.720925538655</v>
      </c>
      <c r="E40">
        <f>(113.17/(P22/P28))</f>
        <v>34552.054107749391</v>
      </c>
      <c r="M40" s="1" t="s">
        <v>47</v>
      </c>
      <c r="N40" s="12">
        <v>32748</v>
      </c>
      <c r="O40" s="12">
        <v>25228</v>
      </c>
      <c r="P40" s="12">
        <v>21325</v>
      </c>
    </row>
    <row r="41" spans="1:16" x14ac:dyDescent="0.25">
      <c r="A41" s="18">
        <f t="shared" ref="A41:A44" si="11">+A40+0.1</f>
        <v>5.1999999999999993</v>
      </c>
      <c r="B41" s="3" t="s">
        <v>131</v>
      </c>
      <c r="C41">
        <f>(N22/N28)</f>
        <v>6.1132002014722816E-3</v>
      </c>
      <c r="D41">
        <f>(O22/O28)</f>
        <v>5.614020440892719E-3</v>
      </c>
      <c r="E41">
        <f>(P22/P28)</f>
        <v>3.2753479618630853E-3</v>
      </c>
      <c r="M41" s="1" t="s">
        <v>30</v>
      </c>
      <c r="N41" s="12">
        <v>21223</v>
      </c>
      <c r="O41" s="12">
        <v>14111</v>
      </c>
      <c r="P41" s="12">
        <v>11264</v>
      </c>
    </row>
    <row r="42" spans="1:16" x14ac:dyDescent="0.25">
      <c r="A42" s="18">
        <f t="shared" si="11"/>
        <v>5.2999999999999989</v>
      </c>
      <c r="B42" s="1" t="s">
        <v>132</v>
      </c>
      <c r="C42">
        <f>136.69/C43</f>
        <v>44039.631337030311</v>
      </c>
      <c r="D42">
        <f>139.17/D43</f>
        <v>37202.263072277696</v>
      </c>
      <c r="E42">
        <f>113.17/E43</f>
        <v>30359.631741838719</v>
      </c>
      <c r="M42" s="8" t="s">
        <v>31</v>
      </c>
      <c r="N42" s="13">
        <f>+SUM(N36:N41)</f>
        <v>135405</v>
      </c>
      <c r="O42" s="13">
        <f t="shared" ref="O42:P42" si="12">+SUM(O36:O41)</f>
        <v>134836</v>
      </c>
      <c r="P42" s="13">
        <f t="shared" si="12"/>
        <v>143713</v>
      </c>
    </row>
    <row r="43" spans="1:16" x14ac:dyDescent="0.25">
      <c r="A43" s="18">
        <f t="shared" si="11"/>
        <v>5.3999999999999986</v>
      </c>
      <c r="B43" s="3" t="s">
        <v>133</v>
      </c>
      <c r="C43" s="25">
        <f>N68/(N22/C41)</f>
        <v>3.103795282797145E-3</v>
      </c>
      <c r="D43" s="25">
        <f>O68/(O22/D41)</f>
        <v>3.7409014534845971E-3</v>
      </c>
      <c r="E43" s="25">
        <f>P68/(P22/E41)</f>
        <v>3.7276473233382478E-3</v>
      </c>
      <c r="M43" t="s">
        <v>48</v>
      </c>
      <c r="N43" s="12"/>
      <c r="O43" s="12"/>
      <c r="P43" s="12"/>
    </row>
    <row r="44" spans="1:16" x14ac:dyDescent="0.25">
      <c r="A44" s="18">
        <f t="shared" si="11"/>
        <v>5.4999999999999982</v>
      </c>
      <c r="B44" s="1" t="s">
        <v>134</v>
      </c>
      <c r="C44">
        <f>C45/C41</f>
        <v>-0.14870294480125848</v>
      </c>
      <c r="D44">
        <f>D45/D41</f>
        <v>-0.15279890156316014</v>
      </c>
      <c r="E44">
        <f>E45/E41</f>
        <v>-0.24526658654264863</v>
      </c>
      <c r="M44" s="1" t="s">
        <v>27</v>
      </c>
      <c r="N44" s="12">
        <v>120805</v>
      </c>
      <c r="O44" s="12">
        <v>127877</v>
      </c>
      <c r="P44" s="12">
        <v>100887</v>
      </c>
    </row>
    <row r="45" spans="1:16" x14ac:dyDescent="0.25">
      <c r="A45" s="18"/>
      <c r="B45" s="3" t="s">
        <v>135</v>
      </c>
      <c r="C45" s="25">
        <f>N102/(N22/C41)</f>
        <v>-9.0905087211857485E-4</v>
      </c>
      <c r="D45" s="25">
        <f>O102/(O22/D41)</f>
        <v>-8.5781615672153545E-4</v>
      </c>
      <c r="E45" s="25">
        <f>P102/(P22/E41)</f>
        <v>-8.0333341434558024E-4</v>
      </c>
      <c r="M45" s="1" t="s">
        <v>32</v>
      </c>
      <c r="N45" s="12">
        <v>42117</v>
      </c>
      <c r="O45" s="12">
        <v>39440</v>
      </c>
      <c r="P45" s="12">
        <v>36766</v>
      </c>
    </row>
    <row r="46" spans="1:16" x14ac:dyDescent="0.25">
      <c r="A46" s="18">
        <f>+A44+0.1</f>
        <v>5.5999999999999979</v>
      </c>
      <c r="B46" s="1" t="s">
        <v>136</v>
      </c>
      <c r="C46" s="25">
        <f>C45/136.69</f>
        <v>-6.6504563034499588E-6</v>
      </c>
      <c r="D46">
        <f>D45/139.17</f>
        <v>-6.1638007955847922E-6</v>
      </c>
      <c r="E46">
        <f>E45/113.17</f>
        <v>-7.0984661513261488E-6</v>
      </c>
      <c r="M46" s="1" t="s">
        <v>49</v>
      </c>
      <c r="N46" s="12">
        <v>54428</v>
      </c>
      <c r="O46" s="12">
        <v>48849</v>
      </c>
      <c r="P46" s="12">
        <v>42522</v>
      </c>
    </row>
    <row r="47" spans="1:16" x14ac:dyDescent="0.25">
      <c r="A47" s="18">
        <f t="shared" ref="A47:A50" si="13">+A45+0.1</f>
        <v>0.1</v>
      </c>
      <c r="B47" s="1" t="s">
        <v>137</v>
      </c>
      <c r="C47">
        <f>N22/N68</f>
        <v>1.9695887275023682</v>
      </c>
      <c r="D47">
        <f>O22/O68</f>
        <v>1.5007132667617689</v>
      </c>
      <c r="E47">
        <f>P22/P68</f>
        <v>0.87866358530127486</v>
      </c>
      <c r="M47" s="8" t="s">
        <v>50</v>
      </c>
      <c r="N47" s="13">
        <f>+SUM(N44:N46)</f>
        <v>217350</v>
      </c>
      <c r="O47" s="13">
        <f t="shared" ref="O47:P47" si="14">+SUM(O44:O46)</f>
        <v>216166</v>
      </c>
      <c r="P47" s="13">
        <f t="shared" si="14"/>
        <v>180175</v>
      </c>
    </row>
    <row r="48" spans="1:16" ht="15.75" thickBot="1" x14ac:dyDescent="0.3">
      <c r="A48" s="18">
        <f t="shared" si="13"/>
        <v>5.6999999999999975</v>
      </c>
      <c r="B48" s="1" t="s">
        <v>138</v>
      </c>
      <c r="C48" s="26">
        <f>C21/(N48-N62)</f>
        <v>2.3570610988317018</v>
      </c>
      <c r="D48" s="26">
        <f>D21/(O48-O62)</f>
        <v>1.7268822317324457</v>
      </c>
      <c r="E48" s="26">
        <f>E21/(P48-P62)</f>
        <v>1.0145242504476653</v>
      </c>
      <c r="M48" s="9" t="s">
        <v>33</v>
      </c>
      <c r="N48" s="14">
        <f>+N42+N47</f>
        <v>352755</v>
      </c>
      <c r="O48" s="14">
        <f t="shared" ref="O48:P48" si="15">+O42+O47</f>
        <v>351002</v>
      </c>
      <c r="P48" s="14">
        <f t="shared" si="15"/>
        <v>323888</v>
      </c>
    </row>
    <row r="49" spans="1:16" ht="15.75" thickTop="1" x14ac:dyDescent="0.25">
      <c r="A49" s="18">
        <f t="shared" si="13"/>
        <v>0.2</v>
      </c>
      <c r="B49" s="1" t="s">
        <v>128</v>
      </c>
      <c r="C49">
        <f>N22/N48</f>
        <v>0.28292440929256851</v>
      </c>
      <c r="D49">
        <f>O22/O48</f>
        <v>0.26974205275183616</v>
      </c>
      <c r="E49">
        <f>P22/P48</f>
        <v>0.1772557180259843</v>
      </c>
    </row>
    <row r="50" spans="1:16" x14ac:dyDescent="0.25">
      <c r="A50" s="18">
        <f t="shared" si="13"/>
        <v>5.7999999999999972</v>
      </c>
      <c r="B50" s="1" t="s">
        <v>139</v>
      </c>
      <c r="C50">
        <f>C51/C19</f>
        <v>20123.646885318332</v>
      </c>
      <c r="D50">
        <f>D51/D19</f>
        <v>22152.266432278888</v>
      </c>
      <c r="E50">
        <f>E51/E19</f>
        <v>28975.809344355675</v>
      </c>
      <c r="M50" t="s">
        <v>34</v>
      </c>
    </row>
    <row r="51" spans="1:16" x14ac:dyDescent="0.25">
      <c r="A51" s="18"/>
      <c r="B51" s="3" t="s">
        <v>140</v>
      </c>
      <c r="C51" s="26">
        <f>(136.69*(N22/C41))+N62-N110</f>
        <v>2231853305.1100001</v>
      </c>
      <c r="D51" s="26">
        <f>(139.17*(O22/D41))+O62-O110</f>
        <v>2347342760.23</v>
      </c>
      <c r="E51" s="26">
        <f>(113.17*(P22/E41))+P62-P110</f>
        <v>1983886738.3800001</v>
      </c>
      <c r="M51" s="1" t="s">
        <v>35</v>
      </c>
      <c r="N51" s="12">
        <v>64115</v>
      </c>
      <c r="O51" s="12">
        <v>54763</v>
      </c>
      <c r="P51" s="12">
        <v>42296</v>
      </c>
    </row>
    <row r="52" spans="1:16" x14ac:dyDescent="0.25">
      <c r="M52" s="1" t="s">
        <v>36</v>
      </c>
      <c r="N52" s="12">
        <v>60845</v>
      </c>
      <c r="O52" s="12">
        <v>47493</v>
      </c>
      <c r="P52" s="12">
        <v>42684</v>
      </c>
    </row>
    <row r="53" spans="1:16" x14ac:dyDescent="0.25">
      <c r="M53" s="1" t="s">
        <v>37</v>
      </c>
      <c r="N53" s="12">
        <v>7912</v>
      </c>
      <c r="O53" s="12">
        <v>7612</v>
      </c>
      <c r="P53" s="12">
        <v>6643</v>
      </c>
    </row>
    <row r="54" spans="1:16" x14ac:dyDescent="0.25">
      <c r="B54" t="s">
        <v>156</v>
      </c>
      <c r="M54" s="1" t="s">
        <v>38</v>
      </c>
      <c r="N54" s="12">
        <v>9982</v>
      </c>
      <c r="O54" s="12">
        <v>6000</v>
      </c>
      <c r="P54" s="12">
        <v>4996</v>
      </c>
    </row>
    <row r="55" spans="1:16" x14ac:dyDescent="0.25">
      <c r="B55" t="s">
        <v>150</v>
      </c>
      <c r="C55" s="28">
        <v>0.127</v>
      </c>
      <c r="M55" s="1" t="s">
        <v>39</v>
      </c>
      <c r="N55" s="12">
        <v>11128</v>
      </c>
      <c r="O55" s="12">
        <v>9613</v>
      </c>
      <c r="P55" s="12">
        <v>8773</v>
      </c>
    </row>
    <row r="56" spans="1:16" x14ac:dyDescent="0.25">
      <c r="B56" t="s">
        <v>151</v>
      </c>
      <c r="C56" s="28">
        <v>0.13270000000000001</v>
      </c>
      <c r="M56" s="8" t="s">
        <v>40</v>
      </c>
      <c r="N56" s="13">
        <f>+SUM(N51:N55)</f>
        <v>153982</v>
      </c>
      <c r="O56" s="13">
        <f t="shared" ref="O56:P56" si="16">+SUM(O51:O55)</f>
        <v>125481</v>
      </c>
      <c r="P56" s="13">
        <f t="shared" si="16"/>
        <v>105392</v>
      </c>
    </row>
    <row r="57" spans="1:16" x14ac:dyDescent="0.25">
      <c r="B57" t="s">
        <v>152</v>
      </c>
      <c r="C57" s="28">
        <v>0.1283</v>
      </c>
      <c r="M57" t="s">
        <v>51</v>
      </c>
      <c r="N57" s="12"/>
      <c r="O57" s="12"/>
      <c r="P57" s="12"/>
    </row>
    <row r="58" spans="1:16" x14ac:dyDescent="0.25">
      <c r="B58" t="s">
        <v>153</v>
      </c>
      <c r="C58" s="28">
        <v>0.17599999999999999</v>
      </c>
      <c r="M58" s="1" t="s">
        <v>37</v>
      </c>
      <c r="N58" s="12"/>
      <c r="O58" s="12"/>
      <c r="P58" s="12"/>
    </row>
    <row r="59" spans="1:16" x14ac:dyDescent="0.25">
      <c r="B59" t="s">
        <v>154</v>
      </c>
      <c r="C59" s="28">
        <v>0.1187</v>
      </c>
      <c r="M59" s="1" t="s">
        <v>39</v>
      </c>
      <c r="N59" s="12">
        <v>98959</v>
      </c>
      <c r="O59" s="12">
        <v>109106</v>
      </c>
      <c r="P59" s="12">
        <v>98667</v>
      </c>
    </row>
    <row r="60" spans="1:16" x14ac:dyDescent="0.25">
      <c r="B60" t="s">
        <v>155</v>
      </c>
      <c r="C60" s="28">
        <v>8.0100000000000005E-2</v>
      </c>
      <c r="M60" s="1" t="s">
        <v>52</v>
      </c>
      <c r="N60" s="12">
        <v>49142</v>
      </c>
      <c r="O60" s="12">
        <v>53325</v>
      </c>
      <c r="P60" s="12">
        <v>54490</v>
      </c>
    </row>
    <row r="61" spans="1:16" x14ac:dyDescent="0.25">
      <c r="B61" s="8" t="s">
        <v>16</v>
      </c>
      <c r="C61" s="28">
        <v>0.21079999999999999</v>
      </c>
      <c r="M61" s="23" t="s">
        <v>53</v>
      </c>
      <c r="N61" s="22">
        <f>+N59+N60</f>
        <v>148101</v>
      </c>
      <c r="O61" s="22">
        <f t="shared" ref="O61:P61" si="17">+O59+O60</f>
        <v>162431</v>
      </c>
      <c r="P61" s="22">
        <f t="shared" si="17"/>
        <v>153157</v>
      </c>
    </row>
    <row r="62" spans="1:16" x14ac:dyDescent="0.25">
      <c r="B62" s="8" t="s">
        <v>13</v>
      </c>
      <c r="C62" s="28">
        <v>9.9099999999999994E-2</v>
      </c>
      <c r="M62" s="8" t="s">
        <v>41</v>
      </c>
      <c r="N62" s="13">
        <f>+N56+N61</f>
        <v>302083</v>
      </c>
      <c r="O62" s="13">
        <f t="shared" ref="O62:P62" si="18">+O56+O61</f>
        <v>287912</v>
      </c>
      <c r="P62" s="13">
        <f t="shared" si="18"/>
        <v>258549</v>
      </c>
    </row>
    <row r="63" spans="1:16" ht="15.75" thickBot="1" x14ac:dyDescent="0.3">
      <c r="B63" s="9" t="s">
        <v>18</v>
      </c>
      <c r="C63" s="28">
        <v>0.20019999999999999</v>
      </c>
      <c r="N63" s="12"/>
      <c r="O63" s="12"/>
      <c r="P63" s="12"/>
    </row>
    <row r="64" spans="1:16" ht="15.75" thickTop="1" x14ac:dyDescent="0.25">
      <c r="B64" s="8" t="s">
        <v>31</v>
      </c>
      <c r="C64" s="28">
        <v>-1.9699999999999999E-2</v>
      </c>
      <c r="M64" t="s">
        <v>42</v>
      </c>
      <c r="N64" s="12"/>
      <c r="O64" s="12"/>
      <c r="P64" s="12"/>
    </row>
    <row r="65" spans="2:16" x14ac:dyDescent="0.25">
      <c r="B65" s="8" t="s">
        <v>50</v>
      </c>
      <c r="C65" s="28">
        <v>6.4500000000000002E-2</v>
      </c>
      <c r="M65" s="1" t="s">
        <v>54</v>
      </c>
      <c r="N65" s="12">
        <v>64849</v>
      </c>
      <c r="O65" s="12">
        <v>57365</v>
      </c>
      <c r="P65" s="12">
        <v>50779</v>
      </c>
    </row>
    <row r="66" spans="2:16" ht="15.75" thickBot="1" x14ac:dyDescent="0.3">
      <c r="B66" s="9" t="s">
        <v>33</v>
      </c>
      <c r="C66" s="28">
        <v>2.87E-2</v>
      </c>
      <c r="M66" s="1" t="s">
        <v>43</v>
      </c>
      <c r="N66" s="12">
        <v>-3068</v>
      </c>
      <c r="O66" s="12">
        <v>5562</v>
      </c>
      <c r="P66" s="12">
        <v>14966</v>
      </c>
    </row>
    <row r="67" spans="2:16" ht="15.75" thickTop="1" x14ac:dyDescent="0.25">
      <c r="B67" s="8" t="s">
        <v>40</v>
      </c>
      <c r="C67" s="28">
        <v>0.13469999999999999</v>
      </c>
      <c r="M67" s="1" t="s">
        <v>44</v>
      </c>
      <c r="N67" s="12">
        <v>-11109</v>
      </c>
      <c r="O67" s="12">
        <v>163</v>
      </c>
      <c r="P67" s="12">
        <v>-406</v>
      </c>
    </row>
    <row r="68" spans="2:16" x14ac:dyDescent="0.25">
      <c r="B68" s="23" t="s">
        <v>53</v>
      </c>
      <c r="C68" s="28">
        <v>-1.11E-2</v>
      </c>
      <c r="M68" s="8" t="s">
        <v>45</v>
      </c>
      <c r="N68" s="13">
        <f>+SUM(N65:N67)</f>
        <v>50672</v>
      </c>
      <c r="O68" s="13">
        <f t="shared" ref="O68:P68" si="19">+SUM(O65:O67)</f>
        <v>63090</v>
      </c>
      <c r="P68" s="13">
        <f t="shared" si="19"/>
        <v>65339</v>
      </c>
    </row>
    <row r="69" spans="2:16" ht="15.75" thickBot="1" x14ac:dyDescent="0.3">
      <c r="B69" s="8" t="s">
        <v>41</v>
      </c>
      <c r="C69" s="28">
        <v>5.3199999999999997E-2</v>
      </c>
      <c r="M69" s="9" t="s">
        <v>46</v>
      </c>
      <c r="N69" s="14">
        <f>+N68+N62</f>
        <v>352755</v>
      </c>
      <c r="O69" s="14">
        <f t="shared" ref="O69:P69" si="20">+O68+O62</f>
        <v>351002</v>
      </c>
      <c r="P69" s="14">
        <f t="shared" si="20"/>
        <v>323888</v>
      </c>
    </row>
    <row r="70" spans="2:16" ht="15.75" thickTop="1" x14ac:dyDescent="0.25">
      <c r="B70" s="8" t="s">
        <v>45</v>
      </c>
      <c r="C70" s="28">
        <v>-8.1199999999999994E-2</v>
      </c>
    </row>
    <row r="71" spans="2:16" ht="15.75" thickBot="1" x14ac:dyDescent="0.3">
      <c r="B71" s="9" t="s">
        <v>46</v>
      </c>
      <c r="C71" s="28">
        <v>2.8899999999999999E-2</v>
      </c>
      <c r="M71" s="31" t="s">
        <v>55</v>
      </c>
      <c r="N71" s="31"/>
      <c r="O71" s="31"/>
      <c r="P71" s="31"/>
    </row>
    <row r="72" spans="2:16" ht="15.75" thickTop="1" x14ac:dyDescent="0.25">
      <c r="B72" s="8" t="s">
        <v>63</v>
      </c>
      <c r="C72" s="28">
        <v>0.14829999999999999</v>
      </c>
      <c r="N72" s="30" t="s">
        <v>23</v>
      </c>
      <c r="O72" s="30"/>
      <c r="P72" s="30"/>
    </row>
    <row r="73" spans="2:16" x14ac:dyDescent="0.25">
      <c r="B73" s="8" t="s">
        <v>70</v>
      </c>
      <c r="C73" s="28">
        <v>0.73380000000000001</v>
      </c>
      <c r="N73" s="7">
        <f>+N33</f>
        <v>2022</v>
      </c>
      <c r="O73" s="7">
        <f t="shared" ref="O73:P73" si="21">+O33</f>
        <v>2021</v>
      </c>
      <c r="P73" s="7">
        <f t="shared" si="21"/>
        <v>2020</v>
      </c>
    </row>
    <row r="74" spans="2:16" x14ac:dyDescent="0.25">
      <c r="B74" s="8" t="s">
        <v>77</v>
      </c>
      <c r="C74" s="28">
        <v>8.4500000000000006E-2</v>
      </c>
    </row>
    <row r="75" spans="2:16" x14ac:dyDescent="0.25">
      <c r="B75" s="8" t="s">
        <v>78</v>
      </c>
      <c r="C75" s="28">
        <v>1.6199999999999999E-2</v>
      </c>
      <c r="M75" s="7" t="s">
        <v>56</v>
      </c>
      <c r="N75" s="15"/>
      <c r="O75" s="15"/>
      <c r="P75" s="15"/>
    </row>
    <row r="76" spans="2:16" ht="15.75" thickBot="1" x14ac:dyDescent="0.3">
      <c r="B76" s="9" t="s">
        <v>79</v>
      </c>
      <c r="C76" s="28">
        <v>-0.14369999999999999</v>
      </c>
      <c r="M76" t="s">
        <v>57</v>
      </c>
      <c r="N76" s="12">
        <f>+N22</f>
        <v>99803</v>
      </c>
      <c r="O76" s="12">
        <f t="shared" ref="O76:P76" si="22">+O22</f>
        <v>94680</v>
      </c>
      <c r="P76" s="12">
        <f t="shared" si="22"/>
        <v>57411</v>
      </c>
    </row>
    <row r="77" spans="2:16" ht="15.75" thickTop="1" x14ac:dyDescent="0.25">
      <c r="M77" s="11" t="s">
        <v>18</v>
      </c>
      <c r="N77" s="15"/>
      <c r="O77" s="15"/>
      <c r="P77" s="15"/>
    </row>
    <row r="78" spans="2:16" x14ac:dyDescent="0.25">
      <c r="B78" s="29" t="s">
        <v>157</v>
      </c>
      <c r="M78" s="1" t="s">
        <v>58</v>
      </c>
      <c r="N78" s="12"/>
      <c r="O78" s="12"/>
      <c r="P78" s="12"/>
    </row>
    <row r="79" spans="2:16" x14ac:dyDescent="0.25">
      <c r="B79" s="1" t="s">
        <v>146</v>
      </c>
      <c r="C79" s="27">
        <f>(N12/N8)</f>
        <v>0.56690369438639909</v>
      </c>
      <c r="D79" s="27">
        <f>O12/O8</f>
        <v>0.58220640374832222</v>
      </c>
      <c r="E79" s="27">
        <f>P12/P8</f>
        <v>0.61766752272189129</v>
      </c>
      <c r="M79" s="3" t="s">
        <v>59</v>
      </c>
      <c r="N79" s="12">
        <v>11104</v>
      </c>
      <c r="O79" s="12">
        <v>11284</v>
      </c>
      <c r="P79" s="12">
        <v>11056</v>
      </c>
    </row>
    <row r="80" spans="2:16" x14ac:dyDescent="0.25">
      <c r="B80" s="1" t="s">
        <v>89</v>
      </c>
      <c r="C80" s="27">
        <f>N13/N8</f>
        <v>0.43309630561360085</v>
      </c>
      <c r="D80" s="27">
        <f>O13/O8</f>
        <v>0.41779359625167778</v>
      </c>
      <c r="E80" s="27">
        <f>P13/P8</f>
        <v>0.38233247727810865</v>
      </c>
      <c r="M80" s="3" t="s">
        <v>83</v>
      </c>
      <c r="N80" s="12">
        <v>9038</v>
      </c>
      <c r="O80" s="12">
        <v>7906</v>
      </c>
      <c r="P80" s="12">
        <v>6829</v>
      </c>
    </row>
    <row r="81" spans="2:16" x14ac:dyDescent="0.25">
      <c r="B81" t="s">
        <v>160</v>
      </c>
      <c r="C81" s="27">
        <f>N15/N8</f>
        <v>6.657148363798665E-2</v>
      </c>
      <c r="D81" s="27">
        <f>O15/O8</f>
        <v>5.9904269074427925E-2</v>
      </c>
      <c r="E81" s="27">
        <f>P15/P8</f>
        <v>6.8309564140393061E-2</v>
      </c>
      <c r="M81" s="3" t="s">
        <v>60</v>
      </c>
      <c r="N81" s="12">
        <v>895</v>
      </c>
      <c r="O81" s="12">
        <v>-4774</v>
      </c>
      <c r="P81" s="12">
        <v>-215</v>
      </c>
    </row>
    <row r="82" spans="2:16" x14ac:dyDescent="0.25">
      <c r="B82" t="s">
        <v>159</v>
      </c>
      <c r="C82" s="27">
        <f>N16/N8</f>
        <v>6.3637378020328261E-2</v>
      </c>
      <c r="D82" s="27">
        <f>O16/O8</f>
        <v>6.006555190163388E-2</v>
      </c>
      <c r="E82" s="27">
        <f>P16/P8</f>
        <v>7.2549769593646979E-2</v>
      </c>
      <c r="M82" s="3" t="s">
        <v>61</v>
      </c>
      <c r="N82" s="12">
        <v>111</v>
      </c>
      <c r="O82" s="12">
        <v>-147</v>
      </c>
      <c r="P82" s="12">
        <v>-97</v>
      </c>
    </row>
    <row r="83" spans="2:16" x14ac:dyDescent="0.25">
      <c r="B83" t="s">
        <v>158</v>
      </c>
      <c r="C83" s="27">
        <f>N18/N8</f>
        <v>0.30288744395528594</v>
      </c>
      <c r="D83" s="27">
        <f>O18/O8</f>
        <v>0.29782377527561593</v>
      </c>
      <c r="E83" s="27">
        <f>P18/P8</f>
        <v>0.24147314354406862</v>
      </c>
      <c r="M83" t="s">
        <v>62</v>
      </c>
      <c r="N83" s="12"/>
      <c r="O83" s="12"/>
      <c r="P83" s="12"/>
    </row>
    <row r="84" spans="2:16" x14ac:dyDescent="0.25">
      <c r="B84" s="1" t="s">
        <v>93</v>
      </c>
      <c r="C84" s="27">
        <f>N22/N8</f>
        <v>0.25309640705199732</v>
      </c>
      <c r="D84" s="27">
        <f>O22/O8</f>
        <v>0.25881793355694238</v>
      </c>
      <c r="E84" s="27">
        <f>P22/P8</f>
        <v>0.20913611278072236</v>
      </c>
      <c r="M84" s="1" t="s">
        <v>28</v>
      </c>
      <c r="N84" s="12">
        <v>-1823</v>
      </c>
      <c r="O84" s="12">
        <v>-10125</v>
      </c>
      <c r="P84" s="12">
        <v>6917</v>
      </c>
    </row>
    <row r="85" spans="2:16" x14ac:dyDescent="0.25">
      <c r="C85" s="27"/>
      <c r="D85" s="27"/>
      <c r="E85" s="27"/>
      <c r="M85" s="1" t="s">
        <v>29</v>
      </c>
      <c r="N85" s="12">
        <v>1484</v>
      </c>
      <c r="O85" s="12">
        <v>-2642</v>
      </c>
      <c r="P85" s="12">
        <v>-127</v>
      </c>
    </row>
    <row r="86" spans="2:16" x14ac:dyDescent="0.25">
      <c r="B86" s="1" t="s">
        <v>94</v>
      </c>
      <c r="C86" s="27">
        <f>N113/N8</f>
        <v>4.9636343348684345E-2</v>
      </c>
      <c r="D86" s="27">
        <f>O113/O8</f>
        <v>6.9392619807171346E-2</v>
      </c>
      <c r="E86" s="27">
        <f>P113/P8</f>
        <v>3.4610130593956616E-2</v>
      </c>
      <c r="M86" s="1" t="s">
        <v>47</v>
      </c>
      <c r="N86" s="12">
        <v>-7520</v>
      </c>
      <c r="O86" s="12">
        <v>-3903</v>
      </c>
      <c r="P86" s="12">
        <v>1553</v>
      </c>
    </row>
    <row r="87" spans="2:16" x14ac:dyDescent="0.25">
      <c r="B87" s="1" t="s">
        <v>95</v>
      </c>
      <c r="C87" s="27">
        <f>((N48-N42)+N79)/N8</f>
        <v>0.57935018563226548</v>
      </c>
      <c r="D87" s="27">
        <f>((O48-O42)+O79)/O8</f>
        <v>0.62175896691515153</v>
      </c>
      <c r="E87" s="27">
        <f>((P48-P42)+P79)/P8</f>
        <v>0.69661402837732</v>
      </c>
      <c r="M87" s="1" t="s">
        <v>84</v>
      </c>
      <c r="N87" s="12">
        <v>-6499</v>
      </c>
      <c r="O87" s="12">
        <v>-8042</v>
      </c>
      <c r="P87" s="12">
        <v>-9588</v>
      </c>
    </row>
    <row r="88" spans="2:16" x14ac:dyDescent="0.25">
      <c r="B88" s="1" t="s">
        <v>96</v>
      </c>
      <c r="C88" s="27">
        <f>((N48-N42)+N79)/N47</f>
        <v>1.0510881067402806</v>
      </c>
      <c r="D88" s="27">
        <f>((O48-O42)+O79)/O47</f>
        <v>1.0522006235948298</v>
      </c>
      <c r="E88" s="27">
        <f>((P48-P42)+P79)/P47</f>
        <v>1.0613625641737201</v>
      </c>
      <c r="M88" s="1" t="s">
        <v>35</v>
      </c>
      <c r="N88" s="12">
        <v>9448</v>
      </c>
      <c r="O88" s="12">
        <v>12326</v>
      </c>
      <c r="P88" s="12">
        <v>-4062</v>
      </c>
    </row>
    <row r="89" spans="2:16" x14ac:dyDescent="0.25">
      <c r="M89" s="1" t="s">
        <v>37</v>
      </c>
      <c r="N89" s="12">
        <v>478</v>
      </c>
      <c r="O89" s="12">
        <v>1676</v>
      </c>
      <c r="P89" s="12">
        <v>2081</v>
      </c>
    </row>
    <row r="90" spans="2:16" x14ac:dyDescent="0.25">
      <c r="M90" s="1" t="s">
        <v>85</v>
      </c>
      <c r="N90" s="12">
        <v>5632</v>
      </c>
      <c r="O90" s="12">
        <v>5799</v>
      </c>
      <c r="P90" s="12">
        <v>8916</v>
      </c>
    </row>
    <row r="91" spans="2:16" x14ac:dyDescent="0.25">
      <c r="M91" s="8" t="s">
        <v>63</v>
      </c>
      <c r="N91" s="13">
        <f>+SUM(N76:N90)</f>
        <v>122151</v>
      </c>
      <c r="O91" s="13">
        <f t="shared" ref="O91:P91" si="23">+SUM(O76:O90)</f>
        <v>104038</v>
      </c>
      <c r="P91" s="13">
        <f t="shared" si="23"/>
        <v>80674</v>
      </c>
    </row>
    <row r="92" spans="2:16" x14ac:dyDescent="0.25">
      <c r="M92" s="7" t="s">
        <v>64</v>
      </c>
      <c r="N92" s="12"/>
      <c r="O92" s="12"/>
      <c r="P92" s="12"/>
    </row>
    <row r="93" spans="2:16" x14ac:dyDescent="0.25">
      <c r="M93" s="1" t="s">
        <v>65</v>
      </c>
      <c r="N93" s="12">
        <v>-76923</v>
      </c>
      <c r="O93" s="12">
        <v>-109558</v>
      </c>
      <c r="P93" s="12">
        <v>-114938</v>
      </c>
    </row>
    <row r="94" spans="2:16" x14ac:dyDescent="0.25">
      <c r="M94" s="1" t="s">
        <v>66</v>
      </c>
      <c r="N94" s="12">
        <v>29917</v>
      </c>
      <c r="O94" s="12">
        <v>59023</v>
      </c>
      <c r="P94" s="12">
        <v>69918</v>
      </c>
    </row>
    <row r="95" spans="2:16" x14ac:dyDescent="0.25">
      <c r="M95" s="1" t="s">
        <v>67</v>
      </c>
      <c r="N95" s="12">
        <v>37446</v>
      </c>
      <c r="O95" s="12">
        <v>47460</v>
      </c>
      <c r="P95" s="12">
        <v>50473</v>
      </c>
    </row>
    <row r="96" spans="2:16" x14ac:dyDescent="0.25">
      <c r="M96" s="1" t="s">
        <v>68</v>
      </c>
      <c r="N96" s="12">
        <v>-10708</v>
      </c>
      <c r="O96" s="12">
        <v>-11085</v>
      </c>
      <c r="P96" s="12">
        <v>-7309</v>
      </c>
    </row>
    <row r="97" spans="13:16" x14ac:dyDescent="0.25">
      <c r="M97" s="1" t="s">
        <v>69</v>
      </c>
      <c r="N97" s="12">
        <v>-306</v>
      </c>
      <c r="O97" s="12">
        <v>-33</v>
      </c>
      <c r="P97" s="12">
        <v>-1524</v>
      </c>
    </row>
    <row r="98" spans="13:16" x14ac:dyDescent="0.25">
      <c r="M98" s="1" t="s">
        <v>61</v>
      </c>
      <c r="N98" s="12">
        <v>-1780</v>
      </c>
      <c r="O98" s="12">
        <v>-352</v>
      </c>
      <c r="P98" s="12">
        <v>-909</v>
      </c>
    </row>
    <row r="99" spans="13:16" x14ac:dyDescent="0.25">
      <c r="M99" s="8" t="s">
        <v>70</v>
      </c>
      <c r="N99" s="13">
        <f>+SUM(N93:N98)</f>
        <v>-22354</v>
      </c>
      <c r="O99" s="13">
        <f t="shared" ref="O99:P99" si="24">+SUM(O93:O98)</f>
        <v>-14545</v>
      </c>
      <c r="P99" s="13">
        <f t="shared" si="24"/>
        <v>-4289</v>
      </c>
    </row>
    <row r="100" spans="13:16" x14ac:dyDescent="0.25">
      <c r="M100" s="7" t="s">
        <v>71</v>
      </c>
      <c r="N100" s="12"/>
      <c r="O100" s="12"/>
      <c r="P100" s="12"/>
    </row>
    <row r="101" spans="13:16" x14ac:dyDescent="0.25">
      <c r="M101" s="1" t="s">
        <v>86</v>
      </c>
      <c r="N101" s="12">
        <v>-6223</v>
      </c>
      <c r="O101" s="12">
        <v>-6556</v>
      </c>
      <c r="P101" s="12">
        <v>-3634</v>
      </c>
    </row>
    <row r="102" spans="13:16" x14ac:dyDescent="0.25">
      <c r="M102" s="1" t="s">
        <v>72</v>
      </c>
      <c r="N102" s="12">
        <v>-14841</v>
      </c>
      <c r="O102" s="12">
        <v>-14467</v>
      </c>
      <c r="P102" s="12">
        <v>-14081</v>
      </c>
    </row>
    <row r="103" spans="13:16" x14ac:dyDescent="0.25">
      <c r="M103" s="1" t="s">
        <v>73</v>
      </c>
      <c r="N103" s="12">
        <v>-89402</v>
      </c>
      <c r="O103" s="12">
        <v>-85971</v>
      </c>
      <c r="P103" s="12">
        <v>-72358</v>
      </c>
    </row>
    <row r="104" spans="13:16" x14ac:dyDescent="0.25">
      <c r="M104" s="1" t="s">
        <v>74</v>
      </c>
      <c r="N104" s="12">
        <v>5465</v>
      </c>
      <c r="O104" s="12">
        <v>20393</v>
      </c>
      <c r="P104" s="12">
        <v>16091</v>
      </c>
    </row>
    <row r="105" spans="13:16" x14ac:dyDescent="0.25">
      <c r="M105" s="1" t="s">
        <v>75</v>
      </c>
      <c r="N105" s="12">
        <v>-9543</v>
      </c>
      <c r="O105" s="12">
        <v>-8750</v>
      </c>
      <c r="P105" s="12">
        <v>-12629</v>
      </c>
    </row>
    <row r="106" spans="13:16" x14ac:dyDescent="0.25">
      <c r="M106" s="1" t="s">
        <v>76</v>
      </c>
      <c r="N106" s="12">
        <v>3955</v>
      </c>
      <c r="O106" s="12">
        <v>1022</v>
      </c>
      <c r="P106" s="12">
        <v>-963</v>
      </c>
    </row>
    <row r="107" spans="13:16" x14ac:dyDescent="0.25">
      <c r="M107" s="1" t="s">
        <v>61</v>
      </c>
      <c r="N107" s="12">
        <v>-160</v>
      </c>
      <c r="O107" s="12">
        <v>976</v>
      </c>
      <c r="P107" s="12">
        <v>754</v>
      </c>
    </row>
    <row r="108" spans="13:16" x14ac:dyDescent="0.25">
      <c r="M108" s="8" t="s">
        <v>77</v>
      </c>
      <c r="N108" s="13">
        <f>+SUM(N101:N107)</f>
        <v>-110749</v>
      </c>
      <c r="O108" s="13">
        <f t="shared" ref="O108:P108" si="25">+SUM(O101:O107)</f>
        <v>-93353</v>
      </c>
      <c r="P108" s="13">
        <f t="shared" si="25"/>
        <v>-86820</v>
      </c>
    </row>
    <row r="109" spans="13:16" x14ac:dyDescent="0.25">
      <c r="M109" s="8" t="s">
        <v>78</v>
      </c>
      <c r="N109" s="13">
        <f>+N91+N99+N108</f>
        <v>-10952</v>
      </c>
      <c r="O109" s="13">
        <f t="shared" ref="O109:P109" si="26">+O91+O99+O108</f>
        <v>-3860</v>
      </c>
      <c r="P109" s="13">
        <f t="shared" si="26"/>
        <v>-10435</v>
      </c>
    </row>
    <row r="110" spans="13:16" ht="15.75" thickBot="1" x14ac:dyDescent="0.3">
      <c r="M110" s="9" t="s">
        <v>79</v>
      </c>
      <c r="N110" s="14">
        <v>24977</v>
      </c>
      <c r="O110" s="14">
        <v>35929</v>
      </c>
      <c r="P110" s="14">
        <v>39789</v>
      </c>
    </row>
    <row r="111" spans="13:16" ht="15.75" thickTop="1" x14ac:dyDescent="0.25">
      <c r="N111" s="12"/>
      <c r="O111" s="12"/>
      <c r="P111" s="12"/>
    </row>
    <row r="112" spans="13:16" x14ac:dyDescent="0.25">
      <c r="M112" t="s">
        <v>80</v>
      </c>
      <c r="N112" s="12"/>
      <c r="O112" s="12"/>
      <c r="P112" s="12"/>
    </row>
    <row r="113" spans="13:16" x14ac:dyDescent="0.25">
      <c r="M113" t="s">
        <v>81</v>
      </c>
      <c r="N113" s="12">
        <v>19573</v>
      </c>
      <c r="O113" s="12">
        <v>25385</v>
      </c>
      <c r="P113" s="12">
        <v>9501</v>
      </c>
    </row>
    <row r="114" spans="13:16" x14ac:dyDescent="0.25">
      <c r="M114" t="s">
        <v>82</v>
      </c>
      <c r="N114" s="12">
        <v>2865</v>
      </c>
      <c r="O114" s="12">
        <v>2687</v>
      </c>
      <c r="P114" s="12">
        <v>3002</v>
      </c>
    </row>
  </sheetData>
  <mergeCells count="7">
    <mergeCell ref="M71:P71"/>
    <mergeCell ref="N72:P72"/>
    <mergeCell ref="C2:E2"/>
    <mergeCell ref="M2:P2"/>
    <mergeCell ref="N3:P3"/>
    <mergeCell ref="M31:P31"/>
    <mergeCell ref="N32:P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Pravin</cp:lastModifiedBy>
  <dcterms:created xsi:type="dcterms:W3CDTF">2020-05-18T16:32:37Z</dcterms:created>
  <dcterms:modified xsi:type="dcterms:W3CDTF">2024-10-08T17:20:03Z</dcterms:modified>
</cp:coreProperties>
</file>