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un\OneDrive\Desktop\"/>
    </mc:Choice>
  </mc:AlternateContent>
  <xr:revisionPtr revIDLastSave="0" documentId="13_ncr:1_{A11592F3-11D5-4A29-BE9A-D3DFD2E7C19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3" l="1"/>
  <c r="N42" i="3"/>
  <c r="L42" i="3"/>
  <c r="M41" i="3"/>
  <c r="N41" i="3"/>
  <c r="L41" i="3"/>
  <c r="M40" i="3"/>
  <c r="N40" i="3"/>
  <c r="L40" i="3"/>
  <c r="M36" i="3"/>
  <c r="N36" i="3"/>
  <c r="L36" i="3"/>
  <c r="M35" i="3"/>
  <c r="N35" i="3"/>
  <c r="L35" i="3"/>
  <c r="L15" i="3"/>
  <c r="L13" i="3"/>
  <c r="L14" i="3"/>
  <c r="M34" i="3"/>
  <c r="N34" i="3"/>
  <c r="L33" i="3"/>
  <c r="L34" i="3"/>
  <c r="M32" i="3"/>
  <c r="N32" i="3"/>
  <c r="L32" i="3"/>
  <c r="M33" i="3"/>
  <c r="N33" i="3"/>
  <c r="M30" i="3"/>
  <c r="N30" i="3"/>
  <c r="L30" i="3"/>
  <c r="M29" i="3"/>
  <c r="N29" i="3"/>
  <c r="L29" i="3"/>
  <c r="L25" i="3"/>
  <c r="M25" i="3"/>
  <c r="M24" i="3"/>
  <c r="L24" i="3"/>
  <c r="M21" i="3"/>
  <c r="L21" i="3"/>
  <c r="L23" i="3"/>
  <c r="M23" i="3"/>
  <c r="M22" i="3"/>
  <c r="L22" i="3"/>
  <c r="L20" i="3"/>
  <c r="M20" i="3"/>
  <c r="M19" i="3"/>
  <c r="L19" i="3"/>
  <c r="M18" i="3"/>
  <c r="L18" i="3"/>
  <c r="M14" i="3"/>
  <c r="M15" i="3"/>
  <c r="M13" i="3"/>
  <c r="M10" i="3"/>
  <c r="L10" i="3"/>
  <c r="M8" i="3"/>
  <c r="L8" i="3"/>
  <c r="M7" i="3"/>
  <c r="L7" i="3"/>
  <c r="M6" i="3"/>
  <c r="L6" i="3"/>
  <c r="D8" i="3"/>
  <c r="E8" i="3"/>
  <c r="C8" i="3"/>
  <c r="D11" i="3"/>
  <c r="E11" i="3"/>
  <c r="C11" i="3"/>
  <c r="H81" i="1"/>
  <c r="D27" i="3"/>
  <c r="E27" i="3"/>
  <c r="C27" i="3"/>
  <c r="D45" i="3"/>
  <c r="D46" i="3" s="1"/>
  <c r="E45" i="3"/>
  <c r="E46" i="3" s="1"/>
  <c r="C51" i="3"/>
  <c r="D44" i="3"/>
  <c r="E44" i="3"/>
  <c r="C44" i="3"/>
  <c r="D43" i="3"/>
  <c r="E43" i="3"/>
  <c r="E42" i="3" s="1"/>
  <c r="C43" i="3"/>
  <c r="C45" i="3"/>
  <c r="C46" i="3" s="1"/>
  <c r="D42" i="3"/>
  <c r="C42" i="3"/>
  <c r="D29" i="3"/>
  <c r="E29" i="3"/>
  <c r="C29" i="3"/>
  <c r="D28" i="3"/>
  <c r="E28" i="3"/>
  <c r="C28" i="3"/>
  <c r="D51" i="3" l="1"/>
  <c r="E51" i="3"/>
  <c r="E50" i="3" s="1"/>
  <c r="D21" i="3"/>
  <c r="E21" i="3"/>
  <c r="C21" i="3"/>
  <c r="D19" i="3"/>
  <c r="E19" i="3"/>
  <c r="C19" i="3"/>
  <c r="C50" i="3" s="1"/>
  <c r="D25" i="3"/>
  <c r="E25" i="3"/>
  <c r="C25" i="3"/>
  <c r="D26" i="3"/>
  <c r="E26" i="3"/>
  <c r="C26" i="3"/>
  <c r="D10" i="3"/>
  <c r="E10" i="3"/>
  <c r="C10" i="3"/>
  <c r="C48" i="3"/>
  <c r="D17" i="3"/>
  <c r="E17" i="3"/>
  <c r="C17" i="3"/>
  <c r="D48" i="3"/>
  <c r="E48" i="3"/>
  <c r="D49" i="3"/>
  <c r="E49" i="3"/>
  <c r="C47" i="3"/>
  <c r="C49" i="3"/>
  <c r="C37" i="3"/>
  <c r="G100" i="1" s="1"/>
  <c r="D47" i="3"/>
  <c r="E47" i="3"/>
  <c r="E40" i="3"/>
  <c r="D40" i="3"/>
  <c r="C40" i="3"/>
  <c r="B22" i="1"/>
  <c r="D37" i="3"/>
  <c r="E37" i="3"/>
  <c r="D36" i="3"/>
  <c r="E36" i="3"/>
  <c r="C36" i="3"/>
  <c r="D35" i="3"/>
  <c r="E35" i="3"/>
  <c r="C35" i="3"/>
  <c r="D34" i="3"/>
  <c r="E34" i="3"/>
  <c r="C34" i="3"/>
  <c r="D9" i="3"/>
  <c r="D12" i="3" s="1"/>
  <c r="E9" i="3"/>
  <c r="E12" i="3" s="1"/>
  <c r="C9" i="3"/>
  <c r="C12" i="3" s="1"/>
  <c r="D14" i="3"/>
  <c r="D13" i="3" s="1"/>
  <c r="E14" i="3"/>
  <c r="E13" i="3" s="1"/>
  <c r="C14" i="3"/>
  <c r="D22" i="3"/>
  <c r="E22" i="3"/>
  <c r="C22" i="3"/>
  <c r="D20" i="3"/>
  <c r="E20" i="3"/>
  <c r="C20" i="3"/>
  <c r="D18" i="3"/>
  <c r="E18" i="3"/>
  <c r="C18" i="3"/>
  <c r="D7" i="3"/>
  <c r="E7" i="3"/>
  <c r="C7" i="3"/>
  <c r="D6" i="3"/>
  <c r="E6" i="3"/>
  <c r="C6" i="3"/>
  <c r="D5" i="3"/>
  <c r="C5" i="3"/>
  <c r="E5" i="3"/>
  <c r="D108" i="1"/>
  <c r="C108" i="1"/>
  <c r="B108" i="1"/>
  <c r="D99" i="1"/>
  <c r="C99" i="1"/>
  <c r="B99" i="1"/>
  <c r="D50" i="3" l="1"/>
  <c r="C31" i="3"/>
  <c r="C30" i="3" s="1"/>
  <c r="G77" i="1"/>
  <c r="E31" i="3"/>
  <c r="E30" i="3" s="1"/>
  <c r="I77" i="1"/>
  <c r="D31" i="3"/>
  <c r="D30" i="3" s="1"/>
  <c r="H77" i="1"/>
  <c r="C13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18" i="1"/>
  <c r="B20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<sst xmlns="http://schemas.openxmlformats.org/spreadsheetml/2006/main" count="209" uniqueCount="165">
  <si>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</si>
  <si>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</si>
  <si>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</si>
  <si>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</si>
  <si>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</si>
  <si>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</si>
  <si>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</si>
  <si>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</si>
  <si>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</si>
  <si>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</si>
  <si>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</si>
  <si>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</si>
  <si>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</si>
  <si>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</si>
  <si>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</si>
  <si>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</si>
  <si>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</si>
  <si>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</si>
  <si>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</si>
  <si>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</si>
  <si>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</si>
  <si>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</si>
  <si>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</si>
  <si>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</si>
  <si>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</si>
  <si>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</si>
  <si>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</si>
  <si>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</si>
  <si>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</si>
  <si>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</si>
  <si>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</si>
  <si>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</si>
  <si>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</si>
  <si>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</si>
  <si>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</si>
  <si>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</si>
  <si>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</si>
  <si>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</si>
  <si>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</si>
  <si>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</si>
  <si>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</si>
  <si>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</si>
  <si>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</si>
  <si>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</si>
  <si>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</si>
  <si>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</si>
  <si>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</si>
  <si>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</si>
  <si>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</si>
  <si>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</si>
  <si>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</si>
  <si>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</si>
  <si>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</si>
  <si>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</si>
  <si>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</si>
  <si>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</si>
  <si>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</si>
  <si>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</si>
  <si>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</si>
  <si>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</si>
  <si>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</si>
  <si>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</si>
  <si>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</si>
  <si>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</si>
  <si>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</si>
  <si>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</si>
  <si>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</si>
  <si>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</si>
  <si>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</si>
  <si>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</si>
  <si>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</si>
  <si>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</si>
  <si>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</si>
  <si>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</si>
  <si>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</si>
  <si>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</si>
  <si>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</si>
  <si>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</si>
  <si>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</si>
  <si>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</si>
  <si>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</si>
  <si>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</si>
  <si>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</si>
  <si>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</si>
  <si>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</si>
  <si>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</si>
  <si>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</si>
  <si>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</si>
  <si>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</si>
  <si>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</si>
  <si>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</si>
  <si>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</si>
  <si>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</si>
  <si>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</si>
  <si>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</si>
  <si>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</si>
  <si>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</si>
  <si>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</si>
  <si>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</si>
  <si>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</si>
  <si>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</si>
  <si>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</si>
  <si>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</si>
  <si>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</si>
  <si>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</si>
  <si>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</si>
  <si>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</si>
  <si>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</si>
  <si>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</si>
  <si>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</si>
  <si>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</si>
  <si>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</si>
  <si>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</si>
  <si>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</si>
  <si>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</si>
  <si>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</si>
  <si>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</si>
  <si>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</si>
  <si>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</si>
  <si>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</si>
  <si>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</si>
  <si>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</si>
  <si>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</si>
  <si>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</si>
  <si>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</si>
  <si>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</si>
  <si>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</si>
  <si>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</si>
  <si>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</si>
  <si>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</si>
  <si>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</si>
  <si>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</si>
  <si>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</si>
  <si>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</si>
  <si>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</si>
  <si>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</si>
  <si>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</si>
  <si>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</si>
  <si>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</si>
  <si>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</si>
  <si>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</si>
  <si>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</si>
  <si>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</si>
  <si>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</si>
  <si>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</si>
  <si>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</si>
  <si>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</si>
  <si>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</si>
  <si>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</si>
  <si>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price as of 30 September </t>
  </si>
  <si>
    <t>(net profit in the numerator)</t>
  </si>
  <si>
    <t>share outstanding in millions</t>
  </si>
  <si>
    <t>FF</t>
  </si>
  <si>
    <t xml:space="preserve">Growth Rate </t>
  </si>
  <si>
    <t xml:space="preserve">Sales </t>
  </si>
  <si>
    <t>Total</t>
  </si>
  <si>
    <t xml:space="preserve">Gross Profit </t>
  </si>
  <si>
    <t xml:space="preserve">Operating Expense </t>
  </si>
  <si>
    <t xml:space="preserve">Total </t>
  </si>
  <si>
    <t xml:space="preserve">Main Balance sheet Item </t>
  </si>
  <si>
    <t xml:space="preserve">Margin as a % of net sales </t>
  </si>
  <si>
    <t xml:space="preserve">Income Tax Rate </t>
  </si>
  <si>
    <t xml:space="preserve">Capex as a % of Sales </t>
  </si>
  <si>
    <t>Capex as a % of Fixed Assets</t>
  </si>
  <si>
    <t xml:space="preserve">Extra Requirement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</si>
</sst>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%"/>
    <numFmt numFmtId="185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0" fillId="0" borderId="0" xfId="0" applyNumberFormat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>
      <alignment horizontal="left" indent="1"/>
    </xf>
    <xf numFmtId="2" fontId="0" fillId="0" borderId="4" xfId="0" applyNumberFormat="1" applyBorder="1"/>
    <xf numFmtId="10" fontId="0" fillId="0" borderId="4" xfId="3" applyNumberFormat="1" applyFont="1" applyBorder="1"/>
    <xf numFmtId="0" fontId="0" fillId="0" borderId="4" xfId="0" applyBorder="1" applyAlignment="1">
      <alignment horizontal="left" indent="2"/>
    </xf>
    <xf numFmtId="1" fontId="0" fillId="0" borderId="4" xfId="0" applyNumberFormat="1" applyBorder="1"/>
    <xf numFmtId="0" fontId="2" fillId="0" borderId="4" xfId="0" applyFont="1" applyBorder="1" applyAlignment="1">
      <alignment horizontal="left"/>
    </xf>
    <xf numFmtId="0" fontId="0" fillId="5" borderId="4" xfId="0" applyFill="1" applyBorder="1" applyAlignment="1">
      <alignment horizontal="left" indent="1"/>
    </xf>
    <xf numFmtId="0" fontId="0" fillId="5" borderId="4" xfId="0" applyFill="1" applyBorder="1" applyAlignment="1">
      <alignment horizontal="left" indent="2"/>
    </xf>
    <xf numFmtId="167" fontId="0" fillId="0" borderId="4" xfId="3" applyNumberFormat="1" applyFont="1" applyBorder="1"/>
    <xf numFmtId="185" fontId="0" fillId="0" borderId="4" xfId="0" applyNumberFormat="1" applyBorder="1"/>
    <xf numFmtId="4" fontId="0" fillId="0" borderId="4" xfId="0" applyNumberFormat="1" applyBorder="1"/>
    <xf numFmtId="0" fontId="0" fillId="0" borderId="0" xfId="0" applyAlignment="1"/>
    <xf numFmtId="0" fontId="0" fillId="0" borderId="4" xfId="0" applyFont="1" applyBorder="1"/>
    <xf numFmtId="0" fontId="0" fillId="0" borderId="4" xfId="0" applyFont="1" applyBorder="1" applyAlignment="1">
      <alignment horizontal="right" indent="1"/>
    </xf>
    <xf numFmtId="10" fontId="1" fillId="0" borderId="4" xfId="3" applyNumberFormat="1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2" fontId="0" fillId="6" borderId="4" xfId="0" applyNumberFormat="1" applyFill="1" applyBorder="1"/>
    <xf numFmtId="0" fontId="2" fillId="7" borderId="4" xfId="0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86</v>
      </c>
    </row>
    <row r="3" spans="1:1" x14ac:dyDescent="0.3">
      <c r="A3" s="7" t="s">
        <v>140</v>
      </c>
    </row>
    <row r="4" spans="1:1" x14ac:dyDescent="0.3">
      <c r="A4" s="16" t="s">
        <v>87</v>
      </c>
    </row>
    <row r="5" spans="1:1" x14ac:dyDescent="0.3">
      <c r="A5" s="7" t="s">
        <v>96</v>
      </c>
    </row>
    <row r="6" spans="1:1" x14ac:dyDescent="0.3">
      <c r="A6" s="1" t="s">
        <v>147</v>
      </c>
    </row>
    <row r="7" spans="1:1" x14ac:dyDescent="0.3">
      <c r="A7" s="1"/>
    </row>
    <row r="8" spans="1:1" x14ac:dyDescent="0.3">
      <c r="A8" s="17" t="s">
        <v>148</v>
      </c>
    </row>
    <row r="9" spans="1:1" x14ac:dyDescent="0.3">
      <c r="A9" s="1" t="s">
        <v>144</v>
      </c>
    </row>
    <row r="10" spans="1:1" x14ac:dyDescent="0.3">
      <c r="A10" s="1" t="s">
        <v>88</v>
      </c>
    </row>
    <row r="11" spans="1:1" x14ac:dyDescent="0.3">
      <c r="A11" s="1" t="s">
        <v>89</v>
      </c>
    </row>
    <row r="12" spans="1:1" x14ac:dyDescent="0.3">
      <c r="A12" s="1" t="s">
        <v>90</v>
      </c>
    </row>
    <row r="13" spans="1:1" x14ac:dyDescent="0.3">
      <c r="A13" s="1"/>
    </row>
    <row r="14" spans="1:1" x14ac:dyDescent="0.3">
      <c r="A14" s="17" t="s">
        <v>91</v>
      </c>
    </row>
    <row r="15" spans="1:1" x14ac:dyDescent="0.3">
      <c r="A15" s="1" t="s">
        <v>145</v>
      </c>
    </row>
    <row r="16" spans="1:1" x14ac:dyDescent="0.3">
      <c r="A16" s="1" t="s">
        <v>88</v>
      </c>
    </row>
    <row r="17" spans="1:1" x14ac:dyDescent="0.3">
      <c r="A17" s="1" t="s">
        <v>89</v>
      </c>
    </row>
    <row r="18" spans="1:1" x14ac:dyDescent="0.3">
      <c r="A18" s="1" t="s">
        <v>14</v>
      </c>
    </row>
    <row r="19" spans="1:1" x14ac:dyDescent="0.3">
      <c r="A19" s="1" t="s">
        <v>92</v>
      </c>
    </row>
    <row r="20" spans="1:1" x14ac:dyDescent="0.3">
      <c r="A20" s="1"/>
    </row>
    <row r="21" spans="1:1" x14ac:dyDescent="0.3">
      <c r="A21" s="17" t="s">
        <v>97</v>
      </c>
    </row>
    <row r="22" spans="1:1" x14ac:dyDescent="0.3">
      <c r="A22" s="1" t="s">
        <v>93</v>
      </c>
    </row>
    <row r="23" spans="1:1" x14ac:dyDescent="0.3">
      <c r="A23" s="1" t="s">
        <v>94</v>
      </c>
    </row>
    <row r="24" spans="1:1" x14ac:dyDescent="0.3">
      <c r="A24" s="1" t="s">
        <v>95</v>
      </c>
    </row>
    <row r="25" spans="1:1" x14ac:dyDescent="0.3">
      <c r="A25" s="1"/>
    </row>
    <row r="26" spans="1:1" x14ac:dyDescent="0.3">
      <c r="A26" s="17" t="s">
        <v>143</v>
      </c>
    </row>
    <row r="27" spans="1:1" x14ac:dyDescent="0.3">
      <c r="A27" s="16" t="s">
        <v>142</v>
      </c>
    </row>
    <row r="29" spans="1:1" x14ac:dyDescent="0.3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7" zoomScale="70" workbookViewId="0">
      <selection activeCell="A15" sqref="A15:A16"/>
    </sheetView>
  </sheetViews>
  <sheetFormatPr defaultRowHeight="14.4" x14ac:dyDescent="0.3"/>
  <cols>
    <col min="1" max="1" width="59" customWidth="1"/>
    <col min="2" max="2" width="28.5546875" customWidth="1"/>
    <col min="3" max="3" width="12.88671875" customWidth="1"/>
    <col min="4" max="4" width="15.21875" customWidth="1"/>
    <col min="6" max="6" width="4.109375" customWidth="1"/>
    <col min="7" max="7" width="15.109375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24" t="s">
        <v>1</v>
      </c>
      <c r="B2" s="24"/>
      <c r="C2" s="24"/>
      <c r="D2" s="24"/>
    </row>
    <row r="3" spans="1:10" x14ac:dyDescent="0.3">
      <c r="B3" s="23" t="s">
        <v>23</v>
      </c>
      <c r="C3" s="23"/>
      <c r="D3" s="2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 t="s">
        <v>152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24" t="s">
        <v>24</v>
      </c>
      <c r="B31" s="24"/>
      <c r="C31" s="24"/>
      <c r="D31" s="24"/>
    </row>
    <row r="32" spans="1:4" x14ac:dyDescent="0.3">
      <c r="B32" s="23" t="s">
        <v>141</v>
      </c>
      <c r="C32" s="23"/>
      <c r="D32" s="23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9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9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9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9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9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9" ht="15" thickTop="1" x14ac:dyDescent="0.3"/>
    <row r="71" spans="1:9" x14ac:dyDescent="0.3">
      <c r="A71" s="24" t="s">
        <v>55</v>
      </c>
      <c r="B71" s="24"/>
      <c r="C71" s="24"/>
      <c r="D71" s="24"/>
    </row>
    <row r="72" spans="1:9" x14ac:dyDescent="0.3">
      <c r="B72" s="23" t="s">
        <v>23</v>
      </c>
      <c r="C72" s="23"/>
      <c r="D72" s="23"/>
    </row>
    <row r="73" spans="1:9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9" x14ac:dyDescent="0.3">
      <c r="A75" s="7" t="s">
        <v>56</v>
      </c>
      <c r="B75" s="15"/>
      <c r="C75" s="15"/>
      <c r="D75" s="15"/>
    </row>
    <row r="76" spans="1:9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9" x14ac:dyDescent="0.3">
      <c r="A77" s="11" t="s">
        <v>18</v>
      </c>
      <c r="B77" s="15"/>
      <c r="C77" s="15"/>
      <c r="D77" s="15"/>
      <c r="G77" s="25">
        <f>B22+B79-(-B96)-('List of Ratios'!C14)+(B104+B105)</f>
        <v>114698</v>
      </c>
      <c r="H77" s="25">
        <f>C22+C79-(-C96)-('List of Ratios'!D14)+(C104+C105)</f>
        <v>97167</v>
      </c>
      <c r="I77" s="25">
        <f>D22+D79-(-D96)-('List of Ratios'!E14)+(D104+D105)</f>
        <v>26299</v>
      </c>
    </row>
    <row r="78" spans="1:9" x14ac:dyDescent="0.3">
      <c r="A78" s="1" t="s">
        <v>58</v>
      </c>
      <c r="B78" s="12"/>
      <c r="C78" s="12"/>
      <c r="D78" s="12"/>
    </row>
    <row r="79" spans="1:9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9" x14ac:dyDescent="0.3">
      <c r="A80" s="3" t="s">
        <v>82</v>
      </c>
      <c r="B80" s="12">
        <v>9038</v>
      </c>
      <c r="C80" s="12">
        <v>7906</v>
      </c>
      <c r="D80" s="12">
        <v>6829</v>
      </c>
    </row>
    <row r="81" spans="1:8" x14ac:dyDescent="0.3">
      <c r="A81" s="3" t="s">
        <v>60</v>
      </c>
      <c r="B81" s="12">
        <v>895</v>
      </c>
      <c r="C81" s="12">
        <v>-4774</v>
      </c>
      <c r="D81" s="12">
        <v>-215</v>
      </c>
      <c r="G81" s="25"/>
      <c r="H81" s="25">
        <f>B104+B105</f>
        <v>-4078</v>
      </c>
    </row>
    <row r="82" spans="1:8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8" x14ac:dyDescent="0.3">
      <c r="A83" t="s">
        <v>62</v>
      </c>
      <c r="B83" s="12"/>
      <c r="C83" s="12"/>
      <c r="D83" s="12"/>
    </row>
    <row r="84" spans="1:8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8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8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8" x14ac:dyDescent="0.3">
      <c r="A87" s="1" t="s">
        <v>83</v>
      </c>
      <c r="B87" s="12">
        <v>-6499</v>
      </c>
      <c r="C87" s="12">
        <v>-8042</v>
      </c>
      <c r="D87" s="12">
        <v>-9588</v>
      </c>
    </row>
    <row r="88" spans="1:8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8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8" x14ac:dyDescent="0.3">
      <c r="A90" s="1" t="s">
        <v>84</v>
      </c>
      <c r="B90" s="12">
        <v>5632</v>
      </c>
      <c r="C90" s="12">
        <v>5799</v>
      </c>
      <c r="D90" s="12">
        <v>8916</v>
      </c>
    </row>
    <row r="91" spans="1:8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8" x14ac:dyDescent="0.3">
      <c r="A92" s="7" t="s">
        <v>64</v>
      </c>
      <c r="B92" s="12"/>
      <c r="C92" s="12"/>
      <c r="D92" s="12"/>
    </row>
    <row r="93" spans="1:8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8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8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8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7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7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7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7" x14ac:dyDescent="0.3">
      <c r="A100" s="7" t="s">
        <v>71</v>
      </c>
      <c r="B100" s="12"/>
      <c r="C100" s="12"/>
      <c r="D100" s="12"/>
      <c r="G100" s="25">
        <f>B45+B102-B119-('List of Ratios'!C37)+(B127+B128)</f>
        <v>27275.717075590706</v>
      </c>
    </row>
    <row r="101" spans="1:7" x14ac:dyDescent="0.3">
      <c r="A101" s="1" t="s">
        <v>85</v>
      </c>
      <c r="B101" s="12">
        <v>-6223</v>
      </c>
      <c r="C101" s="12">
        <v>-6556</v>
      </c>
      <c r="D101" s="12">
        <v>-3634</v>
      </c>
    </row>
    <row r="102" spans="1:7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7" x14ac:dyDescent="0.3">
      <c r="A103" s="1" t="s">
        <v>71</v>
      </c>
      <c r="B103" s="12">
        <v>-89402</v>
      </c>
      <c r="C103" s="12">
        <v>-85971</v>
      </c>
      <c r="D103" s="12">
        <v>-72358</v>
      </c>
    </row>
    <row r="104" spans="1:7" x14ac:dyDescent="0.3">
      <c r="A104" s="1" t="s">
        <v>73</v>
      </c>
      <c r="B104" s="12">
        <v>5465</v>
      </c>
      <c r="C104" s="12">
        <v>20393</v>
      </c>
      <c r="D104" s="12">
        <v>16091</v>
      </c>
    </row>
    <row r="105" spans="1:7" x14ac:dyDescent="0.3">
      <c r="A105" s="1" t="s">
        <v>74</v>
      </c>
      <c r="B105" s="12">
        <v>-9543</v>
      </c>
      <c r="C105" s="12">
        <v>-8750</v>
      </c>
      <c r="D105" s="12">
        <v>-12629</v>
      </c>
    </row>
    <row r="106" spans="1:7" x14ac:dyDescent="0.3">
      <c r="A106" s="1" t="s">
        <v>75</v>
      </c>
      <c r="B106" s="12">
        <v>3955</v>
      </c>
      <c r="C106" s="12">
        <v>1022</v>
      </c>
      <c r="D106" s="12">
        <v>-963</v>
      </c>
    </row>
    <row r="107" spans="1:7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7" x14ac:dyDescent="0.3">
      <c r="A108" s="8" t="s">
        <v>76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7" x14ac:dyDescent="0.3">
      <c r="A109" s="8" t="s">
        <v>77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7" ht="15" thickBot="1" x14ac:dyDescent="0.35">
      <c r="A110" s="9" t="s">
        <v>78</v>
      </c>
      <c r="B110" s="14">
        <v>24977</v>
      </c>
      <c r="C110" s="14">
        <v>35929</v>
      </c>
      <c r="D110" s="14">
        <v>39789</v>
      </c>
    </row>
    <row r="111" spans="1:7" ht="15" thickTop="1" x14ac:dyDescent="0.3">
      <c r="B111" s="12"/>
      <c r="C111" s="12"/>
      <c r="D111" s="12"/>
    </row>
    <row r="112" spans="1:7" x14ac:dyDescent="0.3">
      <c r="A112" t="s">
        <v>79</v>
      </c>
      <c r="B112" s="12"/>
      <c r="C112" s="12"/>
      <c r="D112" s="12"/>
    </row>
    <row r="113" spans="1:4" x14ac:dyDescent="0.3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81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tabSelected="1" zoomScale="56" zoomScaleNormal="112" workbookViewId="0">
      <selection activeCell="B14" sqref="B14"/>
    </sheetView>
  </sheetViews>
  <sheetFormatPr defaultRowHeight="14.4" x14ac:dyDescent="0.3"/>
  <cols>
    <col min="1" max="1" width="4.6640625" customWidth="1"/>
    <col min="2" max="2" width="44.88671875" customWidth="1"/>
    <col min="3" max="5" width="11.33203125" bestFit="1" customWidth="1"/>
    <col min="7" max="7" width="35.6640625" bestFit="1" customWidth="1"/>
    <col min="11" max="11" width="59.88671875" customWidth="1"/>
  </cols>
  <sheetData>
    <row r="1" spans="1:14" ht="60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4" x14ac:dyDescent="0.3">
      <c r="B2" s="26"/>
      <c r="C2" s="27" t="s">
        <v>23</v>
      </c>
      <c r="D2" s="27"/>
      <c r="E2" s="27"/>
    </row>
    <row r="3" spans="1:14" x14ac:dyDescent="0.3">
      <c r="B3" s="26"/>
      <c r="C3" s="28">
        <f>+'Financial Statements'!B4</f>
        <v>2022</v>
      </c>
      <c r="D3" s="28">
        <f>+'Financial Statements'!C4</f>
        <v>2021</v>
      </c>
      <c r="E3" s="28">
        <f>+'Financial Statements'!D4</f>
        <v>2020</v>
      </c>
      <c r="K3" s="47" t="s">
        <v>153</v>
      </c>
      <c r="L3" s="47"/>
      <c r="M3" s="47"/>
      <c r="N3" s="40"/>
    </row>
    <row r="4" spans="1:14" x14ac:dyDescent="0.3">
      <c r="A4" s="18">
        <v>1</v>
      </c>
      <c r="B4" s="28" t="s">
        <v>98</v>
      </c>
      <c r="C4" s="26"/>
      <c r="D4" s="26"/>
      <c r="E4" s="26"/>
      <c r="K4" s="41"/>
      <c r="L4" s="41">
        <v>2022</v>
      </c>
      <c r="M4" s="41">
        <v>2021</v>
      </c>
    </row>
    <row r="5" spans="1:14" x14ac:dyDescent="0.3">
      <c r="A5" s="18">
        <f>+A4+0.1</f>
        <v>1.1000000000000001</v>
      </c>
      <c r="B5" s="29" t="s">
        <v>99</v>
      </c>
      <c r="C5" s="30">
        <f>'Financial Statements'!B42/'Financial Statements'!B56</f>
        <v>0.87935602862672257</v>
      </c>
      <c r="D5" s="30">
        <f>'Financial Statements'!C42/'Financial Statements'!C56</f>
        <v>1.0745531195957954</v>
      </c>
      <c r="E5" s="30">
        <f>'Financial Statements'!D42/'Financial Statements'!D56</f>
        <v>1.3636044481554577</v>
      </c>
      <c r="K5" s="28" t="s">
        <v>154</v>
      </c>
      <c r="L5" s="41"/>
      <c r="M5" s="41"/>
    </row>
    <row r="6" spans="1:14" x14ac:dyDescent="0.3">
      <c r="A6" s="18">
        <f t="shared" ref="A6:A13" si="0">+A5+0.1</f>
        <v>1.2000000000000002</v>
      </c>
      <c r="B6" s="29" t="s">
        <v>100</v>
      </c>
      <c r="C6" s="30">
        <f>('Financial Statements'!B36+'Financial Statements'!B37+'Financial Statements'!B38)/'Financial Statements'!B56</f>
        <v>0.49673338442155579</v>
      </c>
      <c r="D6" s="30">
        <f>('Financial Statements'!C36+'Financial Statements'!C37+'Financial Statements'!C38)/'Financial Statements'!C56</f>
        <v>0.70860927152317876</v>
      </c>
      <c r="E6" s="30">
        <f>('Financial Statements'!D36+'Financial Statements'!D37+'Financial Statements'!D38)/'Financial Statements'!D56</f>
        <v>1.0158550933657204</v>
      </c>
      <c r="K6" s="42" t="s">
        <v>4</v>
      </c>
      <c r="L6" s="43">
        <f>('Financial Statements'!B6-'Financial Statements'!C6)/'Financial Statements'!C6</f>
        <v>6.3239764351428418E-2</v>
      </c>
      <c r="M6" s="43">
        <f>('Financial Statements'!C6-'Financial Statements'!D6)/'Financial Statements'!D6</f>
        <v>0.34720743656765435</v>
      </c>
    </row>
    <row r="7" spans="1:14" x14ac:dyDescent="0.3">
      <c r="A7" s="18">
        <f t="shared" si="0"/>
        <v>1.3000000000000003</v>
      </c>
      <c r="B7" s="29" t="s">
        <v>101</v>
      </c>
      <c r="C7" s="30">
        <f>('Financial Statements'!B36+'Financial Statements'!B38)/'Financial Statements'!B56</f>
        <v>0.33659778415658975</v>
      </c>
      <c r="D7" s="30">
        <f>('Financial Statements'!C36+'Financial Statements'!C38)/'Financial Statements'!C56</f>
        <v>0.48786668898080188</v>
      </c>
      <c r="E7" s="30">
        <f>('Financial Statements'!D36+'Financial Statements'!D38)/'Financial Statements'!D56</f>
        <v>0.51366327614999241</v>
      </c>
      <c r="K7" s="42" t="s">
        <v>5</v>
      </c>
      <c r="L7" s="43">
        <f>('Financial Statements'!B7-'Financial Statements'!C7)/'Financial Statements'!C7</f>
        <v>0.14181951041286078</v>
      </c>
      <c r="M7" s="43">
        <f>('Financial Statements'!C7-'Financial Statements'!D7)/'Financial Statements'!D7</f>
        <v>0.27259708376729652</v>
      </c>
    </row>
    <row r="8" spans="1:14" x14ac:dyDescent="0.3">
      <c r="A8" s="18">
        <f t="shared" si="0"/>
        <v>1.4000000000000004</v>
      </c>
      <c r="B8" s="29" t="s">
        <v>102</v>
      </c>
      <c r="C8" s="30">
        <f>('Financial Statements'!B36+'Financial Statements'!B37+'Financial Statements'!B38)/(('Financial Statements'!B17+'Financial Statements'!B12-'Financial Statements'!B79)/365)</f>
        <v>105.83584482935096</v>
      </c>
      <c r="D8" s="30">
        <f>('Financial Statements'!C36+'Financial Statements'!C37+'Financial Statements'!C38)/(('Financial Statements'!C17+'Financial Statements'!C79)/365)</f>
        <v>588.2566022004313</v>
      </c>
      <c r="E8" s="30">
        <f>('Financial Statements'!D36+'Financial Statements'!D37+'Financial Statements'!D38)/(('Financial Statements'!D17+'Financial Statements'!D79)/365)</f>
        <v>785.89805727616442</v>
      </c>
      <c r="K8" s="44" t="s">
        <v>155</v>
      </c>
      <c r="L8" s="43">
        <f>('Financial Statements'!B8-'Financial Statements'!C8)/'Financial Statements'!C8</f>
        <v>7.7937876041846058E-2</v>
      </c>
      <c r="M8" s="43">
        <f>('Financial Statements'!C8-'Financial Statements'!D8)/'Financial Statements'!D8</f>
        <v>0.33259384733074693</v>
      </c>
    </row>
    <row r="9" spans="1:14" x14ac:dyDescent="0.3">
      <c r="A9" s="18">
        <f t="shared" si="0"/>
        <v>1.5000000000000004</v>
      </c>
      <c r="B9" s="29" t="s">
        <v>103</v>
      </c>
      <c r="C9" s="30">
        <f>('Financial Statements'!B39/'Financial Statements'!B12)*365</f>
        <v>8.0756980666171607</v>
      </c>
      <c r="D9" s="30">
        <f>('Financial Statements'!C39/'Financial Statements'!C12)*365</f>
        <v>11.27659274770989</v>
      </c>
      <c r="E9" s="30">
        <f>('Financial Statements'!D39/'Financial Statements'!D12)*365</f>
        <v>8.7418833562358831</v>
      </c>
      <c r="K9" s="41"/>
      <c r="L9" s="41"/>
      <c r="M9" s="41"/>
    </row>
    <row r="10" spans="1:14" x14ac:dyDescent="0.3">
      <c r="A10" s="18">
        <f t="shared" si="0"/>
        <v>1.6000000000000005</v>
      </c>
      <c r="B10" s="29" t="s">
        <v>104</v>
      </c>
      <c r="C10" s="30">
        <f>('Financial Statements'!B51/'Financial Statements'!B12)*365</f>
        <v>104.68527730310539</v>
      </c>
      <c r="D10" s="30">
        <f>('Financial Statements'!C51/'Financial Statements'!C12)*365</f>
        <v>93.851071222315596</v>
      </c>
      <c r="E10" s="30">
        <f>('Financial Statements'!D51/'Financial Statements'!D12)*365</f>
        <v>91.048189715674198</v>
      </c>
      <c r="K10" s="41" t="s">
        <v>156</v>
      </c>
      <c r="L10" s="43">
        <f>('Financial Statements'!B13-'Financial Statements'!C13)/'Financial Statements'!C13</f>
        <v>0.11741997958596143</v>
      </c>
      <c r="M10" s="43">
        <f>('Financial Statements'!C13-'Financial Statements'!D13)/'Financial Statements'!D13</f>
        <v>0.45619116582186819</v>
      </c>
    </row>
    <row r="11" spans="1:14" x14ac:dyDescent="0.3">
      <c r="A11" s="18">
        <f t="shared" si="0"/>
        <v>1.7000000000000006</v>
      </c>
      <c r="B11" s="29" t="s">
        <v>105</v>
      </c>
      <c r="C11" s="30">
        <f>('Financial Statements'!B38/'Financial Statements'!B8)*365</f>
        <v>26.087825363656648</v>
      </c>
      <c r="D11" s="30">
        <f>('Financial Statements'!C38/'Financial Statements'!C8)*365</f>
        <v>26.219311841713207</v>
      </c>
      <c r="E11" s="30">
        <f>('Financial Statements'!D38/'Financial Statements'!D8)*365</f>
        <v>21.433437152796749</v>
      </c>
      <c r="K11" s="41"/>
      <c r="L11" s="41"/>
      <c r="M11" s="41"/>
    </row>
    <row r="12" spans="1:14" x14ac:dyDescent="0.3">
      <c r="A12" s="18">
        <f t="shared" si="0"/>
        <v>1.8000000000000007</v>
      </c>
      <c r="B12" s="29" t="s">
        <v>106</v>
      </c>
      <c r="C12" s="30">
        <f>C9+C11-C10</f>
        <v>-70.521753872831582</v>
      </c>
      <c r="D12" s="30">
        <f t="shared" ref="D12:E12" si="1">D9+D11-D10</f>
        <v>-56.355166632892498</v>
      </c>
      <c r="E12" s="30">
        <f t="shared" si="1"/>
        <v>-60.872869206641568</v>
      </c>
      <c r="K12" s="28" t="s">
        <v>157</v>
      </c>
      <c r="L12" s="41"/>
      <c r="M12" s="41"/>
    </row>
    <row r="13" spans="1:14" x14ac:dyDescent="0.3">
      <c r="A13" s="18">
        <f t="shared" si="0"/>
        <v>1.9000000000000008</v>
      </c>
      <c r="B13" s="29" t="s">
        <v>107</v>
      </c>
      <c r="C13" s="31">
        <f>C14/'Financial Statements'!B8</f>
        <v>-4.711052727678481E-2</v>
      </c>
      <c r="D13" s="31">
        <f>D14/'Financial Statements'!C8</f>
        <v>2.557289573748623E-2</v>
      </c>
      <c r="E13" s="31">
        <f>E14/'Financial Statements'!D8</f>
        <v>0.13959528623208203</v>
      </c>
      <c r="K13" s="42" t="s">
        <v>11</v>
      </c>
      <c r="L13" s="43">
        <f>('Financial Statements'!B15-'Financial Statements'!C15)/'Financial Statements'!C15</f>
        <v>0.19791001186456147</v>
      </c>
      <c r="M13" s="43">
        <f>('Financial Statements'!C15-'Financial Statements'!D15)/'Financial Statements'!D15</f>
        <v>0.16862201365187712</v>
      </c>
    </row>
    <row r="14" spans="1:14" x14ac:dyDescent="0.3">
      <c r="A14" s="18"/>
      <c r="B14" s="32" t="s">
        <v>108</v>
      </c>
      <c r="C14" s="33">
        <f>'Financial Statements'!B42-'Financial Statements'!B56</f>
        <v>-18577</v>
      </c>
      <c r="D14" s="33">
        <f>'Financial Statements'!C42-'Financial Statements'!C56</f>
        <v>9355</v>
      </c>
      <c r="E14" s="33">
        <f>'Financial Statements'!D42-'Financial Statements'!D56</f>
        <v>38321</v>
      </c>
      <c r="K14" s="42" t="s">
        <v>12</v>
      </c>
      <c r="L14" s="43">
        <f>('Financial Statements'!B16-'Financial Statements'!C16)/'Financial Statements'!C16</f>
        <v>0.14203795567287125</v>
      </c>
      <c r="M14" s="43">
        <f>('Financial Statements'!C16-'Financial Statements'!D16)/'Financial Statements'!D16</f>
        <v>0.10328379192608958</v>
      </c>
    </row>
    <row r="15" spans="1:14" x14ac:dyDescent="0.3">
      <c r="A15" s="18"/>
      <c r="B15" s="26"/>
      <c r="C15" s="26"/>
      <c r="D15" s="26"/>
      <c r="E15" s="26"/>
      <c r="K15" s="44" t="s">
        <v>158</v>
      </c>
      <c r="L15" s="43">
        <f>('Financial Statements'!B17-'Financial Statements'!C17)/'Financial Statements'!C17</f>
        <v>0.16993642764372138</v>
      </c>
      <c r="M15" s="43">
        <f>('Financial Statements'!C17-'Financial Statements'!D17)/'Financial Statements'!D17</f>
        <v>0.13496948381090307</v>
      </c>
    </row>
    <row r="16" spans="1:14" x14ac:dyDescent="0.3">
      <c r="A16" s="18">
        <f>+A4+1</f>
        <v>2</v>
      </c>
      <c r="B16" s="34" t="s">
        <v>109</v>
      </c>
      <c r="C16" s="26"/>
      <c r="D16" s="26"/>
      <c r="E16" s="26"/>
      <c r="K16" s="41"/>
      <c r="L16" s="41"/>
      <c r="M16" s="41"/>
    </row>
    <row r="17" spans="1:14" x14ac:dyDescent="0.3">
      <c r="A17" s="18">
        <f>+A16+0.1</f>
        <v>2.1</v>
      </c>
      <c r="B17" s="29" t="s">
        <v>9</v>
      </c>
      <c r="C17" s="31">
        <f>'Financial Statements'!B13/'Financial Statements'!B8</f>
        <v>0.43309630561360085</v>
      </c>
      <c r="D17" s="31">
        <f>'Financial Statements'!C13/'Financial Statements'!C8</f>
        <v>0.41779359625167778</v>
      </c>
      <c r="E17" s="31">
        <f>'Financial Statements'!D13/'Financial Statements'!D8</f>
        <v>0.38233247727810865</v>
      </c>
      <c r="K17" s="28" t="s">
        <v>159</v>
      </c>
      <c r="L17" s="41"/>
      <c r="M17" s="41"/>
    </row>
    <row r="18" spans="1:14" x14ac:dyDescent="0.3">
      <c r="A18" s="18">
        <f>+A17+0.1</f>
        <v>2.2000000000000002</v>
      </c>
      <c r="B18" s="29" t="s">
        <v>110</v>
      </c>
      <c r="C18" s="31">
        <f>('Financial Statements'!B20+'Financial Statements'!B79)/'Financial Statements'!B8</f>
        <v>0.33019973220263332</v>
      </c>
      <c r="D18" s="31">
        <f>('Financial Statements'!C20+'Financial Statements'!C79)/'Financial Statements'!C8</f>
        <v>0.32937507004868555</v>
      </c>
      <c r="E18" s="31">
        <f>('Financial Statements'!D20+'Financial Statements'!D79)/'Financial Statements'!D8</f>
        <v>0.28467296869023551</v>
      </c>
      <c r="K18" s="41" t="s">
        <v>31</v>
      </c>
      <c r="L18" s="43">
        <f>('Financial Statements'!B42-'Financial Statements'!C42)/'Financial Statements'!C42</f>
        <v>4.2199412619775131E-3</v>
      </c>
      <c r="M18" s="43">
        <f>('Financial Statements'!C42-'Financial Statements'!D42)/'Financial Statements'!D42</f>
        <v>-6.176894226687913E-2</v>
      </c>
    </row>
    <row r="19" spans="1:14" x14ac:dyDescent="0.3">
      <c r="A19" s="18"/>
      <c r="B19" s="32" t="s">
        <v>111</v>
      </c>
      <c r="C19" s="26">
        <f>'Financial Statements'!B20+'Financial Statements'!B79</f>
        <v>130207</v>
      </c>
      <c r="D19" s="26">
        <f>'Financial Statements'!C20+'Financial Statements'!C79</f>
        <v>120491</v>
      </c>
      <c r="E19" s="26">
        <f>'Financial Statements'!D20+'Financial Statements'!D79</f>
        <v>78147</v>
      </c>
      <c r="K19" s="41" t="s">
        <v>50</v>
      </c>
      <c r="L19" s="43">
        <f>('Financial Statements'!B47-'Financial Statements'!C47)/'Financial Statements'!C47</f>
        <v>5.4772720964443994E-3</v>
      </c>
      <c r="M19" s="43">
        <f>('Financial Statements'!C47-'Financial Statements'!D47)/'Financial Statements'!D47</f>
        <v>0.19975579297904814</v>
      </c>
    </row>
    <row r="20" spans="1:14" x14ac:dyDescent="0.3">
      <c r="A20" s="18">
        <f>+A18+0.1</f>
        <v>2.3000000000000003</v>
      </c>
      <c r="B20" s="29" t="s">
        <v>112</v>
      </c>
      <c r="C20" s="31">
        <f>'Financial Statements'!B20/'Financial Statements'!B8</f>
        <v>0.30204043334482966</v>
      </c>
      <c r="D20" s="31">
        <f>'Financial Statements'!C20/'Financial Statements'!C8</f>
        <v>0.29852904594373691</v>
      </c>
      <c r="E20" s="31">
        <f>'Financial Statements'!D20/'Financial Statements'!D8</f>
        <v>0.24439830246070343</v>
      </c>
      <c r="K20" s="41" t="s">
        <v>33</v>
      </c>
      <c r="L20" s="43">
        <f>('Financial Statements'!B48-'Financial Statements'!C48)/'Financial Statements'!C48</f>
        <v>4.9942735369029236E-3</v>
      </c>
      <c r="M20" s="43">
        <f>('Financial Statements'!C48-'Financial Statements'!D48)/'Financial Statements'!D48</f>
        <v>8.3714123400681711E-2</v>
      </c>
    </row>
    <row r="21" spans="1:14" x14ac:dyDescent="0.3">
      <c r="A21" s="18"/>
      <c r="B21" s="32" t="s">
        <v>113</v>
      </c>
      <c r="C21" s="26">
        <f>'Financial Statements'!B20</f>
        <v>119103</v>
      </c>
      <c r="D21" s="26">
        <f>'Financial Statements'!C20</f>
        <v>109207</v>
      </c>
      <c r="E21" s="26">
        <f>'Financial Statements'!D20</f>
        <v>67091</v>
      </c>
      <c r="K21" s="41" t="s">
        <v>40</v>
      </c>
      <c r="L21" s="43">
        <f>('Financial Statements'!B56-'Financial Statements'!C56)/'Financial Statements'!C56</f>
        <v>0.22713398841258836</v>
      </c>
      <c r="M21" s="43">
        <f>('Financial Statements'!C56-'Financial Statements'!D56)/'Financial Statements'!D56</f>
        <v>0.19061219067860938</v>
      </c>
    </row>
    <row r="22" spans="1:14" x14ac:dyDescent="0.3">
      <c r="A22" s="18">
        <f>+A20+0.1</f>
        <v>2.4000000000000004</v>
      </c>
      <c r="B22" s="29" t="s">
        <v>114</v>
      </c>
      <c r="C22" s="31">
        <f>'Financial Statements'!B22/'Financial Statements'!B8</f>
        <v>0.25309640705199732</v>
      </c>
      <c r="D22" s="31">
        <f>'Financial Statements'!C22/'Financial Statements'!C8</f>
        <v>0.25881793355694238</v>
      </c>
      <c r="E22" s="31">
        <f>'Financial Statements'!D22/'Financial Statements'!D8</f>
        <v>0.20913611278072236</v>
      </c>
      <c r="K22" s="45" t="s">
        <v>53</v>
      </c>
      <c r="L22" s="43">
        <f>('Financial Statements'!B61-'Financial Statements'!C61)/'Financial Statements'!C61</f>
        <v>-8.8222075835277747E-2</v>
      </c>
      <c r="M22" s="43">
        <f>('Financial Statements'!C61-'Financial Statements'!D61)/'Financial Statements'!D61</f>
        <v>6.0552243775994566E-2</v>
      </c>
    </row>
    <row r="23" spans="1:14" x14ac:dyDescent="0.3">
      <c r="A23" s="18"/>
      <c r="B23" s="26"/>
      <c r="C23" s="26"/>
      <c r="D23" s="26"/>
      <c r="E23" s="26"/>
      <c r="K23" s="41" t="s">
        <v>41</v>
      </c>
      <c r="L23" s="43">
        <f>('Financial Statements'!B62-'Financial Statements'!C62)/'Financial Statements'!C62</f>
        <v>4.9219900525160468E-2</v>
      </c>
      <c r="M23" s="43">
        <f>('Financial Statements'!C62-'Financial Statements'!D62)/'Financial Statements'!D62</f>
        <v>0.11356841449783213</v>
      </c>
    </row>
    <row r="24" spans="1:14" x14ac:dyDescent="0.3">
      <c r="A24" s="18">
        <f>+A16+1</f>
        <v>3</v>
      </c>
      <c r="B24" s="28" t="s">
        <v>115</v>
      </c>
      <c r="C24" s="26"/>
      <c r="D24" s="26"/>
      <c r="E24" s="26"/>
      <c r="K24" s="41" t="s">
        <v>45</v>
      </c>
      <c r="L24" s="43">
        <f>('Financial Statements'!B68-'Financial Statements'!C68)/'Financial Statements'!C68</f>
        <v>-0.19682992550324932</v>
      </c>
      <c r="M24" s="43">
        <f>('Financial Statements'!C68-'Financial Statements'!D68)/'Financial Statements'!D68</f>
        <v>-3.4420483937617659E-2</v>
      </c>
    </row>
    <row r="25" spans="1:14" x14ac:dyDescent="0.3">
      <c r="A25" s="18">
        <f>+A24+0.1</f>
        <v>3.1</v>
      </c>
      <c r="B25" s="29" t="s">
        <v>116</v>
      </c>
      <c r="C25" s="30">
        <f>'Financial Statements'!B62/'Financial Statements'!B68</f>
        <v>5.9615369434796337</v>
      </c>
      <c r="D25" s="30">
        <f>'Financial Statements'!C62/'Financial Statements'!C68</f>
        <v>4.5635124425423994</v>
      </c>
      <c r="E25" s="30">
        <f>'Financial Statements'!D62/'Financial Statements'!D68</f>
        <v>3.9570394404566951</v>
      </c>
      <c r="K25" s="41" t="s">
        <v>46</v>
      </c>
      <c r="L25" s="43">
        <f>('Financial Statements'!B69-'Financial Statements'!C69)/'Financial Statements'!C69</f>
        <v>4.9942735369029236E-3</v>
      </c>
      <c r="M25" s="43">
        <f>('Financial Statements'!C69-'Financial Statements'!D69)/'Financial Statements'!D69</f>
        <v>8.3714123400681711E-2</v>
      </c>
    </row>
    <row r="26" spans="1:14" x14ac:dyDescent="0.3">
      <c r="A26" s="18">
        <f t="shared" ref="A26:A30" si="2">+A25+0.1</f>
        <v>3.2</v>
      </c>
      <c r="B26" s="29" t="s">
        <v>117</v>
      </c>
      <c r="C26" s="30">
        <f>'Financial Statements'!B62/'Financial Statements'!B48</f>
        <v>0.85635355983614692</v>
      </c>
      <c r="D26" s="30">
        <f>'Financial Statements'!C62/'Financial Statements'!C48</f>
        <v>0.82025743443057308</v>
      </c>
      <c r="E26" s="30">
        <f>'Financial Statements'!D62/'Financial Statements'!D48</f>
        <v>0.79826668477992391</v>
      </c>
    </row>
    <row r="27" spans="1:14" x14ac:dyDescent="0.3">
      <c r="A27" s="18">
        <f t="shared" si="2"/>
        <v>3.3000000000000003</v>
      </c>
      <c r="B27" s="29" t="s">
        <v>118</v>
      </c>
      <c r="C27" s="31">
        <f>('Financial Statements'!B59/('Financial Statements'!B59+'Financial Statements'!B68))</f>
        <v>0.66135359651409131</v>
      </c>
      <c r="D27" s="31">
        <f>('Financial Statements'!C59/('Financial Statements'!C59+'Financial Statements'!C68))</f>
        <v>0.63361518269878514</v>
      </c>
      <c r="E27" s="31">
        <f>('Financial Statements'!D59/('Financial Statements'!D59+'Financial Statements'!D68))</f>
        <v>0.60160603880345842</v>
      </c>
      <c r="K27" s="47" t="s">
        <v>160</v>
      </c>
      <c r="L27" s="47"/>
      <c r="M27" s="47"/>
      <c r="N27" s="47"/>
    </row>
    <row r="28" spans="1:14" x14ac:dyDescent="0.3">
      <c r="A28" s="18">
        <f t="shared" si="2"/>
        <v>3.4000000000000004</v>
      </c>
      <c r="B28" s="29" t="s">
        <v>119</v>
      </c>
      <c r="C28" s="30">
        <f>'Financial Statements'!B18/'Financial Statements'!B114</f>
        <v>41.68830715532286</v>
      </c>
      <c r="D28" s="30">
        <f>'Financial Statements'!C18/'Financial Statements'!C114</f>
        <v>40.546706363974693</v>
      </c>
      <c r="E28" s="30">
        <f>'Financial Statements'!D18/'Financial Statements'!D114</f>
        <v>22.081279147235175</v>
      </c>
      <c r="K28" s="26"/>
      <c r="L28" s="28">
        <v>2022</v>
      </c>
      <c r="M28" s="28">
        <v>2021</v>
      </c>
      <c r="N28" s="28">
        <v>2020</v>
      </c>
    </row>
    <row r="29" spans="1:14" x14ac:dyDescent="0.3">
      <c r="A29" s="18">
        <f t="shared" si="2"/>
        <v>3.5000000000000004</v>
      </c>
      <c r="B29" s="29" t="s">
        <v>120</v>
      </c>
      <c r="C29" s="30">
        <f>'Financial Statements'!B91/('Financial Statements'!B55+'Financial Statements'!B59)</f>
        <v>1.1095860546658551</v>
      </c>
      <c r="D29" s="30">
        <f>'Financial Statements'!C91/('Financial Statements'!C55+'Financial Statements'!C59)</f>
        <v>0.8763382440889832</v>
      </c>
      <c r="E29" s="30">
        <f>'Financial Statements'!D91/('Financial Statements'!D55+'Financial Statements'!D59)</f>
        <v>0.75087490692479519</v>
      </c>
      <c r="K29" s="29" t="s">
        <v>145</v>
      </c>
      <c r="L29" s="31">
        <f>'Financial Statements'!B12/'Financial Statements'!B8</f>
        <v>0.56690369438639909</v>
      </c>
      <c r="M29" s="31">
        <f>'Financial Statements'!C12/'Financial Statements'!C8</f>
        <v>0.58220640374832222</v>
      </c>
      <c r="N29" s="31">
        <f>'Financial Statements'!D12/'Financial Statements'!D8</f>
        <v>0.61766752272189129</v>
      </c>
    </row>
    <row r="30" spans="1:14" x14ac:dyDescent="0.3">
      <c r="A30" s="18">
        <f t="shared" si="2"/>
        <v>3.6000000000000005</v>
      </c>
      <c r="B30" s="35" t="s">
        <v>121</v>
      </c>
      <c r="C30" s="30">
        <f>C31/C54</f>
        <v>7.0731550891837429</v>
      </c>
      <c r="D30" s="30">
        <f>D31/D54</f>
        <v>5.8179407913290424</v>
      </c>
      <c r="E30" s="30">
        <f>E31/E54</f>
        <v>1.5156073148410685</v>
      </c>
      <c r="K30" s="29" t="s">
        <v>88</v>
      </c>
      <c r="L30" s="31">
        <f>'Financial Statements'!B13/'Financial Statements'!B8</f>
        <v>0.43309630561360085</v>
      </c>
      <c r="M30" s="31">
        <f>'Financial Statements'!C13/'Financial Statements'!C8</f>
        <v>0.41779359625167778</v>
      </c>
      <c r="N30" s="31">
        <f>'Financial Statements'!D13/'Financial Statements'!D8</f>
        <v>0.38233247727810865</v>
      </c>
    </row>
    <row r="31" spans="1:14" x14ac:dyDescent="0.3">
      <c r="A31" s="18"/>
      <c r="B31" s="36" t="s">
        <v>122</v>
      </c>
      <c r="C31" s="26">
        <f>'Financial Statements'!B22+'Financial Statements'!B79-(-'Financial Statements'!B96)-'List of Ratios'!C14+('Financial Statements'!B104+'Financial Statements'!B105)</f>
        <v>114698</v>
      </c>
      <c r="D31" s="26">
        <f>'Financial Statements'!C22+'Financial Statements'!C79-(-'Financial Statements'!C96)-'List of Ratios'!D14+('Financial Statements'!C104+'Financial Statements'!C105)</f>
        <v>97167</v>
      </c>
      <c r="E31" s="26">
        <f>'Financial Statements'!D22+'Financial Statements'!D79-(-'Financial Statements'!D96)-'List of Ratios'!E14+('Financial Statements'!D104+'Financial Statements'!D105)</f>
        <v>26299</v>
      </c>
      <c r="K31" s="29" t="s">
        <v>89</v>
      </c>
      <c r="L31" s="31"/>
      <c r="M31" s="31"/>
      <c r="N31" s="31"/>
    </row>
    <row r="32" spans="1:14" x14ac:dyDescent="0.3">
      <c r="A32" s="18"/>
      <c r="B32" s="26"/>
      <c r="C32" s="26"/>
      <c r="D32" s="26"/>
      <c r="E32" s="26"/>
      <c r="K32" s="42" t="s">
        <v>11</v>
      </c>
      <c r="L32" s="31">
        <f>'Financial Statements'!B15/'Financial Statements'!$B$8</f>
        <v>6.657148363798665E-2</v>
      </c>
      <c r="M32" s="31">
        <f>'Financial Statements'!C15/'Financial Statements'!$B$8</f>
        <v>5.5573025501612867E-2</v>
      </c>
      <c r="N32" s="31">
        <f>'Financial Statements'!D15/'Financial Statements'!$B$8</f>
        <v>4.7554320261305308E-2</v>
      </c>
    </row>
    <row r="33" spans="1:14" x14ac:dyDescent="0.3">
      <c r="A33" s="18">
        <f>+A24+1</f>
        <v>4</v>
      </c>
      <c r="B33" s="34" t="s">
        <v>123</v>
      </c>
      <c r="C33" s="26"/>
      <c r="D33" s="26"/>
      <c r="E33" s="26"/>
      <c r="K33" s="42" t="s">
        <v>12</v>
      </c>
      <c r="L33" s="31">
        <f>'Financial Statements'!B16/'Financial Statements'!$B$8</f>
        <v>6.3637378020328261E-2</v>
      </c>
      <c r="M33" s="31">
        <f>'Financial Statements'!C16/'Financial Statements'!C8</f>
        <v>6.006555190163388E-2</v>
      </c>
      <c r="N33" s="31">
        <f>'Financial Statements'!D16/'Financial Statements'!D8</f>
        <v>7.2549769593646979E-2</v>
      </c>
    </row>
    <row r="34" spans="1:14" x14ac:dyDescent="0.3">
      <c r="A34" s="18">
        <f>+A33+0.1</f>
        <v>4.0999999999999996</v>
      </c>
      <c r="B34" s="29" t="s">
        <v>124</v>
      </c>
      <c r="C34" s="30">
        <f>'Financial Statements'!B8/'Financial Statements'!B48</f>
        <v>1.1178523337727317</v>
      </c>
      <c r="D34" s="30">
        <f>'Financial Statements'!C8/'Financial Statements'!C48</f>
        <v>1.0422077367080529</v>
      </c>
      <c r="E34" s="30">
        <f>'Financial Statements'!D8/'Financial Statements'!D48</f>
        <v>0.84756150274168851</v>
      </c>
      <c r="K34" s="44" t="s">
        <v>158</v>
      </c>
      <c r="L34" s="31">
        <f>'Financial Statements'!B17/'Financial Statements'!$B$8</f>
        <v>0.13020886165831491</v>
      </c>
      <c r="M34" s="31">
        <f>'Financial Statements'!C17/'Financial Statements'!$B$8</f>
        <v>0.11129567263800694</v>
      </c>
      <c r="N34" s="31">
        <f>'Financial Statements'!D17/'Financial Statements'!$B$8</f>
        <v>9.8060497859649834E-2</v>
      </c>
    </row>
    <row r="35" spans="1:14" x14ac:dyDescent="0.3">
      <c r="A35" s="18">
        <f t="shared" ref="A35:A37" si="3">+A34+0.1</f>
        <v>4.1999999999999993</v>
      </c>
      <c r="B35" s="29" t="s">
        <v>125</v>
      </c>
      <c r="C35" s="30">
        <f>'Financial Statements'!B8/'Financial Statements'!B45</f>
        <v>9.3626801529073767</v>
      </c>
      <c r="D35" s="30">
        <f>'Financial Statements'!C8/'Financial Statements'!C45</f>
        <v>9.2752789046653152</v>
      </c>
      <c r="E35" s="30">
        <f>'Financial Statements'!D8/'Financial Statements'!D45</f>
        <v>7.4665451776097482</v>
      </c>
      <c r="K35" s="29" t="s">
        <v>14</v>
      </c>
      <c r="L35" s="31">
        <f>'Financial Statements'!B18/'Financial Statements'!B8</f>
        <v>0.30288744395528594</v>
      </c>
      <c r="M35" s="31">
        <f>'Financial Statements'!C18/'Financial Statements'!C8</f>
        <v>0.29782377527561593</v>
      </c>
      <c r="N35" s="31">
        <f>'Financial Statements'!D18/'Financial Statements'!D8</f>
        <v>0.24147314354406862</v>
      </c>
    </row>
    <row r="36" spans="1:14" x14ac:dyDescent="0.3">
      <c r="A36" s="18">
        <f t="shared" si="3"/>
        <v>4.2999999999999989</v>
      </c>
      <c r="B36" s="29" t="s">
        <v>126</v>
      </c>
      <c r="C36" s="30">
        <f>'Financial Statements'!B12/'Financial Statements'!B39</f>
        <v>45.197331176708452</v>
      </c>
      <c r="D36" s="30">
        <f>'Financial Statements'!C12/'Financial Statements'!C39</f>
        <v>32.367933130699086</v>
      </c>
      <c r="E36" s="30">
        <f>'Financial Statements'!D12/'Financial Statements'!D39</f>
        <v>41.753016498399411</v>
      </c>
      <c r="K36" s="29" t="s">
        <v>92</v>
      </c>
      <c r="L36" s="31">
        <f>'Financial Statements'!B22/'Financial Statements'!B8</f>
        <v>0.25309640705199732</v>
      </c>
      <c r="M36" s="31">
        <f>'Financial Statements'!C22/'Financial Statements'!C8</f>
        <v>0.25881793355694238</v>
      </c>
      <c r="N36" s="31">
        <f>'Financial Statements'!D22/'Financial Statements'!D8</f>
        <v>0.20913611278072236</v>
      </c>
    </row>
    <row r="37" spans="1:14" x14ac:dyDescent="0.3">
      <c r="A37" s="18">
        <f t="shared" si="3"/>
        <v>4.3999999999999986</v>
      </c>
      <c r="B37" s="29" t="s">
        <v>127</v>
      </c>
      <c r="C37" s="37">
        <f>'Financial Statements'!B22/'Financial Statements'!B48</f>
        <v>0.28292440929256851</v>
      </c>
      <c r="D37" s="37">
        <f>'Financial Statements'!C22/'Financial Statements'!C48</f>
        <v>0.26974205275183616</v>
      </c>
      <c r="E37" s="37">
        <f>'Financial Statements'!D22/'Financial Statements'!D48</f>
        <v>0.1772557180259843</v>
      </c>
    </row>
    <row r="38" spans="1:14" x14ac:dyDescent="0.3">
      <c r="A38" s="18"/>
      <c r="B38" s="26"/>
      <c r="C38" s="26"/>
      <c r="D38" s="26"/>
      <c r="E38" s="26"/>
      <c r="K38" s="47" t="s">
        <v>164</v>
      </c>
      <c r="L38" s="47"/>
      <c r="M38" s="47"/>
      <c r="N38" s="47"/>
    </row>
    <row r="39" spans="1:14" x14ac:dyDescent="0.3">
      <c r="A39" s="18">
        <f>+A33+1</f>
        <v>5</v>
      </c>
      <c r="B39" s="34" t="s">
        <v>128</v>
      </c>
      <c r="C39" s="26"/>
      <c r="D39" s="26"/>
      <c r="E39" s="26"/>
      <c r="K39" s="26"/>
      <c r="L39" s="28">
        <v>2022</v>
      </c>
      <c r="M39" s="28">
        <v>2021</v>
      </c>
      <c r="N39" s="28">
        <v>2020</v>
      </c>
    </row>
    <row r="40" spans="1:14" x14ac:dyDescent="0.3">
      <c r="A40" s="18">
        <f>+A39+0.1</f>
        <v>5.0999999999999996</v>
      </c>
      <c r="B40" s="29" t="s">
        <v>129</v>
      </c>
      <c r="C40" s="30">
        <f>138.2/C41</f>
        <v>22.471544715447152</v>
      </c>
      <c r="D40" s="30">
        <f>141.28/D41</f>
        <v>24.91710758377425</v>
      </c>
      <c r="E40" s="30">
        <f>115.81/E41</f>
        <v>34.987915407854985</v>
      </c>
      <c r="K40" s="26" t="s">
        <v>161</v>
      </c>
      <c r="L40" s="31">
        <f>'Financial Statements'!B21/'Financial Statements'!B20</f>
        <v>0.16204461684424407</v>
      </c>
      <c r="M40" s="31">
        <f>'Financial Statements'!C21/'Financial Statements'!C20</f>
        <v>0.13302260844085087</v>
      </c>
      <c r="N40" s="31">
        <f>'Financial Statements'!D21/'Financial Statements'!D20</f>
        <v>0.14428164731484103</v>
      </c>
    </row>
    <row r="41" spans="1:14" x14ac:dyDescent="0.3">
      <c r="A41" s="18">
        <f t="shared" ref="A41:A44" si="4">+A40+0.1</f>
        <v>5.1999999999999993</v>
      </c>
      <c r="B41" s="32" t="s">
        <v>130</v>
      </c>
      <c r="C41" s="46">
        <v>6.15</v>
      </c>
      <c r="D41" s="46">
        <v>5.67</v>
      </c>
      <c r="E41" s="46">
        <v>3.31</v>
      </c>
      <c r="K41" s="26" t="s">
        <v>162</v>
      </c>
      <c r="L41" s="31">
        <f>-'Financial Statements'!B96/'Financial Statements'!B8</f>
        <v>2.7155058732831552E-2</v>
      </c>
      <c r="M41" s="31">
        <f>-'Financial Statements'!C96/'Financial Statements'!C8</f>
        <v>3.0302036264033657E-2</v>
      </c>
      <c r="N41" s="31">
        <f>-'Financial Statements'!D96/'Financial Statements'!D8</f>
        <v>2.6625138881299748E-2</v>
      </c>
    </row>
    <row r="42" spans="1:14" x14ac:dyDescent="0.3">
      <c r="A42" s="18">
        <f t="shared" si="4"/>
        <v>5.2999999999999989</v>
      </c>
      <c r="B42" s="29" t="s">
        <v>131</v>
      </c>
      <c r="C42" s="30">
        <f>C53/C43</f>
        <v>44.226509156930845</v>
      </c>
      <c r="D42" s="30">
        <f>D53/D43</f>
        <v>37.399832391821207</v>
      </c>
      <c r="E42" s="30">
        <f>E53/E43</f>
        <v>30.755735735165825</v>
      </c>
      <c r="K42" s="26" t="s">
        <v>163</v>
      </c>
      <c r="L42" s="31">
        <f>-'Financial Statements'!B96/'Financial Statements'!B45</f>
        <v>0.25424412944891611</v>
      </c>
      <c r="M42" s="31">
        <f>-'Financial Statements'!C96/'Financial Statements'!C45</f>
        <v>0.28105983772819471</v>
      </c>
      <c r="N42" s="31">
        <f>-'Financial Statements'!D96/'Financial Statements'!D45</f>
        <v>0.19879780231735844</v>
      </c>
    </row>
    <row r="43" spans="1:14" x14ac:dyDescent="0.3">
      <c r="A43" s="18">
        <f t="shared" si="4"/>
        <v>5.3999999999999986</v>
      </c>
      <c r="B43" s="32" t="s">
        <v>132</v>
      </c>
      <c r="C43" s="30">
        <f>'Financial Statements'!B68/C54</f>
        <v>3.1248227055320807</v>
      </c>
      <c r="D43" s="30">
        <f>'Financial Statements'!C68/D54</f>
        <v>3.7775570360816872</v>
      </c>
      <c r="E43" s="30">
        <f>'Financial Statements'!D68/E54</f>
        <v>3.7654764950910899</v>
      </c>
    </row>
    <row r="44" spans="1:14" x14ac:dyDescent="0.3">
      <c r="A44" s="18">
        <f t="shared" si="4"/>
        <v>5.4999999999999982</v>
      </c>
      <c r="B44" s="29" t="s">
        <v>133</v>
      </c>
      <c r="C44" s="30">
        <f>(-'Financial Statements'!B102/'Financial Statements'!B22)</f>
        <v>0.14870294480125848</v>
      </c>
      <c r="D44" s="30">
        <f>(-'Financial Statements'!C102/'Financial Statements'!C22)</f>
        <v>0.15279890156316012</v>
      </c>
      <c r="E44" s="30">
        <f>(-'Financial Statements'!D102/'Financial Statements'!D22)</f>
        <v>0.24526658654264863</v>
      </c>
    </row>
    <row r="45" spans="1:14" x14ac:dyDescent="0.3">
      <c r="A45" s="18"/>
      <c r="B45" s="32" t="s">
        <v>134</v>
      </c>
      <c r="C45" s="38">
        <f>-'Financial Statements'!B102/C54</f>
        <v>0.91520946030947292</v>
      </c>
      <c r="D45" s="38">
        <f>-'Financial Statements'!C102/D54</f>
        <v>0.86622155081619534</v>
      </c>
      <c r="E45" s="38">
        <f>-'Financial Statements'!D102/E54</f>
        <v>0.81148585878843627</v>
      </c>
    </row>
    <row r="46" spans="1:14" x14ac:dyDescent="0.3">
      <c r="A46" s="18">
        <f>+A44+0.1</f>
        <v>5.5999999999999979</v>
      </c>
      <c r="B46" s="29" t="s">
        <v>135</v>
      </c>
      <c r="C46" s="31">
        <f>C45/C53</f>
        <v>6.622354995003423E-3</v>
      </c>
      <c r="D46" s="31">
        <f>D45/D53</f>
        <v>6.1312397424702391E-3</v>
      </c>
      <c r="E46" s="31">
        <f>E45/E53</f>
        <v>7.007044804321183E-3</v>
      </c>
    </row>
    <row r="47" spans="1:14" x14ac:dyDescent="0.3">
      <c r="A47" s="18">
        <f t="shared" ref="A47:A50" si="5">+A45+0.1</f>
        <v>0.1</v>
      </c>
      <c r="B47" s="29" t="s">
        <v>136</v>
      </c>
      <c r="C47" s="31">
        <f>'Financial Statements'!B22/'Financial Statements'!B68</f>
        <v>1.9695887275023682</v>
      </c>
      <c r="D47" s="31">
        <f>'Financial Statements'!C22/'Financial Statements'!C68</f>
        <v>1.5007132667617689</v>
      </c>
      <c r="E47" s="31">
        <f>'Financial Statements'!D22/'Financial Statements'!D68</f>
        <v>0.87866358530127486</v>
      </c>
    </row>
    <row r="48" spans="1:14" x14ac:dyDescent="0.3">
      <c r="A48" s="18">
        <f t="shared" si="5"/>
        <v>5.6999999999999975</v>
      </c>
      <c r="B48" s="29" t="s">
        <v>137</v>
      </c>
      <c r="C48" s="31">
        <f>'Financial Statements'!B20/('Financial Statements'!B48-'Financial Statements'!B56)</f>
        <v>0.59919103701206899</v>
      </c>
      <c r="D48" s="31">
        <f>'Financial Statements'!C20/('Financial Statements'!C48-'Financial Statements'!C56)</f>
        <v>0.48424315252238148</v>
      </c>
      <c r="E48" s="31">
        <f>'Financial Statements'!D20/('Financial Statements'!D48-'Financial Statements'!D56)</f>
        <v>0.30705825278265964</v>
      </c>
      <c r="F48" t="s">
        <v>150</v>
      </c>
    </row>
    <row r="49" spans="1:5" x14ac:dyDescent="0.3">
      <c r="A49" s="18">
        <f t="shared" si="5"/>
        <v>0.2</v>
      </c>
      <c r="B49" s="29" t="s">
        <v>127</v>
      </c>
      <c r="C49" s="31">
        <f>'Financial Statements'!B22/'Financial Statements'!B48</f>
        <v>0.28292440929256851</v>
      </c>
      <c r="D49" s="31">
        <f>'Financial Statements'!C22/'Financial Statements'!C48</f>
        <v>0.26974205275183616</v>
      </c>
      <c r="E49" s="31">
        <f>'Financial Statements'!D22/'Financial Statements'!D48</f>
        <v>0.1772557180259843</v>
      </c>
    </row>
    <row r="50" spans="1:5" x14ac:dyDescent="0.3">
      <c r="A50" s="18">
        <f t="shared" si="5"/>
        <v>5.7999999999999972</v>
      </c>
      <c r="B50" s="29" t="s">
        <v>138</v>
      </c>
      <c r="C50" s="30">
        <f>C51/C19</f>
        <v>18.857416820908245</v>
      </c>
      <c r="D50" s="30">
        <f t="shared" ref="D50:E50" si="6">D51/D19</f>
        <v>21.227846275655445</v>
      </c>
      <c r="E50" s="30">
        <f t="shared" si="6"/>
        <v>27.995777409241555</v>
      </c>
    </row>
    <row r="51" spans="1:5" x14ac:dyDescent="0.3">
      <c r="A51" s="18"/>
      <c r="B51" s="32" t="s">
        <v>139</v>
      </c>
      <c r="C51" s="30">
        <f>(C53*C54)+'Financial Statements'!B62-'Financial Statements'!B51-'Financial Statements'!B36</f>
        <v>2455367.6719999998</v>
      </c>
      <c r="D51" s="30">
        <f>(D53*D54)+'Financial Statements'!C62-'Financial Statements'!C51-'Financial Statements'!C36</f>
        <v>2557764.4256000002</v>
      </c>
      <c r="E51" s="30">
        <f>(E53*E54)+'Financial Statements'!D62-'Financial Statements'!D51-'Financial Statements'!D36</f>
        <v>2187786.0171999997</v>
      </c>
    </row>
    <row r="52" spans="1:5" x14ac:dyDescent="0.3">
      <c r="B52" s="26"/>
      <c r="C52" s="26"/>
      <c r="D52" s="26"/>
      <c r="E52" s="26"/>
    </row>
    <row r="53" spans="1:5" x14ac:dyDescent="0.3">
      <c r="B53" s="26" t="s">
        <v>149</v>
      </c>
      <c r="C53" s="26">
        <v>138.19999999999999</v>
      </c>
      <c r="D53" s="26">
        <v>141.28</v>
      </c>
      <c r="E53" s="26">
        <v>115.81</v>
      </c>
    </row>
    <row r="54" spans="1:5" x14ac:dyDescent="0.3">
      <c r="B54" s="26" t="s">
        <v>151</v>
      </c>
      <c r="C54" s="39">
        <v>16215.96</v>
      </c>
      <c r="D54" s="39">
        <v>16701.27</v>
      </c>
      <c r="E54" s="39">
        <v>17352.12</v>
      </c>
    </row>
    <row r="55" spans="1:5" x14ac:dyDescent="0.3">
      <c r="B55" s="26"/>
      <c r="C55" s="26"/>
      <c r="D55" s="26"/>
      <c r="E55" s="26"/>
    </row>
  </sheetData>
  <mergeCells count="4">
    <mergeCell ref="K38:N38"/>
    <mergeCell ref="C2:E2"/>
    <mergeCell ref="K3:M3"/>
    <mergeCell ref="K27:N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Varun Chandra</cp:lastModifiedBy>
  <dcterms:created xsi:type="dcterms:W3CDTF">2020-05-18T16:32:37Z</dcterms:created>
  <dcterms:modified xsi:type="dcterms:W3CDTF">2024-10-15T19:50:44Z</dcterms:modified>
</cp:coreProperties>
</file>