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Quill Capital Program\"/>
    </mc:Choice>
  </mc:AlternateContent>
  <xr:revisionPtr revIDLastSave="0" documentId="13_ncr:1_{FD33B028-1D31-419E-BE38-65F0E28C746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D35" i="4"/>
  <c r="B35" i="4"/>
  <c r="C34" i="4"/>
  <c r="D34" i="4"/>
  <c r="B34" i="4"/>
  <c r="C30" i="4"/>
  <c r="D30" i="4"/>
  <c r="B30" i="4"/>
  <c r="C29" i="4"/>
  <c r="D29" i="4"/>
  <c r="B29" i="4"/>
  <c r="C28" i="4"/>
  <c r="D28" i="4"/>
  <c r="B28" i="4"/>
  <c r="C23" i="4"/>
  <c r="B23" i="4"/>
  <c r="C22" i="4"/>
  <c r="B22" i="4"/>
  <c r="C21" i="4"/>
  <c r="B21" i="4"/>
  <c r="C20" i="4"/>
  <c r="B20" i="4"/>
  <c r="C19" i="4"/>
  <c r="B19" i="4"/>
  <c r="B18" i="4"/>
  <c r="C18" i="4"/>
  <c r="C17" i="4"/>
  <c r="B17" i="4"/>
  <c r="C16" i="4"/>
  <c r="B16" i="4"/>
  <c r="C8" i="4"/>
  <c r="B8" i="4"/>
  <c r="B6" i="4"/>
  <c r="C6" i="4"/>
  <c r="B5" i="4"/>
  <c r="C5" i="4"/>
  <c r="C4" i="4"/>
  <c r="B4" i="4"/>
  <c r="D8" i="3"/>
  <c r="E8" i="3"/>
  <c r="C8" i="3"/>
  <c r="E12" i="3"/>
  <c r="D11" i="3"/>
  <c r="E11" i="3"/>
  <c r="C11" i="3"/>
  <c r="C12" i="3" s="1"/>
  <c r="D10" i="3"/>
  <c r="E10" i="3"/>
  <c r="C10" i="3"/>
  <c r="D9" i="3"/>
  <c r="D12" i="3" s="1"/>
  <c r="E9" i="3"/>
  <c r="C9" i="3"/>
  <c r="D37" i="3"/>
  <c r="E37" i="3"/>
  <c r="C37" i="3"/>
  <c r="D36" i="3"/>
  <c r="E36" i="3"/>
  <c r="C36" i="3"/>
  <c r="D35" i="3"/>
  <c r="E35" i="3"/>
  <c r="C35" i="3"/>
  <c r="D34" i="3"/>
  <c r="E34" i="3"/>
  <c r="C34" i="3"/>
  <c r="E30" i="3"/>
  <c r="E31" i="3"/>
  <c r="D31" i="3"/>
  <c r="D30" i="3" s="1"/>
  <c r="C31" i="3"/>
  <c r="C30" i="3" s="1"/>
  <c r="D29" i="3"/>
  <c r="E29" i="3"/>
  <c r="C29" i="3"/>
  <c r="D28" i="3"/>
  <c r="E28" i="3"/>
  <c r="C28" i="3"/>
  <c r="D27" i="3"/>
  <c r="E27" i="3"/>
  <c r="C27" i="3"/>
  <c r="D25" i="3"/>
  <c r="E25" i="3"/>
  <c r="C25" i="3"/>
  <c r="D26" i="3"/>
  <c r="E26" i="3"/>
  <c r="C26" i="3"/>
  <c r="D13" i="3"/>
  <c r="C13" i="3"/>
  <c r="D14" i="3"/>
  <c r="E14" i="3"/>
  <c r="E13" i="3" s="1"/>
  <c r="C14" i="3"/>
  <c r="D20" i="3"/>
  <c r="E20" i="3"/>
  <c r="C20" i="3"/>
  <c r="D21" i="3"/>
  <c r="E21" i="3"/>
  <c r="C21" i="3"/>
  <c r="D18" i="3"/>
  <c r="D50" i="3"/>
  <c r="E50" i="3"/>
  <c r="D19" i="3"/>
  <c r="E19" i="3"/>
  <c r="E18" i="3" s="1"/>
  <c r="C19" i="3"/>
  <c r="C18" i="3" s="1"/>
  <c r="C51" i="3"/>
  <c r="D51" i="3"/>
  <c r="E51" i="3"/>
  <c r="D48" i="3"/>
  <c r="E48" i="3"/>
  <c r="C48" i="3"/>
  <c r="D49" i="3"/>
  <c r="E49" i="3"/>
  <c r="C49" i="3"/>
  <c r="D47" i="3"/>
  <c r="E47" i="3"/>
  <c r="C47" i="3"/>
  <c r="E42" i="3"/>
  <c r="C42" i="3"/>
  <c r="D43" i="3"/>
  <c r="D42" i="3" s="1"/>
  <c r="E43" i="3"/>
  <c r="C43" i="3"/>
  <c r="D40" i="3"/>
  <c r="E40" i="3"/>
  <c r="D41" i="3"/>
  <c r="E41" i="3"/>
  <c r="C41" i="3"/>
  <c r="C40" i="3" s="1"/>
  <c r="D22" i="3"/>
  <c r="E22" i="3"/>
  <c r="C22" i="3"/>
  <c r="D17" i="3"/>
  <c r="E17" i="3"/>
  <c r="C17" i="3"/>
  <c r="E7" i="3"/>
  <c r="D7" i="3"/>
  <c r="C7" i="3"/>
  <c r="D6" i="3"/>
  <c r="E6" i="3"/>
  <c r="C6" i="3"/>
  <c r="D5" i="3"/>
  <c r="E5" i="3"/>
  <c r="C5" i="3"/>
  <c r="C9" i="2"/>
  <c r="D9" i="2"/>
  <c r="B9" i="2"/>
  <c r="D60" i="2"/>
  <c r="D59" i="2"/>
  <c r="D46" i="2"/>
  <c r="C60" i="2"/>
  <c r="B60" i="2"/>
  <c r="C59" i="2"/>
  <c r="B59" i="2"/>
  <c r="C46" i="2"/>
  <c r="B46" i="2"/>
  <c r="C50" i="3" l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<sst xmlns="http://schemas.openxmlformats.org/spreadsheetml/2006/main" count="207" uniqueCount="191">
  <si>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</si>
  <si>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</si>
  <si>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</si>
  <si>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</si>
  <si>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</si>
  <si>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</si>
  <si>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</si>
  <si>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</si>
  <si>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</si>
  <si>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</si>
  <si>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</si>
  <si>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</si>
  <si>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</si>
  <si>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</si>
  <si>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</si>
  <si>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</si>
  <si>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</si>
  <si>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</si>
  <si>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</si>
  <si>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</si>
  <si>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</si>
  <si>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</si>
  <si>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</si>
  <si>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</si>
  <si>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</si>
  <si>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</si>
  <si>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</si>
  <si>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</si>
  <si>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</si>
  <si>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</si>
  <si>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</si>
  <si>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</si>
  <si>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</si>
  <si>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</si>
  <si>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</si>
  <si>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</si>
  <si>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</si>
  <si>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</si>
  <si>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</si>
  <si>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</si>
  <si>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</si>
  <si>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</si>
  <si>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</si>
  <si>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</si>
  <si>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</si>
  <si>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</si>
  <si>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</si>
  <si>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</si>
  <si>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</si>
  <si>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</si>
  <si>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</si>
  <si>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</si>
  <si>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</si>
  <si>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</si>
  <si>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</si>
  <si>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</si>
  <si>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</si>
  <si>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</si>
  <si>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</si>
  <si>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</si>
  <si>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</si>
  <si>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</si>
  <si>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</si>
  <si>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</si>
  <si>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Cash and Cash Equivalent </t>
  </si>
  <si>
    <t>Marketable Securities</t>
  </si>
  <si>
    <t>Inventories</t>
  </si>
  <si>
    <t xml:space="preserve">Accounts Receivables, net and other </t>
  </si>
  <si>
    <t>Total Current Assets</t>
  </si>
  <si>
    <t>Property and equipment, net</t>
  </si>
  <si>
    <t>operating lease</t>
  </si>
  <si>
    <t>goodwill</t>
  </si>
  <si>
    <t>other assets</t>
  </si>
  <si>
    <t>Non Current Assets:</t>
  </si>
  <si>
    <t>Current Assets:</t>
  </si>
  <si>
    <t>Total Non Current Assets</t>
  </si>
  <si>
    <t>Total Assets</t>
  </si>
  <si>
    <t>Current Liabilities:</t>
  </si>
  <si>
    <t xml:space="preserve">Accounts Payable </t>
  </si>
  <si>
    <t xml:space="preserve">Accrued Expense and other </t>
  </si>
  <si>
    <t xml:space="preserve">Unearned revenue </t>
  </si>
  <si>
    <t xml:space="preserve">Total Current Liabilities </t>
  </si>
  <si>
    <t>Non-Current Liabilities:</t>
  </si>
  <si>
    <t xml:space="preserve">Long-term lease libilities </t>
  </si>
  <si>
    <t>Long-term debt</t>
  </si>
  <si>
    <t>Other long-term Liabilities</t>
  </si>
  <si>
    <t xml:space="preserve">Commitment and contingencies </t>
  </si>
  <si>
    <t xml:space="preserve">Total Non- Current Liabilities </t>
  </si>
  <si>
    <t xml:space="preserve">Total Liabilities </t>
  </si>
  <si>
    <t>Preferred stock ($0.01 par value; 500 shares authorized; no shares issued or outstanding) —</t>
  </si>
  <si>
    <t>Common stock ($0.01 par value; 100,000 shares authorized; 10,757 and 10,898 shares issued; 10,242 and 10,383 shares outstanding)</t>
  </si>
  <si>
    <t>Teasury Stock, at cost</t>
  </si>
  <si>
    <t>Additional Paid-in capital</t>
  </si>
  <si>
    <t>Accumulated other comprehensive income (loss)</t>
  </si>
  <si>
    <t>Retained Earnings</t>
  </si>
  <si>
    <t>Total Stockholder's Equity</t>
  </si>
  <si>
    <t>Total liabilities and stockholder equity</t>
  </si>
  <si>
    <t xml:space="preserve">Net Product Sales </t>
  </si>
  <si>
    <t>Net service sales</t>
  </si>
  <si>
    <t xml:space="preserve">Total Net Sales </t>
  </si>
  <si>
    <t>Fulfillment</t>
  </si>
  <si>
    <t>Technology and infrastructure</t>
  </si>
  <si>
    <t xml:space="preserve">Sales and Marketing </t>
  </si>
  <si>
    <t xml:space="preserve">General and administrative </t>
  </si>
  <si>
    <t>Other Operative expense(income), net</t>
  </si>
  <si>
    <t>Total Operating Expensive</t>
  </si>
  <si>
    <t xml:space="preserve">Interest Income </t>
  </si>
  <si>
    <t>Interest expense</t>
  </si>
  <si>
    <t>other income (expense), net</t>
  </si>
  <si>
    <t>Total non - operative income (expense)</t>
  </si>
  <si>
    <t xml:space="preserve">Operating Income </t>
  </si>
  <si>
    <t>Income (loss) before tax</t>
  </si>
  <si>
    <t>Benefit (provision) for income taxes</t>
  </si>
  <si>
    <t>Equity Method investment activity, net of tax</t>
  </si>
  <si>
    <t>Net income (loss)</t>
  </si>
  <si>
    <t>Basic earnings per share</t>
  </si>
  <si>
    <t>Diluted earnings per share</t>
  </si>
  <si>
    <t>Weighted - average shares used in computation of earning per share</t>
  </si>
  <si>
    <t xml:space="preserve">Basic   </t>
  </si>
  <si>
    <t xml:space="preserve">Diluted  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</si>
  <si>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</si>
  <si>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</si>
  <si>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</si>
  <si>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</si>
  <si>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</si>
  <si>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Non-operating expense (income), net</t>
  </si>
  <si>
    <t>Deferred income taxes</t>
  </si>
  <si>
    <t>Changes in operating assets and liabilities:</t>
  </si>
  <si>
    <t>Accounts receivable, net and other</t>
  </si>
  <si>
    <t>Other assets</t>
  </si>
  <si>
    <t>Accounts payable</t>
  </si>
  <si>
    <t>Accrued expenses and other</t>
  </si>
  <si>
    <t>Unearned revenue</t>
  </si>
  <si>
    <t>Cash generated by operating activities</t>
  </si>
  <si>
    <t>INVESTING ACTIVITIES:</t>
  </si>
  <si>
    <t>Purchases of property and equipment</t>
  </si>
  <si>
    <t>Proceeds from property and equipment sales and incentives</t>
  </si>
  <si>
    <t>Acquisitions, net of cash acquired, non-marketable investments,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</si>
  <si>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</si>
  <si>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</si>
  <si>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</si>
  <si>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</si>
  <si>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</si>
  <si>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</si>
  <si>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</si>
  <si>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</si>
  <si>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</si>
  <si>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</si>
  <si>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</si>
  <si>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</si>
  <si>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</si>
  <si>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</si>
  <si>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</si>
  <si>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-</t>
  </si>
  <si>
    <t>Operative Expense</t>
  </si>
  <si>
    <t>Cost of Sales</t>
  </si>
  <si>
    <t xml:space="preserve">Gross Margin </t>
  </si>
  <si>
    <t xml:space="preserve">Market value as of  30 September </t>
  </si>
  <si>
    <t>n/a</t>
  </si>
  <si>
    <t xml:space="preserve">Growth Rate </t>
  </si>
  <si>
    <t xml:space="preserve">Sales </t>
  </si>
  <si>
    <t>Products</t>
  </si>
  <si>
    <t>Services</t>
  </si>
  <si>
    <t>Total</t>
  </si>
  <si>
    <t xml:space="preserve">Gross Profit </t>
  </si>
  <si>
    <t xml:space="preserve">Main Balance sheet Item 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</si>
  <si>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</si>
  <si>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</si>
  <si>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</si>
  <si>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</si>
  <si>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</si>
  <si>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</si>
  <si>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</si>
  <si>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</si>
  <si>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 xml:space="preserve">Margin as a % of net sales </t>
  </si>
  <si>
    <t>COGS (Cost of goods sold)</t>
  </si>
  <si>
    <t>Gross profits</t>
  </si>
  <si>
    <t>Operating income</t>
  </si>
  <si>
    <t>Net profit</t>
  </si>
  <si>
    <t>Current Ratio</t>
  </si>
  <si>
    <t>EBITDA Margin</t>
  </si>
  <si>
    <t xml:space="preserve">Net Margin </t>
  </si>
  <si>
    <t xml:space="preserve">Debt-to Equity </t>
  </si>
  <si>
    <t>Debt-to-Asset</t>
  </si>
  <si>
    <t>Times Interest Earned</t>
  </si>
  <si>
    <t xml:space="preserve">Total Asset Turnover </t>
  </si>
  <si>
    <t>Fixed Asset Turnover</t>
  </si>
  <si>
    <t xml:space="preserve">Inventory Turnover </t>
  </si>
  <si>
    <t>Price to Equity</t>
  </si>
  <si>
    <t xml:space="preserve">Price to Book Value </t>
  </si>
  <si>
    <t xml:space="preserve">Enterprise value to 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</si>
</sst>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 indent="1"/>
    </xf>
    <xf numFmtId="165" fontId="0" fillId="0" borderId="2" xfId="1" applyNumberFormat="1" applyFont="1" applyBorder="1"/>
    <xf numFmtId="165" fontId="2" fillId="0" borderId="2" xfId="1" applyNumberFormat="1" applyFont="1" applyBorder="1"/>
    <xf numFmtId="165" fontId="1" fillId="0" borderId="2" xfId="1" applyNumberFormat="1" applyFont="1" applyBorder="1"/>
    <xf numFmtId="165" fontId="1" fillId="0" borderId="2" xfId="1" applyNumberFormat="1" applyFont="1" applyFill="1" applyBorder="1"/>
    <xf numFmtId="0" fontId="0" fillId="4" borderId="2" xfId="0" applyFill="1" applyBorder="1"/>
    <xf numFmtId="164" fontId="2" fillId="0" borderId="2" xfId="1" applyFont="1" applyFill="1" applyBorder="1"/>
    <xf numFmtId="3" fontId="0" fillId="0" borderId="2" xfId="0" applyNumberFormat="1" applyBorder="1"/>
    <xf numFmtId="0" fontId="2" fillId="0" borderId="2" xfId="0" applyFont="1" applyBorder="1" applyAlignment="1">
      <alignment horizontal="right" indent="1"/>
    </xf>
    <xf numFmtId="0" fontId="2" fillId="0" borderId="2" xfId="0" applyFont="1" applyBorder="1" applyAlignment="1">
      <alignment horizontal="left" indent="1"/>
    </xf>
    <xf numFmtId="0" fontId="0" fillId="0" borderId="2" xfId="0" applyBorder="1" applyAlignment="1">
      <alignment horizontal="left"/>
    </xf>
    <xf numFmtId="165" fontId="0" fillId="0" borderId="0" xfId="0" applyNumberFormat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10" fontId="0" fillId="0" borderId="0" xfId="3" applyNumberFormat="1" applyFont="1"/>
    <xf numFmtId="0" fontId="0" fillId="0" borderId="2" xfId="0" applyBorder="1" applyAlignment="1">
      <alignment horizontal="right" indent="1"/>
    </xf>
    <xf numFmtId="10" fontId="1" fillId="0" borderId="2" xfId="3" applyNumberFormat="1" applyFont="1" applyBorder="1"/>
    <xf numFmtId="0" fontId="0" fillId="0" borderId="2" xfId="0" applyBorder="1" applyAlignment="1">
      <alignment horizontal="center"/>
    </xf>
    <xf numFmtId="10" fontId="0" fillId="0" borderId="2" xfId="3" applyNumberFormat="1" applyFont="1" applyBorder="1"/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0" fillId="0" borderId="0" xfId="0" applyNumberFormat="1"/>
    <xf numFmtId="10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Profitability</a:t>
            </a:r>
            <a:r>
              <a:rPr lang="en-IN" baseline="0"/>
              <a:t> Ratio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Sheet1!$H$15</c:f>
              <c:strCache>
                <c:ptCount val="1"/>
                <c:pt idx="0">
                  <c:v>Gross Margin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Sheet1!$H$16:$H$18</c:f>
              <c:numCache>
                <c:formatCode>0.00%</c:formatCode>
                <c:ptCount val="3"/>
                <c:pt idx="0">
                  <c:v>0.4698</c:v>
                </c:pt>
                <c:pt idx="1">
                  <c:v>0.43809999999999999</c:v>
                </c:pt>
                <c:pt idx="2">
                  <c:v>0.42030000000000001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B-45C4-B0E2-36B30CB83B35}"/>
            </c:ext>
          </c:extLst>
        </c:ser>
        <c:ser>
          <c:idx val="1"/>
          <c:order val="1"/>
          <c:tx>
            <c:strRef>
              <c:f>Sheet1!$I$15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Sheet1!$I$16:$I$18</c:f>
              <c:numCache>
                <c:formatCode>0.00%</c:formatCode>
                <c:ptCount val="3"/>
                <c:pt idx="0">
                  <c:v>0.14879999999999999</c:v>
                </c:pt>
                <c:pt idx="1">
                  <c:v>0.10539999999999999</c:v>
                </c:pt>
                <c:pt idx="2">
                  <c:v>0.12620000000000001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B-45C4-B0E2-36B30CB83B35}"/>
            </c:ext>
          </c:extLst>
        </c:ser>
        <c:ser>
          <c:idx val="2"/>
          <c:order val="2"/>
          <c:tx>
            <c:strRef>
              <c:f>Sheet1!$J$15</c:f>
              <c:strCache>
                <c:ptCount val="1"/>
                <c:pt idx="0">
                  <c:v>Net Margin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Sheet1!$J$16:$J$18</c:f>
              <c:numCache>
                <c:formatCode>0.00%</c:formatCode>
                <c:ptCount val="3"/>
                <c:pt idx="0">
                  <c:v>5.2900000000000003E-2</c:v>
                </c:pt>
                <c:pt idx="1">
                  <c:v>-5.3E-3</c:v>
                </c:pt>
                <c:pt idx="2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B-45C4-B0E2-36B30CB8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5604480"/>
        <c:axId val="715604960"/>
      </c:lineChart>
      <c:catAx>
        <c:axId val="7156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604960"/>
        <c:crosses val="autoZero"/>
        <c:auto val="1"/>
        <c:lblAlgn val="ctr"/>
        <c:lblOffset val="100"/>
        <c:noMultiLvlLbl val="0"/>
      </c:catAx>
      <c:valAx>
        <c:axId val="71560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6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Liquidity</a:t>
            </a:r>
            <a:r>
              <a:rPr lang="en-IN" baseline="0"/>
              <a:t> Ratio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Sheet1!$H$10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Sheet1!$G$11:$G$13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Sheet1!$H$11:$H$13</c:f>
              <c:numCache>
                <c:formatCode>General</c:formatCode>
                <c:ptCount val="3"/>
                <c:pt idx="0">
                  <c:v>1.04</c:v>
                </c:pt>
                <c:pt idx="1">
                  <c:v>0.94</c:v>
                </c:pt>
                <c:pt idx="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C-4E22-954E-3B824E89D8C9}"/>
            </c:ext>
          </c:extLst>
        </c:ser>
        <c:ser>
          <c:idx val="1"/>
          <c:order val="1"/>
          <c:tx>
            <c:strRef>
              <c:f>Sheet1!$I$10</c:f>
              <c:strCache>
                <c:ptCount val="1"/>
                <c:pt idx="0">
                  <c:v>Quick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Sheet1!$G$11:$G$13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Sheet1!$I$11:$I$13</c:f>
              <c:numCache>
                <c:formatCode>General</c:formatCode>
                <c:ptCount val="3"/>
                <c:pt idx="0">
                  <c:v>0.84</c:v>
                </c:pt>
                <c:pt idx="1">
                  <c:v>0.72</c:v>
                </c:pt>
                <c:pt idx="2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C-4E22-954E-3B824E89D8C9}"/>
            </c:ext>
          </c:extLst>
        </c:ser>
        <c:ser>
          <c:idx val="2"/>
          <c:order val="2"/>
          <c:tx>
            <c:strRef>
              <c:f>Sheet1!$J$10</c:f>
              <c:strCache>
                <c:ptCount val="1"/>
                <c:pt idx="0">
                  <c:v>Cash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Sheet1!$G$11:$G$13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Sheet1!$J$11:$J$13</c:f>
              <c:numCache>
                <c:formatCode>General</c:formatCode>
                <c:ptCount val="3"/>
                <c:pt idx="0">
                  <c:v>0.53</c:v>
                </c:pt>
                <c:pt idx="1">
                  <c:v>0.45</c:v>
                </c:pt>
                <c:pt idx="2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C-4E22-954E-3B824E89D8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7014096"/>
        <c:axId val="627011696"/>
      </c:lineChart>
      <c:catAx>
        <c:axId val="6270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011696"/>
        <c:crosses val="autoZero"/>
        <c:auto val="1"/>
        <c:lblAlgn val="ctr"/>
        <c:lblOffset val="100"/>
        <c:noMultiLvlLbl val="0"/>
      </c:catAx>
      <c:valAx>
        <c:axId val="6270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0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Asset</a:t>
            </a:r>
            <a:r>
              <a:rPr lang="en-IN" baseline="0"/>
              <a:t> Utilization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Sheet1!$H$27</c:f>
              <c:strCache>
                <c:ptCount val="1"/>
                <c:pt idx="0">
                  <c:v>Total Asset Turnover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Sheet1!$G$28:$G$30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Sheet1!$H$28:$H$30</c:f>
              <c:numCache>
                <c:formatCode>General</c:formatCode>
                <c:ptCount val="3"/>
                <c:pt idx="0">
                  <c:v>1.0900000000000001</c:v>
                </c:pt>
                <c:pt idx="1">
                  <c:v>1.1100000000000001</c:v>
                </c:pt>
                <c:pt idx="2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4-454C-8329-E88D2EF4A784}"/>
            </c:ext>
          </c:extLst>
        </c:ser>
        <c:ser>
          <c:idx val="1"/>
          <c:order val="1"/>
          <c:tx>
            <c:strRef>
              <c:f>Sheet1!$I$27</c:f>
              <c:strCache>
                <c:ptCount val="1"/>
                <c:pt idx="0">
                  <c:v>Fixed Asset Turnover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Sheet1!$G$28:$G$30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Sheet1!$I$28:$I$30</c:f>
              <c:numCache>
                <c:formatCode>General</c:formatCode>
                <c:ptCount val="3"/>
                <c:pt idx="0">
                  <c:v>2.82</c:v>
                </c:pt>
                <c:pt idx="1">
                  <c:v>2.75</c:v>
                </c:pt>
                <c:pt idx="2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4-454C-8329-E88D2EF4A784}"/>
            </c:ext>
          </c:extLst>
        </c:ser>
        <c:ser>
          <c:idx val="2"/>
          <c:order val="2"/>
          <c:tx>
            <c:strRef>
              <c:f>Sheet1!$J$27</c:f>
              <c:strCache>
                <c:ptCount val="1"/>
                <c:pt idx="0">
                  <c:v>Inventory Turnover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Sheet1!$G$28:$G$30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Sheet1!$J$28:$J$30</c:f>
              <c:numCache>
                <c:formatCode>General</c:formatCode>
                <c:ptCount val="3"/>
                <c:pt idx="0">
                  <c:v>9.1999999999999993</c:v>
                </c:pt>
                <c:pt idx="1">
                  <c:v>8.4</c:v>
                </c:pt>
                <c:pt idx="2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4-454C-8329-E88D2EF4A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3993856"/>
        <c:axId val="723995296"/>
      </c:lineChart>
      <c:catAx>
        <c:axId val="7239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95296"/>
        <c:crosses val="autoZero"/>
        <c:auto val="1"/>
        <c:lblAlgn val="ctr"/>
        <c:lblOffset val="100"/>
        <c:noMultiLvlLbl val="0"/>
      </c:catAx>
      <c:valAx>
        <c:axId val="7239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9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Solvency</a:t>
            </a:r>
            <a:r>
              <a:rPr lang="en-IN" baseline="0"/>
              <a:t> Ratio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Sheet1!$H$21</c:f>
              <c:strCache>
                <c:ptCount val="1"/>
                <c:pt idx="0">
                  <c:v>Debt-to Equity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Sheet1!$H$22:$H$24</c:f>
              <c:numCache>
                <c:formatCode>General</c:formatCode>
                <c:ptCount val="3"/>
                <c:pt idx="0">
                  <c:v>1.61</c:v>
                </c:pt>
                <c:pt idx="1">
                  <c:v>2.17</c:v>
                </c:pt>
                <c:pt idx="2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D-4FC2-8902-2B5A6EA5D5E0}"/>
            </c:ext>
          </c:extLst>
        </c:ser>
        <c:ser>
          <c:idx val="1"/>
          <c:order val="1"/>
          <c:tx>
            <c:strRef>
              <c:f>Sheet1!$I$21</c:f>
              <c:strCache>
                <c:ptCount val="1"/>
                <c:pt idx="0">
                  <c:v>Debt-to-Asset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Sheet1!$I$22:$I$24</c:f>
              <c:numCache>
                <c:formatCode>General</c:formatCode>
                <c:ptCount val="3"/>
                <c:pt idx="0">
                  <c:v>0.62</c:v>
                </c:pt>
                <c:pt idx="1">
                  <c:v>0.68</c:v>
                </c:pt>
                <c:pt idx="2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D-4FC2-8902-2B5A6EA5D5E0}"/>
            </c:ext>
          </c:extLst>
        </c:ser>
        <c:ser>
          <c:idx val="2"/>
          <c:order val="2"/>
          <c:tx>
            <c:strRef>
              <c:f>Sheet1!$J$21</c:f>
              <c:strCache>
                <c:ptCount val="1"/>
                <c:pt idx="0">
                  <c:v>Times Interest Earned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Sheet1!$G$22:$G$24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Sheet1!$J$22:$J$24</c:f>
              <c:numCache>
                <c:formatCode>General</c:formatCode>
                <c:ptCount val="3"/>
                <c:pt idx="0">
                  <c:v>12.5</c:v>
                </c:pt>
                <c:pt idx="1">
                  <c:v>12.38</c:v>
                </c:pt>
                <c:pt idx="2">
                  <c:v>55.53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D-4FC2-8902-2B5A6EA5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608656"/>
        <c:axId val="715613456"/>
      </c:lineChart>
      <c:catAx>
        <c:axId val="7156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613456"/>
        <c:crosses val="autoZero"/>
        <c:auto val="1"/>
        <c:lblAlgn val="ctr"/>
        <c:lblOffset val="100"/>
        <c:noMultiLvlLbl val="0"/>
      </c:catAx>
      <c:valAx>
        <c:axId val="7156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608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Investors</a:t>
            </a:r>
            <a:r>
              <a:rPr lang="en-IN" baseline="0"/>
              <a:t> Ratio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Sheet1!$H$33</c:f>
              <c:strCache>
                <c:ptCount val="1"/>
                <c:pt idx="0">
                  <c:v>Price to Equity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Sheet1!$G$34:$G$36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Sheet1!$H$34:$H$36</c:f>
              <c:numCache>
                <c:formatCode>General</c:formatCode>
                <c:ptCount val="3"/>
                <c:pt idx="0">
                  <c:v>43.05</c:v>
                </c:pt>
                <c:pt idx="1">
                  <c:v>-422.98</c:v>
                </c:pt>
                <c:pt idx="2">
                  <c:v>49.78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E-4EBC-9541-7CC9C5BE99D2}"/>
            </c:ext>
          </c:extLst>
        </c:ser>
        <c:ser>
          <c:idx val="1"/>
          <c:order val="1"/>
          <c:tx>
            <c:strRef>
              <c:f>Sheet1!$I$33</c:f>
              <c:strCache>
                <c:ptCount val="1"/>
                <c:pt idx="0">
                  <c:v>Price to Book Value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Sheet1!$G$34:$G$36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Sheet1!$I$34:$I$36</c:f>
              <c:numCache>
                <c:formatCode>General</c:formatCode>
                <c:ptCount val="3"/>
                <c:pt idx="0">
                  <c:v>6.49</c:v>
                </c:pt>
                <c:pt idx="1">
                  <c:v>7.88</c:v>
                </c:pt>
                <c:pt idx="2">
                  <c:v>12.01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E-4EBC-9541-7CC9C5BE99D2}"/>
            </c:ext>
          </c:extLst>
        </c:ser>
        <c:ser>
          <c:idx val="2"/>
          <c:order val="2"/>
          <c:tx>
            <c:strRef>
              <c:f>Sheet1!$J$33</c:f>
              <c:strCache>
                <c:ptCount val="1"/>
                <c:pt idx="0">
                  <c:v>Enterprise value to EBITDA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Sheet1!$G$34:$G$36</c:f>
              <c:numCache>
                <c:formatCode>General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Sheet1!$J$34:$J$36</c:f>
              <c:numCache>
                <c:formatCode>General</c:formatCode>
                <c:ptCount val="3"/>
                <c:pt idx="0">
                  <c:v>15.14</c:v>
                </c:pt>
                <c:pt idx="1">
                  <c:v>21.49</c:v>
                </c:pt>
                <c:pt idx="2">
                  <c:v>28.53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E-4EBC-9541-7CC9C5BE9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7258592"/>
        <c:axId val="627256672"/>
      </c:lineChart>
      <c:catAx>
        <c:axId val="6272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256672"/>
        <c:crosses val="autoZero"/>
        <c:auto val="1"/>
        <c:lblAlgn val="ctr"/>
        <c:lblOffset val="100"/>
        <c:noMultiLvlLbl val="0"/>
      </c:catAx>
      <c:valAx>
        <c:axId val="6272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19</xdr:col>
      <xdr:colOff>304800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2A44AB-F8AE-4EAB-B096-AA672F846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19</xdr:col>
      <xdr:colOff>304800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D71123-E603-4084-8BDD-B74C35F67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41</xdr:row>
      <xdr:rowOff>0</xdr:rowOff>
    </xdr:from>
    <xdr:to>
      <xdr:col>19</xdr:col>
      <xdr:colOff>304800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DC91E2-11FE-48FA-9FA8-3F2B3FEA9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12</xdr:col>
      <xdr:colOff>304800</xdr:colOff>
      <xdr:row>56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01B8AD-D209-45CC-A4F4-FCA20B683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33</xdr:row>
      <xdr:rowOff>0</xdr:rowOff>
    </xdr:from>
    <xdr:to>
      <xdr:col>29</xdr:col>
      <xdr:colOff>304800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DBECF3-ABF9-457E-85CC-4A47B03E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C5" sqref="C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68" workbookViewId="0">
      <selection activeCell="B11" sqref="B11"/>
    </sheetView>
  </sheetViews>
  <sheetFormatPr defaultRowHeight="14.4" x14ac:dyDescent="0.3"/>
  <cols>
    <col min="1" max="1" width="127.77734375" bestFit="1" customWidth="1"/>
    <col min="2" max="2" width="23.109375" customWidth="1"/>
    <col min="3" max="4" width="12.441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9" t="s">
        <v>10</v>
      </c>
      <c r="B2" s="39"/>
      <c r="C2" s="39"/>
      <c r="D2" s="39"/>
    </row>
    <row r="3" spans="1:10" x14ac:dyDescent="0.3">
      <c r="A3" s="17"/>
      <c r="B3" s="38" t="s">
        <v>57</v>
      </c>
      <c r="C3" s="38"/>
      <c r="D3" s="38"/>
    </row>
    <row r="4" spans="1:10" x14ac:dyDescent="0.3">
      <c r="A4" s="17"/>
      <c r="B4" s="18">
        <v>2023</v>
      </c>
      <c r="C4" s="18">
        <v>2022</v>
      </c>
      <c r="D4" s="18">
        <v>2021</v>
      </c>
    </row>
    <row r="5" spans="1:10" x14ac:dyDescent="0.3">
      <c r="A5" s="29" t="s">
        <v>97</v>
      </c>
      <c r="B5" s="17">
        <v>255887</v>
      </c>
      <c r="C5" s="17">
        <v>242901</v>
      </c>
      <c r="D5" s="17">
        <v>241787</v>
      </c>
    </row>
    <row r="6" spans="1:10" x14ac:dyDescent="0.3">
      <c r="A6" s="29" t="s">
        <v>98</v>
      </c>
      <c r="B6" s="20">
        <v>318898</v>
      </c>
      <c r="C6" s="20">
        <v>271082</v>
      </c>
      <c r="D6" s="20">
        <v>228035</v>
      </c>
    </row>
    <row r="7" spans="1:10" x14ac:dyDescent="0.3">
      <c r="A7" s="27" t="s">
        <v>99</v>
      </c>
      <c r="B7" s="20">
        <v>574785</v>
      </c>
      <c r="C7" s="20">
        <v>513983</v>
      </c>
      <c r="D7" s="20">
        <v>469822</v>
      </c>
    </row>
    <row r="8" spans="1:10" x14ac:dyDescent="0.3">
      <c r="A8" s="18" t="s">
        <v>155</v>
      </c>
      <c r="B8" s="20">
        <v>304739</v>
      </c>
      <c r="C8" s="20">
        <v>288831</v>
      </c>
      <c r="D8" s="20">
        <v>272344</v>
      </c>
    </row>
    <row r="9" spans="1:10" x14ac:dyDescent="0.3">
      <c r="A9" t="s">
        <v>156</v>
      </c>
      <c r="B9" s="30">
        <f>B7-B8</f>
        <v>270046</v>
      </c>
      <c r="C9" s="30">
        <f t="shared" ref="C9:D9" si="0">C7-C8</f>
        <v>225152</v>
      </c>
      <c r="D9" s="30">
        <f t="shared" si="0"/>
        <v>197478</v>
      </c>
    </row>
    <row r="10" spans="1:10" x14ac:dyDescent="0.3">
      <c r="A10" s="31" t="s">
        <v>154</v>
      </c>
    </row>
    <row r="11" spans="1:10" x14ac:dyDescent="0.3">
      <c r="A11" s="19" t="s">
        <v>100</v>
      </c>
      <c r="B11" s="20">
        <v>90619</v>
      </c>
      <c r="C11" s="20">
        <v>84299</v>
      </c>
      <c r="D11" s="20">
        <v>75111</v>
      </c>
    </row>
    <row r="12" spans="1:10" x14ac:dyDescent="0.3">
      <c r="A12" s="19" t="s">
        <v>101</v>
      </c>
      <c r="B12" s="20">
        <v>85622</v>
      </c>
      <c r="C12" s="20">
        <v>73213</v>
      </c>
      <c r="D12" s="20">
        <v>56052</v>
      </c>
    </row>
    <row r="13" spans="1:10" x14ac:dyDescent="0.3">
      <c r="A13" s="19" t="s">
        <v>102</v>
      </c>
      <c r="B13" s="22">
        <v>44370</v>
      </c>
      <c r="C13" s="22">
        <v>42238</v>
      </c>
      <c r="D13" s="22">
        <v>32551</v>
      </c>
    </row>
    <row r="14" spans="1:10" x14ac:dyDescent="0.3">
      <c r="A14" s="19" t="s">
        <v>103</v>
      </c>
      <c r="B14" s="22">
        <v>11816</v>
      </c>
      <c r="C14" s="22">
        <v>11891</v>
      </c>
      <c r="D14" s="22">
        <v>8823</v>
      </c>
    </row>
    <row r="15" spans="1:10" x14ac:dyDescent="0.3">
      <c r="A15" s="19" t="s">
        <v>104</v>
      </c>
      <c r="B15" s="20">
        <v>767</v>
      </c>
      <c r="C15" s="20">
        <v>1263</v>
      </c>
      <c r="D15" s="20">
        <v>62</v>
      </c>
    </row>
    <row r="16" spans="1:10" x14ac:dyDescent="0.3">
      <c r="A16" s="27" t="s">
        <v>105</v>
      </c>
      <c r="B16" s="20">
        <v>537933</v>
      </c>
      <c r="C16" s="20">
        <v>501735</v>
      </c>
      <c r="D16" s="20">
        <v>444943</v>
      </c>
    </row>
    <row r="17" spans="1:4" x14ac:dyDescent="0.3">
      <c r="A17" s="32" t="s">
        <v>110</v>
      </c>
      <c r="B17" s="20">
        <v>36852</v>
      </c>
      <c r="C17" s="20">
        <v>12248</v>
      </c>
      <c r="D17" s="20">
        <v>24879</v>
      </c>
    </row>
    <row r="18" spans="1:4" s="11" customFormat="1" x14ac:dyDescent="0.3">
      <c r="A18" s="17" t="s">
        <v>106</v>
      </c>
      <c r="B18" s="22">
        <v>2949</v>
      </c>
      <c r="C18" s="22">
        <v>989</v>
      </c>
      <c r="D18" s="22">
        <v>448</v>
      </c>
    </row>
    <row r="19" spans="1:4" x14ac:dyDescent="0.3">
      <c r="A19" s="17" t="s">
        <v>107</v>
      </c>
      <c r="B19" s="22">
        <v>-3182</v>
      </c>
      <c r="C19" s="22">
        <v>-2367</v>
      </c>
      <c r="D19" s="22">
        <v>-1809</v>
      </c>
    </row>
    <row r="20" spans="1:4" x14ac:dyDescent="0.3">
      <c r="A20" s="17" t="s">
        <v>108</v>
      </c>
      <c r="B20" s="20">
        <v>938</v>
      </c>
      <c r="C20" s="20">
        <v>-16806</v>
      </c>
      <c r="D20" s="20">
        <v>14663</v>
      </c>
    </row>
    <row r="21" spans="1:4" x14ac:dyDescent="0.3">
      <c r="A21" s="18" t="s">
        <v>109</v>
      </c>
      <c r="B21" s="20">
        <v>705</v>
      </c>
      <c r="C21" s="20">
        <v>-18184</v>
      </c>
      <c r="D21" s="20">
        <v>13272</v>
      </c>
    </row>
    <row r="22" spans="1:4" x14ac:dyDescent="0.3">
      <c r="A22" s="17" t="s">
        <v>111</v>
      </c>
      <c r="B22" s="22">
        <v>37557</v>
      </c>
      <c r="C22" s="22">
        <v>-5936</v>
      </c>
      <c r="D22" s="22">
        <v>38151</v>
      </c>
    </row>
    <row r="23" spans="1:4" x14ac:dyDescent="0.3">
      <c r="A23" s="18" t="s">
        <v>112</v>
      </c>
      <c r="B23" s="22">
        <v>-7120</v>
      </c>
      <c r="C23" s="22">
        <v>3217</v>
      </c>
      <c r="D23" s="22">
        <v>-4791</v>
      </c>
    </row>
    <row r="24" spans="1:4" x14ac:dyDescent="0.3">
      <c r="A24" s="17" t="s">
        <v>113</v>
      </c>
      <c r="B24" s="23">
        <v>-12</v>
      </c>
      <c r="C24" s="23">
        <v>-3</v>
      </c>
      <c r="D24" s="23">
        <v>4</v>
      </c>
    </row>
    <row r="25" spans="1:4" x14ac:dyDescent="0.3">
      <c r="A25" s="18" t="s">
        <v>114</v>
      </c>
      <c r="B25" s="24">
        <v>30425</v>
      </c>
      <c r="C25" s="24">
        <v>-2722</v>
      </c>
      <c r="D25" s="24">
        <v>33364</v>
      </c>
    </row>
    <row r="26" spans="1:4" x14ac:dyDescent="0.3">
      <c r="A26" s="19" t="s">
        <v>115</v>
      </c>
      <c r="B26" s="24">
        <v>2.95</v>
      </c>
      <c r="C26" s="24">
        <v>-0.27</v>
      </c>
      <c r="D26" s="24">
        <v>3.3</v>
      </c>
    </row>
    <row r="27" spans="1:4" x14ac:dyDescent="0.3">
      <c r="A27" s="17" t="s">
        <v>116</v>
      </c>
      <c r="B27" s="25">
        <v>2.9</v>
      </c>
      <c r="C27" s="25">
        <v>-0.27</v>
      </c>
      <c r="D27" s="25">
        <v>3.24</v>
      </c>
    </row>
    <row r="28" spans="1:4" x14ac:dyDescent="0.3">
      <c r="A28" s="19" t="s">
        <v>117</v>
      </c>
      <c r="B28" s="26"/>
      <c r="C28" s="26"/>
      <c r="D28" s="26"/>
    </row>
    <row r="29" spans="1:4" x14ac:dyDescent="0.3">
      <c r="A29" s="19" t="s">
        <v>118</v>
      </c>
      <c r="B29" s="26">
        <v>10304</v>
      </c>
      <c r="C29" s="26">
        <v>10189</v>
      </c>
      <c r="D29" s="26">
        <v>10117</v>
      </c>
    </row>
    <row r="30" spans="1:4" x14ac:dyDescent="0.3">
      <c r="A30" s="19" t="s">
        <v>119</v>
      </c>
      <c r="B30" s="17">
        <v>10492</v>
      </c>
      <c r="C30" s="17">
        <v>10189</v>
      </c>
      <c r="D30" s="17">
        <v>10296</v>
      </c>
    </row>
    <row r="31" spans="1:4" x14ac:dyDescent="0.3">
      <c r="A31" s="39" t="s">
        <v>12</v>
      </c>
      <c r="B31" s="39"/>
      <c r="C31" s="39"/>
      <c r="D31" s="39"/>
    </row>
    <row r="32" spans="1:4" x14ac:dyDescent="0.3">
      <c r="A32" s="17"/>
      <c r="B32" s="38" t="s">
        <v>58</v>
      </c>
      <c r="C32" s="38"/>
      <c r="D32" s="38"/>
    </row>
    <row r="33" spans="1:4" x14ac:dyDescent="0.3">
      <c r="A33" s="17"/>
      <c r="B33" s="18">
        <v>2023</v>
      </c>
      <c r="C33" s="18">
        <v>2022</v>
      </c>
      <c r="D33" s="18">
        <v>2021</v>
      </c>
    </row>
    <row r="34" spans="1:4" x14ac:dyDescent="0.3">
      <c r="A34" s="17" t="s">
        <v>74</v>
      </c>
      <c r="B34" s="17"/>
      <c r="C34" s="17"/>
      <c r="D34" s="17"/>
    </row>
    <row r="35" spans="1:4" x14ac:dyDescent="0.3">
      <c r="A35" s="19" t="s">
        <v>64</v>
      </c>
      <c r="B35" s="17">
        <v>73387</v>
      </c>
      <c r="C35" s="17">
        <v>53888</v>
      </c>
      <c r="D35" s="17">
        <v>36220</v>
      </c>
    </row>
    <row r="36" spans="1:4" x14ac:dyDescent="0.3">
      <c r="A36" s="19" t="s">
        <v>65</v>
      </c>
      <c r="B36" s="17">
        <v>13393</v>
      </c>
      <c r="C36" s="20">
        <v>16138</v>
      </c>
      <c r="D36" s="20">
        <v>59829</v>
      </c>
    </row>
    <row r="37" spans="1:4" x14ac:dyDescent="0.3">
      <c r="A37" s="19" t="s">
        <v>66</v>
      </c>
      <c r="B37" s="17">
        <v>33138</v>
      </c>
      <c r="C37" s="20">
        <v>34405</v>
      </c>
      <c r="D37" s="20">
        <v>32640</v>
      </c>
    </row>
    <row r="38" spans="1:4" x14ac:dyDescent="0.3">
      <c r="A38" s="19" t="s">
        <v>67</v>
      </c>
      <c r="B38" s="17">
        <v>52253</v>
      </c>
      <c r="C38" s="20">
        <v>42360</v>
      </c>
      <c r="D38" s="20">
        <v>32891</v>
      </c>
    </row>
    <row r="39" spans="1:4" x14ac:dyDescent="0.3">
      <c r="A39" s="27" t="s">
        <v>68</v>
      </c>
      <c r="B39" s="20">
        <v>172351</v>
      </c>
      <c r="C39" s="20">
        <v>146791</v>
      </c>
      <c r="D39" s="20">
        <v>161580</v>
      </c>
    </row>
    <row r="40" spans="1:4" x14ac:dyDescent="0.3">
      <c r="A40" s="19"/>
      <c r="B40" s="20"/>
      <c r="C40" s="20"/>
      <c r="D40" s="20"/>
    </row>
    <row r="41" spans="1:4" x14ac:dyDescent="0.3">
      <c r="A41" s="32" t="s">
        <v>73</v>
      </c>
      <c r="B41" s="20"/>
      <c r="C41" s="20"/>
      <c r="D41" s="20"/>
    </row>
    <row r="42" spans="1:4" x14ac:dyDescent="0.3">
      <c r="A42" s="19" t="s">
        <v>69</v>
      </c>
      <c r="B42" s="22">
        <v>204177</v>
      </c>
      <c r="C42" s="22">
        <v>186715</v>
      </c>
      <c r="D42" s="21">
        <v>160281</v>
      </c>
    </row>
    <row r="43" spans="1:4" x14ac:dyDescent="0.3">
      <c r="A43" s="19" t="s">
        <v>70</v>
      </c>
      <c r="B43" s="20">
        <v>72513</v>
      </c>
      <c r="C43" s="20">
        <v>66123</v>
      </c>
      <c r="D43" s="20">
        <v>56082</v>
      </c>
    </row>
    <row r="44" spans="1:4" x14ac:dyDescent="0.3">
      <c r="A44" s="19" t="s">
        <v>71</v>
      </c>
      <c r="B44" s="20">
        <v>22789</v>
      </c>
      <c r="C44" s="20">
        <v>20288</v>
      </c>
      <c r="D44" s="20">
        <v>15371</v>
      </c>
    </row>
    <row r="45" spans="1:4" x14ac:dyDescent="0.3">
      <c r="A45" s="19" t="s">
        <v>72</v>
      </c>
      <c r="B45" s="20">
        <v>56024</v>
      </c>
      <c r="C45" s="20">
        <v>42758</v>
      </c>
      <c r="D45" s="20">
        <v>27235</v>
      </c>
    </row>
    <row r="46" spans="1:4" x14ac:dyDescent="0.3">
      <c r="A46" s="27" t="s">
        <v>75</v>
      </c>
      <c r="B46" s="20">
        <f>SUM(B42:B45)</f>
        <v>355503</v>
      </c>
      <c r="C46" s="20">
        <f>SUM(C42:C45)</f>
        <v>315884</v>
      </c>
      <c r="D46" s="20">
        <f>SUM(D42:D45)</f>
        <v>258969</v>
      </c>
    </row>
    <row r="47" spans="1:4" x14ac:dyDescent="0.3">
      <c r="A47" s="18" t="s">
        <v>76</v>
      </c>
      <c r="B47" s="21">
        <v>527854</v>
      </c>
      <c r="C47" s="21">
        <v>462675</v>
      </c>
      <c r="D47" s="21">
        <v>420549</v>
      </c>
    </row>
    <row r="48" spans="1:4" x14ac:dyDescent="0.3">
      <c r="A48" s="18"/>
      <c r="B48" s="21"/>
      <c r="C48" s="21"/>
      <c r="D48" s="21"/>
    </row>
    <row r="49" spans="1:4" x14ac:dyDescent="0.3">
      <c r="A49" s="18" t="s">
        <v>77</v>
      </c>
      <c r="B49" s="17"/>
      <c r="C49" s="17"/>
      <c r="D49" s="17"/>
    </row>
    <row r="50" spans="1:4" x14ac:dyDescent="0.3">
      <c r="A50" s="19" t="s">
        <v>78</v>
      </c>
      <c r="B50" s="17">
        <v>84981</v>
      </c>
      <c r="C50" s="17">
        <v>79600</v>
      </c>
      <c r="D50" s="17">
        <v>78664</v>
      </c>
    </row>
    <row r="51" spans="1:4" x14ac:dyDescent="0.3">
      <c r="A51" s="19" t="s">
        <v>79</v>
      </c>
      <c r="B51" s="20">
        <v>64709</v>
      </c>
      <c r="C51" s="20">
        <v>62566</v>
      </c>
      <c r="D51" s="20">
        <v>51775</v>
      </c>
    </row>
    <row r="52" spans="1:4" x14ac:dyDescent="0.3">
      <c r="A52" s="19" t="s">
        <v>80</v>
      </c>
      <c r="B52" s="20">
        <v>15227</v>
      </c>
      <c r="C52" s="20">
        <v>13227</v>
      </c>
      <c r="D52" s="20">
        <v>11827</v>
      </c>
    </row>
    <row r="53" spans="1:4" x14ac:dyDescent="0.3">
      <c r="A53" s="27" t="s">
        <v>81</v>
      </c>
      <c r="B53" s="20">
        <v>164917</v>
      </c>
      <c r="C53" s="20">
        <v>155393</v>
      </c>
      <c r="D53" s="20">
        <v>142266</v>
      </c>
    </row>
    <row r="54" spans="1:4" x14ac:dyDescent="0.3">
      <c r="A54" s="32" t="s">
        <v>82</v>
      </c>
      <c r="B54" s="20"/>
      <c r="C54" s="20"/>
      <c r="D54" s="20"/>
    </row>
    <row r="55" spans="1:4" x14ac:dyDescent="0.3">
      <c r="A55" s="19" t="s">
        <v>83</v>
      </c>
      <c r="B55" s="20">
        <v>77297</v>
      </c>
      <c r="C55" s="20">
        <v>72968</v>
      </c>
      <c r="D55" s="20">
        <v>72968</v>
      </c>
    </row>
    <row r="56" spans="1:4" x14ac:dyDescent="0.3">
      <c r="A56" s="19" t="s">
        <v>84</v>
      </c>
      <c r="B56" s="22">
        <v>58314</v>
      </c>
      <c r="C56" s="22">
        <v>67150</v>
      </c>
      <c r="D56" s="22">
        <v>67651</v>
      </c>
    </row>
    <row r="57" spans="1:4" x14ac:dyDescent="0.3">
      <c r="A57" s="19" t="s">
        <v>85</v>
      </c>
      <c r="B57" s="20">
        <v>25451</v>
      </c>
      <c r="C57" s="20">
        <v>21121</v>
      </c>
      <c r="D57" s="20">
        <v>23643</v>
      </c>
    </row>
    <row r="58" spans="1:4" x14ac:dyDescent="0.3">
      <c r="A58" s="19" t="s">
        <v>86</v>
      </c>
      <c r="B58" s="20"/>
      <c r="C58" s="20"/>
      <c r="D58" s="20"/>
    </row>
    <row r="59" spans="1:4" x14ac:dyDescent="0.3">
      <c r="A59" s="27" t="s">
        <v>87</v>
      </c>
      <c r="B59" s="20">
        <f>SUM(B55:B57)</f>
        <v>161062</v>
      </c>
      <c r="C59" s="20">
        <f>SUM(C55:C57)</f>
        <v>161239</v>
      </c>
      <c r="D59" s="20">
        <f>SUM(D55:D57)</f>
        <v>164262</v>
      </c>
    </row>
    <row r="60" spans="1:4" x14ac:dyDescent="0.3">
      <c r="A60" s="28" t="s">
        <v>88</v>
      </c>
      <c r="B60" s="20">
        <f>B59+B53</f>
        <v>325979</v>
      </c>
      <c r="C60" s="20">
        <f>C59+C53</f>
        <v>316632</v>
      </c>
      <c r="D60" s="20">
        <f>D59+D53</f>
        <v>306528</v>
      </c>
    </row>
    <row r="61" spans="1:4" x14ac:dyDescent="0.3">
      <c r="A61" s="19"/>
      <c r="B61" s="20"/>
      <c r="C61" s="20"/>
      <c r="D61" s="20"/>
    </row>
    <row r="62" spans="1:4" x14ac:dyDescent="0.3">
      <c r="A62" s="17" t="s">
        <v>89</v>
      </c>
      <c r="B62" s="21"/>
      <c r="C62" s="21"/>
      <c r="D62" s="21"/>
    </row>
    <row r="63" spans="1:4" x14ac:dyDescent="0.3">
      <c r="A63" s="17" t="s">
        <v>90</v>
      </c>
      <c r="B63" s="20">
        <v>109</v>
      </c>
      <c r="C63" s="20">
        <v>108</v>
      </c>
      <c r="D63" s="20">
        <v>106</v>
      </c>
    </row>
    <row r="64" spans="1:4" x14ac:dyDescent="0.3">
      <c r="A64" s="29" t="s">
        <v>91</v>
      </c>
      <c r="B64" s="20">
        <v>-7837</v>
      </c>
      <c r="C64" s="20">
        <v>-7837</v>
      </c>
      <c r="D64" s="20">
        <v>-1837</v>
      </c>
    </row>
    <row r="65" spans="1:4" x14ac:dyDescent="0.3">
      <c r="A65" s="29" t="s">
        <v>92</v>
      </c>
      <c r="B65" s="20">
        <v>99025</v>
      </c>
      <c r="C65" s="20">
        <v>75066</v>
      </c>
      <c r="D65" s="20">
        <v>55437</v>
      </c>
    </row>
    <row r="66" spans="1:4" x14ac:dyDescent="0.3">
      <c r="A66" s="29" t="s">
        <v>93</v>
      </c>
      <c r="B66" s="20">
        <v>-3040</v>
      </c>
      <c r="C66" s="20">
        <v>-4487</v>
      </c>
      <c r="D66" s="20">
        <v>-1376</v>
      </c>
    </row>
    <row r="67" spans="1:4" x14ac:dyDescent="0.3">
      <c r="A67" s="17" t="s">
        <v>94</v>
      </c>
      <c r="B67" s="20">
        <v>113618</v>
      </c>
      <c r="C67" s="20">
        <v>83193</v>
      </c>
      <c r="D67" s="20">
        <v>85915</v>
      </c>
    </row>
    <row r="68" spans="1:4" x14ac:dyDescent="0.3">
      <c r="A68" s="18" t="s">
        <v>95</v>
      </c>
      <c r="B68" s="21">
        <v>201875</v>
      </c>
      <c r="C68" s="21">
        <v>146043</v>
      </c>
      <c r="D68" s="21">
        <v>138245</v>
      </c>
    </row>
    <row r="69" spans="1:4" x14ac:dyDescent="0.3">
      <c r="A69" s="18" t="s">
        <v>96</v>
      </c>
      <c r="B69" s="21">
        <v>527854</v>
      </c>
      <c r="C69" s="21">
        <v>462675</v>
      </c>
      <c r="D69" s="21">
        <v>420549</v>
      </c>
    </row>
    <row r="70" spans="1:4" x14ac:dyDescent="0.3">
      <c r="A70" s="17"/>
      <c r="B70" s="17"/>
      <c r="C70" s="17"/>
      <c r="D70" s="17"/>
    </row>
    <row r="71" spans="1:4" x14ac:dyDescent="0.3">
      <c r="A71" s="39" t="s">
        <v>13</v>
      </c>
      <c r="B71" s="39"/>
      <c r="C71" s="39"/>
      <c r="D71" s="39"/>
    </row>
    <row r="72" spans="1:4" x14ac:dyDescent="0.3">
      <c r="A72" s="17"/>
      <c r="B72" s="38" t="s">
        <v>57</v>
      </c>
      <c r="C72" s="38"/>
      <c r="D72" s="38"/>
    </row>
    <row r="73" spans="1:4" x14ac:dyDescent="0.3">
      <c r="A73" s="17"/>
      <c r="B73" s="18">
        <v>2023</v>
      </c>
      <c r="C73" s="18">
        <v>2022</v>
      </c>
      <c r="D73" s="18">
        <v>2021</v>
      </c>
    </row>
    <row r="74" spans="1:4" x14ac:dyDescent="0.3">
      <c r="A74" s="17" t="s">
        <v>120</v>
      </c>
      <c r="B74" s="17">
        <v>54253</v>
      </c>
      <c r="C74" s="17">
        <v>36477</v>
      </c>
      <c r="D74" s="17">
        <v>42377</v>
      </c>
    </row>
    <row r="75" spans="1:4" x14ac:dyDescent="0.3">
      <c r="A75" s="17" t="s">
        <v>121</v>
      </c>
      <c r="B75" s="21"/>
      <c r="C75" s="21"/>
      <c r="D75" s="17"/>
    </row>
    <row r="76" spans="1:4" x14ac:dyDescent="0.3">
      <c r="A76" s="17" t="s">
        <v>114</v>
      </c>
      <c r="B76" s="20">
        <v>30425</v>
      </c>
      <c r="C76" s="20">
        <v>-2722</v>
      </c>
      <c r="D76" s="22">
        <v>33364</v>
      </c>
    </row>
    <row r="77" spans="1:4" x14ac:dyDescent="0.3">
      <c r="A77" s="17" t="s">
        <v>122</v>
      </c>
      <c r="B77" s="21"/>
      <c r="C77" s="21"/>
      <c r="D77" s="21"/>
    </row>
    <row r="78" spans="1:4" x14ac:dyDescent="0.3">
      <c r="A78" s="17" t="s">
        <v>123</v>
      </c>
      <c r="B78" s="20">
        <v>48662</v>
      </c>
      <c r="C78" s="20">
        <v>41921</v>
      </c>
      <c r="D78" s="20">
        <v>34433</v>
      </c>
    </row>
    <row r="79" spans="1:4" x14ac:dyDescent="0.3">
      <c r="A79" s="17" t="s">
        <v>124</v>
      </c>
      <c r="B79" s="20">
        <v>24023</v>
      </c>
      <c r="C79" s="20">
        <v>19621</v>
      </c>
      <c r="D79" s="20">
        <v>12757</v>
      </c>
    </row>
    <row r="80" spans="1:4" x14ac:dyDescent="0.3">
      <c r="A80" s="17" t="s">
        <v>125</v>
      </c>
      <c r="B80" s="20">
        <v>-748</v>
      </c>
      <c r="C80" s="20">
        <v>16966</v>
      </c>
      <c r="D80" s="20">
        <v>-14306</v>
      </c>
    </row>
    <row r="81" spans="1:4" x14ac:dyDescent="0.3">
      <c r="A81" s="17" t="s">
        <v>126</v>
      </c>
      <c r="B81" s="20">
        <v>-5876</v>
      </c>
      <c r="C81" s="20">
        <v>-8148</v>
      </c>
      <c r="D81" s="20">
        <v>-310</v>
      </c>
    </row>
    <row r="82" spans="1:4" x14ac:dyDescent="0.3">
      <c r="A82" s="17" t="s">
        <v>127</v>
      </c>
      <c r="B82" s="20"/>
      <c r="C82" s="20"/>
      <c r="D82" s="17"/>
    </row>
    <row r="83" spans="1:4" x14ac:dyDescent="0.3">
      <c r="A83" s="17" t="s">
        <v>66</v>
      </c>
      <c r="B83" s="20">
        <v>1449</v>
      </c>
      <c r="C83" s="20">
        <v>-2592</v>
      </c>
      <c r="D83" s="20">
        <v>-9487</v>
      </c>
    </row>
    <row r="84" spans="1:4" x14ac:dyDescent="0.3">
      <c r="A84" s="17" t="s">
        <v>128</v>
      </c>
      <c r="B84" s="20">
        <v>-8348</v>
      </c>
      <c r="C84" s="20">
        <v>-8622</v>
      </c>
      <c r="D84" s="20">
        <v>-9145</v>
      </c>
    </row>
    <row r="85" spans="1:4" x14ac:dyDescent="0.3">
      <c r="A85" s="17" t="s">
        <v>129</v>
      </c>
      <c r="B85" s="20">
        <v>-12265</v>
      </c>
      <c r="C85" s="20">
        <v>-13275</v>
      </c>
      <c r="D85" s="20">
        <v>-9018</v>
      </c>
    </row>
    <row r="86" spans="1:4" x14ac:dyDescent="0.3">
      <c r="A86" s="17" t="s">
        <v>130</v>
      </c>
      <c r="B86" s="20">
        <v>5473</v>
      </c>
      <c r="C86" s="20">
        <v>2945</v>
      </c>
      <c r="D86" s="20">
        <v>3602</v>
      </c>
    </row>
    <row r="87" spans="1:4" x14ac:dyDescent="0.3">
      <c r="A87" s="17" t="s">
        <v>131</v>
      </c>
      <c r="B87" s="20">
        <v>-2428</v>
      </c>
      <c r="C87" s="20">
        <v>-1558</v>
      </c>
      <c r="D87" s="20">
        <v>2123</v>
      </c>
    </row>
    <row r="88" spans="1:4" x14ac:dyDescent="0.3">
      <c r="A88" s="17" t="s">
        <v>132</v>
      </c>
      <c r="B88" s="20">
        <v>4578</v>
      </c>
      <c r="C88" s="20">
        <v>2216</v>
      </c>
      <c r="D88" s="20">
        <v>2314</v>
      </c>
    </row>
    <row r="89" spans="1:4" x14ac:dyDescent="0.3">
      <c r="A89" s="18" t="s">
        <v>133</v>
      </c>
      <c r="B89" s="20">
        <v>84946</v>
      </c>
      <c r="C89" s="20">
        <v>46752</v>
      </c>
      <c r="D89" s="20">
        <v>46327</v>
      </c>
    </row>
    <row r="90" spans="1:4" x14ac:dyDescent="0.3">
      <c r="A90" s="17"/>
      <c r="B90" s="17"/>
      <c r="C90" s="17"/>
      <c r="D90" s="17"/>
    </row>
    <row r="91" spans="1:4" x14ac:dyDescent="0.3">
      <c r="A91" s="17" t="s">
        <v>134</v>
      </c>
      <c r="B91" s="21"/>
      <c r="C91" s="21"/>
      <c r="D91" s="21"/>
    </row>
    <row r="92" spans="1:4" x14ac:dyDescent="0.3">
      <c r="A92" s="17" t="s">
        <v>135</v>
      </c>
      <c r="B92" s="20">
        <v>-52729</v>
      </c>
      <c r="C92" s="20">
        <v>-63645</v>
      </c>
      <c r="D92" s="20">
        <v>-61053</v>
      </c>
    </row>
    <row r="93" spans="1:4" x14ac:dyDescent="0.3">
      <c r="A93" s="17" t="s">
        <v>136</v>
      </c>
      <c r="B93" s="20">
        <v>4596</v>
      </c>
      <c r="C93" s="20">
        <v>5324</v>
      </c>
      <c r="D93" s="20">
        <v>5657</v>
      </c>
    </row>
    <row r="94" spans="1:4" x14ac:dyDescent="0.3">
      <c r="A94" s="17" t="s">
        <v>137</v>
      </c>
      <c r="B94" s="20">
        <v>-5839</v>
      </c>
      <c r="C94" s="20">
        <v>-8316</v>
      </c>
      <c r="D94" s="20">
        <v>-1985</v>
      </c>
    </row>
    <row r="95" spans="1:4" x14ac:dyDescent="0.3">
      <c r="A95" s="17" t="s">
        <v>138</v>
      </c>
      <c r="B95" s="20">
        <v>5627</v>
      </c>
      <c r="C95" s="20">
        <v>31601</v>
      </c>
      <c r="D95" s="20">
        <v>59384</v>
      </c>
    </row>
    <row r="96" spans="1:4" x14ac:dyDescent="0.3">
      <c r="A96" s="17" t="s">
        <v>139</v>
      </c>
      <c r="B96" s="20">
        <v>-1488</v>
      </c>
      <c r="C96" s="20">
        <v>-2565</v>
      </c>
      <c r="D96" s="20">
        <v>-60157</v>
      </c>
    </row>
    <row r="97" spans="1:4" x14ac:dyDescent="0.3">
      <c r="A97" s="17" t="s">
        <v>140</v>
      </c>
      <c r="B97" s="20">
        <v>-49833</v>
      </c>
      <c r="C97" s="20">
        <v>-37601</v>
      </c>
      <c r="D97" s="20">
        <v>-58154</v>
      </c>
    </row>
    <row r="98" spans="1:4" x14ac:dyDescent="0.3">
      <c r="A98" s="19"/>
      <c r="B98" s="20"/>
      <c r="C98" s="20"/>
      <c r="D98" s="20"/>
    </row>
    <row r="99" spans="1:4" x14ac:dyDescent="0.3">
      <c r="A99" s="19"/>
      <c r="B99" s="20"/>
      <c r="C99" s="20"/>
      <c r="D99" s="20"/>
    </row>
    <row r="100" spans="1:4" x14ac:dyDescent="0.3">
      <c r="A100" s="19"/>
      <c r="B100" s="20"/>
      <c r="C100" s="20"/>
      <c r="D100" s="20"/>
    </row>
    <row r="101" spans="1:4" x14ac:dyDescent="0.3">
      <c r="A101" s="17" t="s">
        <v>141</v>
      </c>
      <c r="B101" s="21"/>
      <c r="C101" s="21"/>
      <c r="D101" s="21"/>
    </row>
    <row r="102" spans="1:4" x14ac:dyDescent="0.3">
      <c r="A102" s="17" t="s">
        <v>142</v>
      </c>
      <c r="B102" s="20"/>
      <c r="C102" s="20">
        <v>-6000</v>
      </c>
      <c r="D102" s="20"/>
    </row>
    <row r="103" spans="1:4" x14ac:dyDescent="0.3">
      <c r="A103" s="17" t="s">
        <v>143</v>
      </c>
      <c r="B103" s="20">
        <v>18129</v>
      </c>
      <c r="C103" s="20">
        <v>41553</v>
      </c>
      <c r="D103" s="20">
        <v>7956</v>
      </c>
    </row>
    <row r="104" spans="1:4" x14ac:dyDescent="0.3">
      <c r="A104" s="17" t="s">
        <v>144</v>
      </c>
      <c r="B104" s="20">
        <v>-25677</v>
      </c>
      <c r="C104" s="20">
        <v>-37554</v>
      </c>
      <c r="D104" s="20">
        <v>-7753</v>
      </c>
    </row>
    <row r="105" spans="1:4" x14ac:dyDescent="0.3">
      <c r="A105" s="17" t="s">
        <v>145</v>
      </c>
      <c r="B105" s="20" t="s">
        <v>153</v>
      </c>
      <c r="C105" s="20">
        <v>21166</v>
      </c>
      <c r="D105" s="20">
        <v>19003</v>
      </c>
    </row>
    <row r="106" spans="1:4" x14ac:dyDescent="0.3">
      <c r="A106" s="17" t="s">
        <v>146</v>
      </c>
      <c r="B106" s="20">
        <v>-3676</v>
      </c>
      <c r="C106" s="20">
        <v>-1258</v>
      </c>
      <c r="D106" s="20">
        <v>-1590</v>
      </c>
    </row>
    <row r="107" spans="1:4" x14ac:dyDescent="0.3">
      <c r="A107" s="17" t="s">
        <v>147</v>
      </c>
      <c r="B107" s="20">
        <v>-4384</v>
      </c>
      <c r="C107" s="20">
        <v>-7941</v>
      </c>
      <c r="D107" s="20">
        <v>-11163</v>
      </c>
    </row>
    <row r="108" spans="1:4" x14ac:dyDescent="0.3">
      <c r="A108" s="17" t="s">
        <v>148</v>
      </c>
      <c r="B108" s="20">
        <v>-271</v>
      </c>
      <c r="C108" s="20">
        <v>-248</v>
      </c>
      <c r="D108" s="20">
        <v>-162</v>
      </c>
    </row>
    <row r="109" spans="1:4" x14ac:dyDescent="0.3">
      <c r="A109" s="17" t="s">
        <v>149</v>
      </c>
      <c r="B109" s="20">
        <v>-15879</v>
      </c>
      <c r="C109" s="20">
        <v>9718</v>
      </c>
      <c r="D109" s="20">
        <v>6291</v>
      </c>
    </row>
    <row r="110" spans="1:4" x14ac:dyDescent="0.3">
      <c r="A110" s="19"/>
      <c r="B110" s="20"/>
      <c r="C110" s="20"/>
      <c r="D110" s="20"/>
    </row>
    <row r="111" spans="1:4" x14ac:dyDescent="0.3">
      <c r="A111" s="17" t="s">
        <v>150</v>
      </c>
      <c r="B111" s="21">
        <v>403</v>
      </c>
      <c r="C111" s="21">
        <v>-1093</v>
      </c>
      <c r="D111" s="21">
        <v>-364</v>
      </c>
    </row>
    <row r="112" spans="1:4" x14ac:dyDescent="0.3">
      <c r="A112" s="17" t="s">
        <v>151</v>
      </c>
      <c r="B112" s="21">
        <v>19637</v>
      </c>
      <c r="C112" s="21">
        <v>17776</v>
      </c>
      <c r="D112" s="21">
        <v>-5900</v>
      </c>
    </row>
    <row r="113" spans="1:4" x14ac:dyDescent="0.3">
      <c r="A113" s="17" t="s">
        <v>152</v>
      </c>
      <c r="B113" s="21">
        <v>73890</v>
      </c>
      <c r="C113" s="21">
        <v>54253</v>
      </c>
      <c r="D113" s="21">
        <v>36447</v>
      </c>
    </row>
    <row r="114" spans="1:4" x14ac:dyDescent="0.3"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topLeftCell="A29" zoomScale="86" workbookViewId="0">
      <selection activeCell="I46" sqref="I46"/>
    </sheetView>
  </sheetViews>
  <sheetFormatPr defaultRowHeight="14.4" x14ac:dyDescent="0.3"/>
  <cols>
    <col min="1" max="1" width="4.6640625" customWidth="1"/>
    <col min="2" max="2" width="44.88671875" customWidth="1"/>
    <col min="3" max="3" width="12.21875" bestFit="1" customWidth="1"/>
    <col min="4" max="4" width="12.88671875" bestFit="1" customWidth="1"/>
    <col min="5" max="5" width="12.21875" bestFit="1" customWidth="1"/>
    <col min="8" max="8" width="12" bestFit="1" customWidth="1"/>
    <col min="9" max="9" width="19" bestFit="1" customWidth="1"/>
    <col min="10" max="10" width="18.5546875" bestFit="1" customWidth="1"/>
    <col min="11" max="11" width="25.5546875" bestFit="1" customWidth="1"/>
  </cols>
  <sheetData>
    <row r="1" spans="1:10" ht="60" customHeight="1" x14ac:dyDescent="0.5">
      <c r="A1" s="7"/>
      <c r="B1" s="13" t="s">
        <v>59</v>
      </c>
      <c r="C1" s="14"/>
      <c r="D1" s="14"/>
      <c r="E1" s="14"/>
      <c r="F1" s="14"/>
      <c r="G1" s="14"/>
      <c r="H1" s="14"/>
      <c r="I1" s="14"/>
      <c r="J1" s="14"/>
    </row>
    <row r="2" spans="1:10" x14ac:dyDescent="0.3">
      <c r="C2" s="40" t="s">
        <v>60</v>
      </c>
      <c r="D2" s="40"/>
      <c r="E2" s="40"/>
    </row>
    <row r="3" spans="1:10" x14ac:dyDescent="0.3">
      <c r="C3" s="9">
        <v>2023</v>
      </c>
      <c r="D3" s="9">
        <v>2022</v>
      </c>
      <c r="E3" s="9">
        <v>2021</v>
      </c>
    </row>
    <row r="4" spans="1:10" x14ac:dyDescent="0.3">
      <c r="A4" s="15">
        <v>1</v>
      </c>
      <c r="B4" s="9" t="s">
        <v>14</v>
      </c>
    </row>
    <row r="5" spans="1:10" x14ac:dyDescent="0.3">
      <c r="A5" s="15">
        <f>+A4+0.1</f>
        <v>1.1000000000000001</v>
      </c>
      <c r="B5" s="1" t="s">
        <v>15</v>
      </c>
      <c r="C5" s="42">
        <f>('Financial Statements'!B35+'Financial Statements'!B36+'Financial Statements'!B37+'Financial Statements'!B38)/'Financial Statements'!B53</f>
        <v>1.0439857625350935</v>
      </c>
      <c r="D5" s="42">
        <f>('Financial Statements'!C35+'Financial Statements'!C36+'Financial Statements'!C37+'Financial Statements'!C38)/'Financial Statements'!C53</f>
        <v>0.9446435811136924</v>
      </c>
      <c r="E5" s="42">
        <f>('Financial Statements'!D35+'Financial Statements'!D36+'Financial Statements'!D37+'Financial Statements'!D38)/'Financial Statements'!D53</f>
        <v>1.1357597739445826</v>
      </c>
    </row>
    <row r="6" spans="1:10" x14ac:dyDescent="0.3">
      <c r="A6" s="15">
        <f t="shared" ref="A6:A13" si="0">+A5+0.1</f>
        <v>1.2000000000000002</v>
      </c>
      <c r="B6" s="1" t="s">
        <v>16</v>
      </c>
      <c r="C6" s="42">
        <f>('Financial Statements'!B35+'Financial Statements'!B36+'Financial Statements'!B38)/'Financial Statements'!B53</f>
        <v>0.84304832127676343</v>
      </c>
      <c r="D6" s="42">
        <f>('Financial Statements'!C35+'Financial Statements'!C36+'Financial Statements'!C38)/'Financial Statements'!C53</f>
        <v>0.72323721145740161</v>
      </c>
      <c r="E6" s="42">
        <f>('Financial Statements'!D35+'Financial Statements'!D36+'Financial Statements'!D38)/'Financial Statements'!D53</f>
        <v>0.90633039517523517</v>
      </c>
    </row>
    <row r="7" spans="1:10" x14ac:dyDescent="0.3">
      <c r="A7" s="15">
        <f t="shared" si="0"/>
        <v>1.3000000000000003</v>
      </c>
      <c r="B7" s="1" t="s">
        <v>17</v>
      </c>
      <c r="C7" s="42">
        <f>('Financial Statements'!B35+'Financial Statements'!B36)/'Financial Statements'!B53</f>
        <v>0.52620409054251538</v>
      </c>
      <c r="D7" s="42">
        <f>('Financial Statements'!C35+'Financial Statements'!C36)/'Financial Statements'!C53</f>
        <v>0.45063805962945563</v>
      </c>
      <c r="E7" s="42">
        <f>('Financial Statements'!D35+'Financial Statements'!D36)/'Financial Statements'!D53</f>
        <v>0.67513671572968947</v>
      </c>
    </row>
    <row r="8" spans="1:10" x14ac:dyDescent="0.3">
      <c r="A8" s="15">
        <f t="shared" si="0"/>
        <v>1.4000000000000004</v>
      </c>
      <c r="B8" s="1" t="s">
        <v>18</v>
      </c>
      <c r="C8" s="42">
        <f>'Financial Statements'!B39/('Financial Statements'!B16/365)</f>
        <v>116.94414546049416</v>
      </c>
      <c r="D8" s="42">
        <f>'Financial Statements'!C39/('Financial Statements'!C16/365)</f>
        <v>106.78687952803772</v>
      </c>
      <c r="E8" s="42">
        <f>'Financial Statements'!D39/('Financial Statements'!D16/365)</f>
        <v>132.5488882845668</v>
      </c>
    </row>
    <row r="9" spans="1:10" x14ac:dyDescent="0.3">
      <c r="A9" s="15">
        <f t="shared" si="0"/>
        <v>1.5000000000000004</v>
      </c>
      <c r="B9" s="1" t="s">
        <v>19</v>
      </c>
      <c r="C9" s="42">
        <f>('Financial Statements'!B37/'Financial Statements'!B8)*365</f>
        <v>39.690915832893069</v>
      </c>
      <c r="D9" s="42">
        <f>('Financial Statements'!C37/'Financial Statements'!C8)*365</f>
        <v>43.4781065744328</v>
      </c>
      <c r="E9" s="42">
        <f>('Financial Statements'!D37/'Financial Statements'!D8)*365</f>
        <v>43.744675851129458</v>
      </c>
    </row>
    <row r="10" spans="1:10" x14ac:dyDescent="0.3">
      <c r="A10" s="15">
        <f t="shared" si="0"/>
        <v>1.6000000000000005</v>
      </c>
      <c r="B10" s="1" t="s">
        <v>20</v>
      </c>
      <c r="C10" s="42">
        <f>('Financial Statements'!B50/'Financial Statements'!B8)*365</f>
        <v>101.78567561093263</v>
      </c>
      <c r="D10" s="42">
        <f>('Financial Statements'!C50/'Financial Statements'!C8)*365</f>
        <v>100.59169548975007</v>
      </c>
      <c r="E10" s="42">
        <f>('Financial Statements'!D50/'Financial Statements'!D8)*365</f>
        <v>105.42681314807743</v>
      </c>
    </row>
    <row r="11" spans="1:10" x14ac:dyDescent="0.3">
      <c r="A11" s="15">
        <f t="shared" si="0"/>
        <v>1.7000000000000006</v>
      </c>
      <c r="B11" s="1" t="s">
        <v>21</v>
      </c>
      <c r="C11" s="42">
        <f>('Financial Statements'!B38/'Financial Statements'!B8)*365</f>
        <v>62.585835747967934</v>
      </c>
      <c r="D11" s="42">
        <f>('Financial Statements'!C38/'Financial Statements'!C8)*365</f>
        <v>53.530957549570509</v>
      </c>
      <c r="E11" s="42">
        <f>('Financial Statements'!D38/'Financial Statements'!D8)*365</f>
        <v>44.081070264077781</v>
      </c>
    </row>
    <row r="12" spans="1:10" x14ac:dyDescent="0.3">
      <c r="A12" s="15">
        <f t="shared" si="0"/>
        <v>1.8000000000000007</v>
      </c>
      <c r="B12" s="1" t="s">
        <v>22</v>
      </c>
      <c r="C12" s="42">
        <f>C11+C9-C10</f>
        <v>0.49107596992837443</v>
      </c>
      <c r="D12" s="42">
        <f t="shared" ref="D12:E12" si="1">D11+D9-D10</f>
        <v>-3.5826313657467495</v>
      </c>
      <c r="E12" s="42">
        <f t="shared" si="1"/>
        <v>-17.601067032870191</v>
      </c>
    </row>
    <row r="13" spans="1:10" x14ac:dyDescent="0.3">
      <c r="A13" s="15">
        <f t="shared" si="0"/>
        <v>1.9000000000000008</v>
      </c>
      <c r="B13" s="1" t="s">
        <v>23</v>
      </c>
      <c r="C13" s="33">
        <f>C14/'Financial Statements'!B7</f>
        <v>1.2933531668362953E-2</v>
      </c>
      <c r="D13" s="33">
        <f>D14/'Financial Statements'!C7</f>
        <v>-1.6735962084349094E-2</v>
      </c>
      <c r="E13" s="33">
        <f>E14/'Financial Statements'!D7</f>
        <v>4.1109186032156859E-2</v>
      </c>
    </row>
    <row r="14" spans="1:10" x14ac:dyDescent="0.3">
      <c r="A14" s="15"/>
      <c r="B14" s="12" t="s">
        <v>24</v>
      </c>
      <c r="C14">
        <f>'Financial Statements'!B39-'Financial Statements'!B53</f>
        <v>7434</v>
      </c>
      <c r="D14">
        <f>'Financial Statements'!C39-'Financial Statements'!C53</f>
        <v>-8602</v>
      </c>
      <c r="E14">
        <f>'Financial Statements'!D39-'Financial Statements'!D53</f>
        <v>19314</v>
      </c>
    </row>
    <row r="15" spans="1:10" x14ac:dyDescent="0.3">
      <c r="A15" s="15"/>
    </row>
    <row r="16" spans="1:10" x14ac:dyDescent="0.3">
      <c r="A16" s="15">
        <f>+A4+1</f>
        <v>2</v>
      </c>
      <c r="B16" s="16" t="s">
        <v>25</v>
      </c>
    </row>
    <row r="17" spans="1:5" x14ac:dyDescent="0.3">
      <c r="A17" s="15">
        <f>+A16+0.1</f>
        <v>2.1</v>
      </c>
      <c r="B17" s="1" t="s">
        <v>11</v>
      </c>
      <c r="C17" s="33">
        <f>'Financial Statements'!B9/'Financial Statements'!B7</f>
        <v>0.46982088955000567</v>
      </c>
      <c r="D17" s="33">
        <f>'Financial Statements'!C9/'Financial Statements'!C7</f>
        <v>0.43805339865326287</v>
      </c>
      <c r="E17" s="33">
        <f>'Financial Statements'!D9/'Financial Statements'!D7</f>
        <v>0.42032514441639601</v>
      </c>
    </row>
    <row r="18" spans="1:5" x14ac:dyDescent="0.3">
      <c r="A18" s="15">
        <f>+A17+0.1</f>
        <v>2.2000000000000002</v>
      </c>
      <c r="B18" s="1" t="s">
        <v>26</v>
      </c>
      <c r="C18" s="33">
        <f>C19/'Financial Statements'!B7</f>
        <v>0.14877562914829023</v>
      </c>
      <c r="D18" s="33">
        <f>D19/'Financial Statements'!C7</f>
        <v>0.10539064521589235</v>
      </c>
      <c r="E18" s="33">
        <f>E19/'Financial Statements'!D7</f>
        <v>0.12624355607017126</v>
      </c>
    </row>
    <row r="19" spans="1:5" x14ac:dyDescent="0.3">
      <c r="A19" s="15"/>
      <c r="B19" s="12" t="s">
        <v>27</v>
      </c>
      <c r="C19">
        <f>'Financial Statements'!B17+'Financial Statements'!B78</f>
        <v>85514</v>
      </c>
      <c r="D19">
        <f>'Financial Statements'!C17+'Financial Statements'!C78</f>
        <v>54169</v>
      </c>
      <c r="E19">
        <f>'Financial Statements'!D17+'Financial Statements'!D78</f>
        <v>59312</v>
      </c>
    </row>
    <row r="20" spans="1:5" x14ac:dyDescent="0.3">
      <c r="A20" s="15">
        <f>+A18+0.1</f>
        <v>2.3000000000000003</v>
      </c>
      <c r="B20" s="1" t="s">
        <v>28</v>
      </c>
      <c r="C20" s="33">
        <f>C21/'Financial Statements'!B7</f>
        <v>6.4114407996033296E-2</v>
      </c>
      <c r="D20" s="33">
        <f>D21/'Financial Statements'!C7</f>
        <v>2.3829581912242232E-2</v>
      </c>
      <c r="E20" s="33">
        <f>E21/'Financial Statements'!D7</f>
        <v>5.2954097509269465E-2</v>
      </c>
    </row>
    <row r="21" spans="1:5" x14ac:dyDescent="0.3">
      <c r="A21" s="15"/>
      <c r="B21" s="12" t="s">
        <v>29</v>
      </c>
      <c r="C21">
        <f>'Financial Statements'!B17</f>
        <v>36852</v>
      </c>
      <c r="D21">
        <f>'Financial Statements'!C17</f>
        <v>12248</v>
      </c>
      <c r="E21">
        <f>'Financial Statements'!D17</f>
        <v>24879</v>
      </c>
    </row>
    <row r="22" spans="1:5" x14ac:dyDescent="0.3">
      <c r="A22" s="15">
        <f>+A20+0.1</f>
        <v>2.4000000000000004</v>
      </c>
      <c r="B22" s="1" t="s">
        <v>30</v>
      </c>
      <c r="C22" s="33">
        <f>'Financial Statements'!B25/'Financial Statements'!B7</f>
        <v>5.2932835755978319E-2</v>
      </c>
      <c r="D22" s="33">
        <f>'Financial Statements'!C25/'Financial Statements'!C7</f>
        <v>-5.2958950004183018E-3</v>
      </c>
      <c r="E22" s="33">
        <f>'Financial Statements'!D25/'Financial Statements'!D7</f>
        <v>7.1014128755145567E-2</v>
      </c>
    </row>
    <row r="23" spans="1:5" x14ac:dyDescent="0.3">
      <c r="A23" s="15"/>
    </row>
    <row r="24" spans="1:5" x14ac:dyDescent="0.3">
      <c r="A24" s="15">
        <f>+A16+1</f>
        <v>3</v>
      </c>
      <c r="B24" s="9" t="s">
        <v>31</v>
      </c>
    </row>
    <row r="25" spans="1:5" x14ac:dyDescent="0.3">
      <c r="A25" s="15">
        <f>+A24+0.1</f>
        <v>3.1</v>
      </c>
      <c r="B25" s="1" t="s">
        <v>32</v>
      </c>
      <c r="C25" s="42">
        <f>'Financial Statements'!B60/'Financial Statements'!B68</f>
        <v>1.6147566563467493</v>
      </c>
      <c r="D25" s="42">
        <f>'Financial Statements'!C60/'Financial Statements'!C68</f>
        <v>2.1680737864875415</v>
      </c>
      <c r="E25" s="42">
        <f>'Financial Statements'!D60/'Financial Statements'!D68</f>
        <v>2.2172809143187817</v>
      </c>
    </row>
    <row r="26" spans="1:5" x14ac:dyDescent="0.3">
      <c r="A26" s="15">
        <f t="shared" ref="A26:A30" si="2">+A25+0.1</f>
        <v>3.2</v>
      </c>
      <c r="B26" s="1" t="s">
        <v>33</v>
      </c>
      <c r="C26" s="42">
        <f>'Financial Statements'!B60/'Financial Statements'!B47</f>
        <v>0.61755523307581262</v>
      </c>
      <c r="D26" s="42">
        <f>'Financial Statements'!C60/'Financial Statements'!C47</f>
        <v>0.68435078618900957</v>
      </c>
      <c r="E26" s="42">
        <f>'Financial Statements'!D60/'Financial Statements'!D47</f>
        <v>0.72887582659808969</v>
      </c>
    </row>
    <row r="27" spans="1:5" x14ac:dyDescent="0.3">
      <c r="A27" s="15">
        <f t="shared" si="2"/>
        <v>3.3000000000000003</v>
      </c>
      <c r="B27" s="1" t="s">
        <v>34</v>
      </c>
      <c r="C27" s="42">
        <f>'Financial Statements'!B56/('Financial Statements'!B56+'Financial Statements'!B68)</f>
        <v>0.22412169615164362</v>
      </c>
      <c r="D27" s="42">
        <f>'Financial Statements'!C56/('Financial Statements'!C56+'Financial Statements'!C68)</f>
        <v>0.31497281805687805</v>
      </c>
      <c r="E27" s="42">
        <f>'Financial Statements'!D56/('Financial Statements'!D56+'Financial Statements'!D68)</f>
        <v>0.32856879201150097</v>
      </c>
    </row>
    <row r="28" spans="1:5" x14ac:dyDescent="0.3">
      <c r="A28" s="15">
        <f t="shared" si="2"/>
        <v>3.4000000000000004</v>
      </c>
      <c r="B28" s="1" t="s">
        <v>35</v>
      </c>
      <c r="C28" s="42">
        <f>'Financial Statements'!B17/'Financial Statements'!B18</f>
        <v>12.496439471007122</v>
      </c>
      <c r="D28" s="42">
        <f>'Financial Statements'!C17/'Financial Statements'!C18</f>
        <v>12.38422649140546</v>
      </c>
      <c r="E28" s="42">
        <f>'Financial Statements'!D17/'Financial Statements'!D18</f>
        <v>55.533482142857146</v>
      </c>
    </row>
    <row r="29" spans="1:5" x14ac:dyDescent="0.3">
      <c r="A29" s="15">
        <f t="shared" si="2"/>
        <v>3.5000000000000004</v>
      </c>
      <c r="B29" s="1" t="s">
        <v>36</v>
      </c>
      <c r="C29" s="42">
        <f>'Financial Statements'!B89/'Financial Statements'!B56</f>
        <v>1.4566999348355454</v>
      </c>
      <c r="D29" s="42">
        <f>'Financial Statements'!C89/'Financial Statements'!C56</f>
        <v>0.69623231571109456</v>
      </c>
      <c r="E29" s="42">
        <f>'Financial Statements'!D89/'Financial Statements'!D56</f>
        <v>0.6847940163486127</v>
      </c>
    </row>
    <row r="30" spans="1:5" x14ac:dyDescent="0.3">
      <c r="A30" s="15">
        <f t="shared" si="2"/>
        <v>3.6000000000000005</v>
      </c>
      <c r="B30" s="1" t="s">
        <v>37</v>
      </c>
      <c r="C30" s="42">
        <f>C31/'Financial Statements'!B29</f>
        <v>2.9147903726708075</v>
      </c>
      <c r="D30" s="42">
        <f>D31/'Financial Statements'!C29</f>
        <v>-0.19844930807733829</v>
      </c>
      <c r="E30" s="42">
        <f>E31/'Financial Statements'!D29</f>
        <v>2.7020855984975785</v>
      </c>
    </row>
    <row r="31" spans="1:5" x14ac:dyDescent="0.3">
      <c r="A31" s="15"/>
      <c r="B31" s="12" t="s">
        <v>38</v>
      </c>
      <c r="C31">
        <f>'Financial Statements'!B25+'Financial Statements'!B78+'Financial Statements'!B92+(-'Financial Statements'!B106)</f>
        <v>30034</v>
      </c>
      <c r="D31">
        <f>'Financial Statements'!C25+'Financial Statements'!C78+'Financial Statements'!C92+('Financial Statements'!C105-'Financial Statements'!C106)</f>
        <v>-2022</v>
      </c>
      <c r="E31">
        <f>'Financial Statements'!D25+'Financial Statements'!D78+'Financial Statements'!D92+('Financial Statements'!D105-'Financial Statements'!D106)</f>
        <v>27337</v>
      </c>
    </row>
    <row r="32" spans="1:5" x14ac:dyDescent="0.3">
      <c r="A32" s="15"/>
    </row>
    <row r="33" spans="1:5" x14ac:dyDescent="0.3">
      <c r="A33" s="15">
        <f>+A24+1</f>
        <v>4</v>
      </c>
      <c r="B33" s="16" t="s">
        <v>39</v>
      </c>
    </row>
    <row r="34" spans="1:5" x14ac:dyDescent="0.3">
      <c r="A34" s="15">
        <f>+A33+0.1</f>
        <v>4.0999999999999996</v>
      </c>
      <c r="B34" s="1" t="s">
        <v>40</v>
      </c>
      <c r="C34" s="42">
        <f>'Financial Statements'!B7/'Financial Statements'!B47</f>
        <v>1.0889090543976174</v>
      </c>
      <c r="D34" s="42">
        <f>'Financial Statements'!C7/'Financial Statements'!C47</f>
        <v>1.1108942562273734</v>
      </c>
      <c r="E34" s="42">
        <f>'Financial Statements'!D7/'Financial Statements'!D47</f>
        <v>1.1171635172120253</v>
      </c>
    </row>
    <row r="35" spans="1:5" x14ac:dyDescent="0.3">
      <c r="A35" s="15">
        <f t="shared" ref="A35:A37" si="3">+A34+0.1</f>
        <v>4.1999999999999993</v>
      </c>
      <c r="B35" s="1" t="s">
        <v>41</v>
      </c>
      <c r="C35" s="42">
        <f>'Financial Statements'!B7/'Financial Statements'!B42</f>
        <v>2.8151309892887055</v>
      </c>
      <c r="D35" s="42">
        <f>'Financial Statements'!C7/'Financial Statements'!C42</f>
        <v>2.7527675869640897</v>
      </c>
      <c r="E35" s="42">
        <f>'Financial Statements'!D7/'Financial Statements'!D42</f>
        <v>2.9312395106094922</v>
      </c>
    </row>
    <row r="36" spans="1:5" x14ac:dyDescent="0.3">
      <c r="A36" s="15">
        <f t="shared" si="3"/>
        <v>4.2999999999999989</v>
      </c>
      <c r="B36" s="1" t="s">
        <v>42</v>
      </c>
      <c r="C36" s="42">
        <f>'Financial Statements'!B8/'Financial Statements'!B37</f>
        <v>9.1960589051843797</v>
      </c>
      <c r="D36" s="42">
        <f>'Financial Statements'!C8/'Financial Statements'!C37</f>
        <v>8.3950297921813686</v>
      </c>
      <c r="E36" s="42">
        <f>'Financial Statements'!D8/'Financial Statements'!D37</f>
        <v>8.3438725490196077</v>
      </c>
    </row>
    <row r="37" spans="1:5" x14ac:dyDescent="0.3">
      <c r="A37" s="15">
        <f t="shared" si="3"/>
        <v>4.3999999999999986</v>
      </c>
      <c r="B37" s="1" t="s">
        <v>43</v>
      </c>
      <c r="C37" s="33">
        <f>'Financial Statements'!B25/'Financial Statements'!B47</f>
        <v>5.7639044129626754E-2</v>
      </c>
      <c r="D37" s="33">
        <f>'Financial Statements'!C25/'Financial Statements'!C47</f>
        <v>-5.8831793375479545E-3</v>
      </c>
      <c r="E37" s="33">
        <f>'Financial Statements'!D25/'Financial Statements'!D47</f>
        <v>7.9334393851846041E-2</v>
      </c>
    </row>
    <row r="38" spans="1:5" x14ac:dyDescent="0.3">
      <c r="A38" s="15"/>
    </row>
    <row r="39" spans="1:5" x14ac:dyDescent="0.3">
      <c r="A39" s="15">
        <f>+A33+1</f>
        <v>5</v>
      </c>
      <c r="B39" s="16" t="s">
        <v>44</v>
      </c>
    </row>
    <row r="40" spans="1:5" x14ac:dyDescent="0.3">
      <c r="A40" s="15">
        <f>+A39+0.1</f>
        <v>5.0999999999999996</v>
      </c>
      <c r="B40" s="1" t="s">
        <v>45</v>
      </c>
      <c r="C40" s="42">
        <f>C56/C41</f>
        <v>43.051585209531638</v>
      </c>
      <c r="D40" s="42">
        <f t="shared" ref="D40:E40" si="4">D56/D41</f>
        <v>-422.98199853049232</v>
      </c>
      <c r="E40" s="42">
        <f t="shared" si="4"/>
        <v>49.778405466970391</v>
      </c>
    </row>
    <row r="41" spans="1:5" x14ac:dyDescent="0.3">
      <c r="A41" s="15">
        <f t="shared" ref="A41:A44" si="5">+A40+0.1</f>
        <v>5.1999999999999993</v>
      </c>
      <c r="B41" s="12" t="s">
        <v>46</v>
      </c>
      <c r="C41" s="42">
        <f>'Financial Statements'!B25/'Financial Statements'!B29</f>
        <v>2.9527368012422359</v>
      </c>
      <c r="D41" s="42">
        <f>'Financial Statements'!C25/'Financial Statements'!C29</f>
        <v>-0.2671508489547551</v>
      </c>
      <c r="E41" s="42">
        <f>'Financial Statements'!D25/'Financial Statements'!D29</f>
        <v>3.2978155579717305</v>
      </c>
    </row>
    <row r="42" spans="1:5" x14ac:dyDescent="0.3">
      <c r="A42" s="15">
        <f t="shared" si="5"/>
        <v>5.2999999999999989</v>
      </c>
      <c r="B42" s="1" t="s">
        <v>47</v>
      </c>
      <c r="C42" s="42">
        <f>C56/C43</f>
        <v>6.4883937089783279</v>
      </c>
      <c r="D42" s="42">
        <f t="shared" ref="D42:E42" si="6">D56/D43</f>
        <v>7.8836849421060924</v>
      </c>
      <c r="E42" s="42">
        <f t="shared" si="6"/>
        <v>12.01350298383305</v>
      </c>
    </row>
    <row r="43" spans="1:5" x14ac:dyDescent="0.3">
      <c r="A43" s="15">
        <f t="shared" si="5"/>
        <v>5.3999999999999986</v>
      </c>
      <c r="B43" s="12" t="s">
        <v>48</v>
      </c>
      <c r="C43" s="42">
        <f>'Financial Statements'!B68/'Financial Statements'!B29</f>
        <v>19.591906055900623</v>
      </c>
      <c r="D43" s="42">
        <f>'Financial Statements'!C68/'Financial Statements'!C29</f>
        <v>14.333398763372264</v>
      </c>
      <c r="E43" s="42">
        <f>'Financial Statements'!D68/'Financial Statements'!D29</f>
        <v>13.66462390036572</v>
      </c>
    </row>
    <row r="44" spans="1:5" x14ac:dyDescent="0.3">
      <c r="A44" s="15">
        <f t="shared" si="5"/>
        <v>5.4999999999999982</v>
      </c>
      <c r="B44" s="1" t="s">
        <v>49</v>
      </c>
      <c r="C44" t="s">
        <v>158</v>
      </c>
      <c r="D44" t="s">
        <v>158</v>
      </c>
      <c r="E44" t="s">
        <v>158</v>
      </c>
    </row>
    <row r="45" spans="1:5" x14ac:dyDescent="0.3">
      <c r="A45" s="15"/>
      <c r="B45" s="12" t="s">
        <v>50</v>
      </c>
      <c r="C45" t="s">
        <v>158</v>
      </c>
      <c r="D45" t="s">
        <v>158</v>
      </c>
      <c r="E45" t="s">
        <v>158</v>
      </c>
    </row>
    <row r="46" spans="1:5" x14ac:dyDescent="0.3">
      <c r="A46" s="15">
        <f>+A44+0.1</f>
        <v>5.5999999999999979</v>
      </c>
      <c r="B46" s="1" t="s">
        <v>51</v>
      </c>
      <c r="C46" t="s">
        <v>158</v>
      </c>
      <c r="D46" t="s">
        <v>158</v>
      </c>
      <c r="E46" t="s">
        <v>158</v>
      </c>
    </row>
    <row r="47" spans="1:5" x14ac:dyDescent="0.3">
      <c r="A47" s="15">
        <f t="shared" ref="A47:A50" si="7">+A45+0.1</f>
        <v>0.1</v>
      </c>
      <c r="B47" s="1" t="s">
        <v>52</v>
      </c>
      <c r="C47" s="33">
        <f>'Financial Statements'!B25/'Financial Statements'!B68</f>
        <v>0.15071207430340558</v>
      </c>
      <c r="D47" s="33">
        <f>'Financial Statements'!C25/'Financial Statements'!C68</f>
        <v>-1.8638346240490815E-2</v>
      </c>
      <c r="E47" s="33">
        <f>'Financial Statements'!D25/'Financial Statements'!D68</f>
        <v>0.2413396506202756</v>
      </c>
    </row>
    <row r="48" spans="1:5" x14ac:dyDescent="0.3">
      <c r="A48" s="15">
        <f t="shared" si="7"/>
        <v>5.6999999999999975</v>
      </c>
      <c r="B48" s="1" t="s">
        <v>53</v>
      </c>
      <c r="C48" s="33">
        <f>'Financial Statements'!B17/('Financial Statements'!B47-'Financial Statements'!B53)</f>
        <v>0.10153828350374858</v>
      </c>
      <c r="D48" s="33">
        <f>'Financial Statements'!C17/('Financial Statements'!C47-'Financial Statements'!C53)</f>
        <v>3.985915217943127E-2</v>
      </c>
      <c r="E48" s="33">
        <f>'Financial Statements'!D17/('Financial Statements'!D47-'Financial Statements'!D53)</f>
        <v>8.9401796013410806E-2</v>
      </c>
    </row>
    <row r="49" spans="1:5" x14ac:dyDescent="0.3">
      <c r="A49" s="15">
        <f t="shared" si="7"/>
        <v>0.2</v>
      </c>
      <c r="B49" s="1" t="s">
        <v>43</v>
      </c>
      <c r="C49" s="33">
        <f>'Financial Statements'!B25/'Financial Statements'!B47</f>
        <v>5.7639044129626754E-2</v>
      </c>
      <c r="D49" s="33">
        <f>'Financial Statements'!C25/'Financial Statements'!C47</f>
        <v>-5.8831793375479545E-3</v>
      </c>
      <c r="E49" s="33">
        <f>'Financial Statements'!D25/'Financial Statements'!D47</f>
        <v>7.9334393851846041E-2</v>
      </c>
    </row>
    <row r="50" spans="1:5" x14ac:dyDescent="0.3">
      <c r="A50" s="15">
        <f t="shared" si="7"/>
        <v>5.7999999999999972</v>
      </c>
      <c r="B50" s="1" t="s">
        <v>54</v>
      </c>
      <c r="C50" s="42">
        <f>C51/C19</f>
        <v>15.141046846130457</v>
      </c>
      <c r="D50" s="42">
        <f t="shared" ref="D50:E50" si="8">D51/D19</f>
        <v>21.492994147944398</v>
      </c>
      <c r="E50" s="42">
        <f t="shared" si="8"/>
        <v>28.527291610466683</v>
      </c>
    </row>
    <row r="51" spans="1:5" x14ac:dyDescent="0.3">
      <c r="A51" s="15"/>
      <c r="B51" s="12" t="s">
        <v>55</v>
      </c>
      <c r="C51">
        <f>(C56*'Financial Statements'!B29)+'Financial Statements'!B56-'Financial Statements'!B35</f>
        <v>1294771.48</v>
      </c>
      <c r="D51">
        <f>(D56*'Financial Statements'!C29)+'Financial Statements'!C56-'Financial Statements'!C113</f>
        <v>1164254</v>
      </c>
      <c r="E51">
        <f>(E56*'Financial Statements'!D29)+'Financial Statements'!D56-'Financial Statements'!D113</f>
        <v>1692010.72</v>
      </c>
    </row>
    <row r="56" spans="1:5" x14ac:dyDescent="0.3">
      <c r="B56" t="s">
        <v>157</v>
      </c>
      <c r="C56">
        <v>127.12</v>
      </c>
      <c r="D56">
        <v>113</v>
      </c>
      <c r="E56">
        <v>164.16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A5EB-FEAD-4A7D-B7DD-4F81301FEA20}">
  <dimension ref="A1:J36"/>
  <sheetViews>
    <sheetView topLeftCell="A22" workbookViewId="0">
      <selection activeCell="W34" sqref="W34"/>
    </sheetView>
  </sheetViews>
  <sheetFormatPr defaultRowHeight="14.4" x14ac:dyDescent="0.3"/>
  <cols>
    <col min="1" max="1" width="33.6640625" bestFit="1" customWidth="1"/>
    <col min="2" max="2" width="13.44140625" customWidth="1"/>
    <col min="3" max="3" width="13.109375" customWidth="1"/>
  </cols>
  <sheetData>
    <row r="1" spans="1:10" x14ac:dyDescent="0.3">
      <c r="A1" s="41" t="s">
        <v>159</v>
      </c>
      <c r="B1" s="41"/>
      <c r="C1" s="41"/>
    </row>
    <row r="2" spans="1:10" x14ac:dyDescent="0.3">
      <c r="A2" s="17"/>
      <c r="B2" s="17">
        <v>2023</v>
      </c>
      <c r="C2" s="17">
        <v>2022</v>
      </c>
    </row>
    <row r="3" spans="1:10" x14ac:dyDescent="0.3">
      <c r="A3" s="18" t="s">
        <v>160</v>
      </c>
      <c r="B3" s="17"/>
      <c r="C3" s="17"/>
    </row>
    <row r="4" spans="1:10" x14ac:dyDescent="0.3">
      <c r="A4" s="34" t="s">
        <v>161</v>
      </c>
      <c r="B4" s="35">
        <f>('Financial Statements'!B5-'Financial Statements'!C5)/'Financial Statements'!C5</f>
        <v>5.3462110077768306E-2</v>
      </c>
      <c r="C4" s="35">
        <f>('Financial Statements'!C5-'Financial Statements'!D5)/'Financial Statements'!D5</f>
        <v>4.6073610243726913E-3</v>
      </c>
    </row>
    <row r="5" spans="1:10" x14ac:dyDescent="0.3">
      <c r="A5" s="34" t="s">
        <v>162</v>
      </c>
      <c r="B5" s="35">
        <f>('Financial Statements'!B6-'Financial Statements'!C6)/'Financial Statements'!C6</f>
        <v>0.1763894319799913</v>
      </c>
      <c r="C5" s="35">
        <f>('Financial Statements'!C6-'Financial Statements'!D6)/'Financial Statements'!D6</f>
        <v>0.18877365316727696</v>
      </c>
      <c r="H5">
        <v>2023</v>
      </c>
      <c r="I5">
        <v>2022</v>
      </c>
      <c r="J5">
        <v>2021</v>
      </c>
    </row>
    <row r="6" spans="1:10" x14ac:dyDescent="0.3">
      <c r="A6" s="36" t="s">
        <v>163</v>
      </c>
      <c r="B6" s="35">
        <f>('Financial Statements'!B7-'Financial Statements'!C7)/'Financial Statements'!C7</f>
        <v>0.11829574129883673</v>
      </c>
      <c r="C6" s="35">
        <f>('Financial Statements'!C7-'Financial Statements'!D7)/'Financial Statements'!D7</f>
        <v>9.3995172639850841E-2</v>
      </c>
    </row>
    <row r="7" spans="1:10" x14ac:dyDescent="0.3">
      <c r="A7" s="17"/>
      <c r="B7" s="17"/>
      <c r="C7" s="17"/>
    </row>
    <row r="8" spans="1:10" x14ac:dyDescent="0.3">
      <c r="A8" s="17" t="s">
        <v>164</v>
      </c>
      <c r="B8" s="35">
        <f>('Financial Statements'!B9-'Financial Statements'!C9)/'Financial Statements'!C9</f>
        <v>0.19939418703808984</v>
      </c>
      <c r="C8" s="35">
        <f>('Financial Statements'!C9-'Financial Statements'!D9)/'Financial Statements'!D9</f>
        <v>0.14013712919920193</v>
      </c>
    </row>
    <row r="9" spans="1:10" x14ac:dyDescent="0.3">
      <c r="A9" s="17"/>
      <c r="B9" s="17"/>
      <c r="C9" s="17"/>
    </row>
    <row r="10" spans="1:10" x14ac:dyDescent="0.3">
      <c r="A10" s="18"/>
      <c r="B10" s="17"/>
      <c r="C10" s="17"/>
      <c r="H10" t="s">
        <v>179</v>
      </c>
      <c r="I10" t="s">
        <v>16</v>
      </c>
      <c r="J10" t="s">
        <v>17</v>
      </c>
    </row>
    <row r="11" spans="1:10" x14ac:dyDescent="0.3">
      <c r="A11" s="34"/>
      <c r="B11" s="35"/>
      <c r="C11" s="35"/>
      <c r="G11">
        <v>2023</v>
      </c>
      <c r="H11">
        <v>1.04</v>
      </c>
      <c r="I11">
        <v>0.84</v>
      </c>
      <c r="J11">
        <v>0.53</v>
      </c>
    </row>
    <row r="12" spans="1:10" x14ac:dyDescent="0.3">
      <c r="A12" s="34"/>
      <c r="B12" s="35"/>
      <c r="C12" s="35"/>
      <c r="G12">
        <v>2022</v>
      </c>
      <c r="H12">
        <v>0.94</v>
      </c>
      <c r="I12">
        <v>0.72</v>
      </c>
      <c r="J12">
        <v>0.45</v>
      </c>
    </row>
    <row r="13" spans="1:10" x14ac:dyDescent="0.3">
      <c r="A13" s="36"/>
      <c r="B13" s="35"/>
      <c r="C13" s="35"/>
      <c r="G13">
        <v>2021</v>
      </c>
      <c r="H13">
        <v>1.1399999999999999</v>
      </c>
      <c r="I13">
        <v>0.91</v>
      </c>
      <c r="J13">
        <v>0.68</v>
      </c>
    </row>
    <row r="14" spans="1:10" x14ac:dyDescent="0.3">
      <c r="A14" s="17"/>
      <c r="B14" s="17"/>
      <c r="C14" s="17"/>
    </row>
    <row r="15" spans="1:10" x14ac:dyDescent="0.3">
      <c r="A15" s="18" t="s">
        <v>165</v>
      </c>
      <c r="B15" s="17"/>
      <c r="C15" s="17"/>
      <c r="H15" t="s">
        <v>156</v>
      </c>
      <c r="I15" t="s">
        <v>180</v>
      </c>
      <c r="J15" t="s">
        <v>181</v>
      </c>
    </row>
    <row r="16" spans="1:10" x14ac:dyDescent="0.3">
      <c r="A16" s="17" t="s">
        <v>166</v>
      </c>
      <c r="B16" s="35">
        <f>('Financial Statements'!B39-'Financial Statements'!C39)/'Financial Statements'!C39</f>
        <v>0.17412511666246569</v>
      </c>
      <c r="C16" s="35">
        <f>('Financial Statements'!C39-'Financial Statements'!D39)/'Financial Statements'!D39</f>
        <v>-9.1527416759499935E-2</v>
      </c>
      <c r="H16" s="43">
        <v>0.4698</v>
      </c>
      <c r="I16" s="43">
        <v>0.14879999999999999</v>
      </c>
      <c r="J16" s="43">
        <v>5.2900000000000003E-2</v>
      </c>
    </row>
    <row r="17" spans="1:10" x14ac:dyDescent="0.3">
      <c r="A17" s="17" t="s">
        <v>167</v>
      </c>
      <c r="B17" s="35">
        <f>('Financial Statements'!B46-'Financial Statements'!C46)/'Financial Statements'!C46</f>
        <v>0.1254226234947006</v>
      </c>
      <c r="C17" s="35">
        <f>('Financial Statements'!C46-'Financial Statements'!D46)/'Financial Statements'!D46</f>
        <v>0.21977533990554854</v>
      </c>
      <c r="H17" s="43">
        <v>0.43809999999999999</v>
      </c>
      <c r="I17" s="43">
        <v>0.10539999999999999</v>
      </c>
      <c r="J17" s="43">
        <v>-5.3E-3</v>
      </c>
    </row>
    <row r="18" spans="1:10" x14ac:dyDescent="0.3">
      <c r="A18" s="17" t="s">
        <v>168</v>
      </c>
      <c r="B18" s="35">
        <f>('Financial Statements'!B47-'Financial Statements'!C47)/'Financial Statements'!C47</f>
        <v>0.14087426379207868</v>
      </c>
      <c r="C18" s="35">
        <f>('Financial Statements'!C47-'Financial Statements'!D47)/'Financial Statements'!D47</f>
        <v>0.10016906472254125</v>
      </c>
      <c r="H18" s="43">
        <v>0.42030000000000001</v>
      </c>
      <c r="I18" s="43">
        <v>0.12620000000000001</v>
      </c>
      <c r="J18" s="43">
        <v>7.0999999999999994E-2</v>
      </c>
    </row>
    <row r="19" spans="1:10" x14ac:dyDescent="0.3">
      <c r="A19" s="17" t="s">
        <v>169</v>
      </c>
      <c r="B19" s="35">
        <f>('Financial Statements'!B53-'Financial Statements'!C53)/'Financial Statements'!C53</f>
        <v>6.1289762087095301E-2</v>
      </c>
      <c r="C19" s="35">
        <f>('Financial Statements'!C53-'Financial Statements'!D53)/'Financial Statements'!D53</f>
        <v>9.2270816639253225E-2</v>
      </c>
    </row>
    <row r="20" spans="1:10" x14ac:dyDescent="0.3">
      <c r="A20" s="29" t="s">
        <v>170</v>
      </c>
      <c r="B20" s="35">
        <f>('Financial Statements'!B59-'Financial Statements'!C59)/'Financial Statements'!C59</f>
        <v>-1.0977493038284783E-3</v>
      </c>
      <c r="C20" s="35">
        <f>('Financial Statements'!C59-'Financial Statements'!D59)/'Financial Statements'!D59</f>
        <v>-1.8403526074198536E-2</v>
      </c>
    </row>
    <row r="21" spans="1:10" x14ac:dyDescent="0.3">
      <c r="A21" s="17" t="s">
        <v>171</v>
      </c>
      <c r="B21" s="35">
        <f>('Financial Statements'!B60-'Financial Statements'!C60)/'Financial Statements'!C60</f>
        <v>2.9520073776497638E-2</v>
      </c>
      <c r="C21" s="35">
        <f>('Financial Statements'!C60-'Financial Statements'!D60)/'Financial Statements'!D60</f>
        <v>3.2962730974005636E-2</v>
      </c>
      <c r="H21" t="s">
        <v>182</v>
      </c>
      <c r="I21" t="s">
        <v>183</v>
      </c>
      <c r="J21" t="s">
        <v>184</v>
      </c>
    </row>
    <row r="22" spans="1:10" x14ac:dyDescent="0.3">
      <c r="A22" s="17" t="s">
        <v>172</v>
      </c>
      <c r="B22" s="35">
        <f>('Financial Statements'!B68-'Financial Statements'!C68)/'Financial Statements'!C68</f>
        <v>0.38229836418041263</v>
      </c>
      <c r="C22" s="35">
        <f>('Financial Statements'!C68-'Financial Statements'!D68)/'Financial Statements'!D68</f>
        <v>5.6407103331042714E-2</v>
      </c>
      <c r="G22">
        <v>2023</v>
      </c>
      <c r="H22">
        <v>1.61</v>
      </c>
      <c r="I22">
        <v>0.62</v>
      </c>
      <c r="J22">
        <v>12.5</v>
      </c>
    </row>
    <row r="23" spans="1:10" x14ac:dyDescent="0.3">
      <c r="A23" s="17" t="s">
        <v>173</v>
      </c>
      <c r="B23" s="35">
        <f>('Financial Statements'!B69-'Financial Statements'!C69)/'Financial Statements'!C69</f>
        <v>0.14087426379207868</v>
      </c>
      <c r="C23" s="35">
        <f>('Financial Statements'!C69-'Financial Statements'!D69)/'Financial Statements'!D69</f>
        <v>0.10016906472254125</v>
      </c>
      <c r="G23">
        <v>2022</v>
      </c>
      <c r="H23">
        <v>2.17</v>
      </c>
      <c r="I23">
        <v>0.68</v>
      </c>
      <c r="J23">
        <v>12.38</v>
      </c>
    </row>
    <row r="24" spans="1:10" x14ac:dyDescent="0.3">
      <c r="G24">
        <v>2021</v>
      </c>
      <c r="H24">
        <v>2.2200000000000002</v>
      </c>
      <c r="I24">
        <v>0.73</v>
      </c>
      <c r="J24">
        <v>55.53</v>
      </c>
    </row>
    <row r="26" spans="1:10" x14ac:dyDescent="0.3">
      <c r="A26" s="41" t="s">
        <v>174</v>
      </c>
      <c r="B26" s="41"/>
      <c r="C26" s="41"/>
      <c r="D26" s="41"/>
    </row>
    <row r="27" spans="1:10" x14ac:dyDescent="0.3">
      <c r="A27" s="17"/>
      <c r="B27" s="18">
        <v>2023</v>
      </c>
      <c r="C27" s="18">
        <v>2022</v>
      </c>
      <c r="D27" s="18">
        <v>2021</v>
      </c>
      <c r="H27" t="s">
        <v>185</v>
      </c>
      <c r="I27" t="s">
        <v>186</v>
      </c>
      <c r="J27" t="s">
        <v>187</v>
      </c>
    </row>
    <row r="28" spans="1:10" x14ac:dyDescent="0.3">
      <c r="A28" s="19" t="s">
        <v>175</v>
      </c>
      <c r="B28" s="37">
        <f>'Financial Statements'!B8/'Financial Statements'!B7</f>
        <v>0.53017911044999433</v>
      </c>
      <c r="C28" s="37">
        <f>'Financial Statements'!C8/'Financial Statements'!C7</f>
        <v>0.56194660134673713</v>
      </c>
      <c r="D28" s="37">
        <f>'Financial Statements'!D8/'Financial Statements'!D7</f>
        <v>0.57967485558360399</v>
      </c>
      <c r="G28">
        <v>2023</v>
      </c>
      <c r="H28">
        <v>1.0900000000000001</v>
      </c>
      <c r="I28">
        <v>2.82</v>
      </c>
      <c r="J28">
        <v>9.1999999999999993</v>
      </c>
    </row>
    <row r="29" spans="1:10" x14ac:dyDescent="0.3">
      <c r="A29" s="19" t="s">
        <v>176</v>
      </c>
      <c r="B29" s="37">
        <f>'Financial Statements'!B9/'Financial Statements'!B7</f>
        <v>0.46982088955000567</v>
      </c>
      <c r="C29" s="37">
        <f>'Financial Statements'!C9/'Financial Statements'!C7</f>
        <v>0.43805339865326287</v>
      </c>
      <c r="D29" s="37">
        <f>'Financial Statements'!D9/'Financial Statements'!D7</f>
        <v>0.42032514441639601</v>
      </c>
      <c r="G29">
        <v>2022</v>
      </c>
      <c r="H29">
        <v>1.1100000000000001</v>
      </c>
      <c r="I29">
        <v>2.75</v>
      </c>
      <c r="J29">
        <v>8.4</v>
      </c>
    </row>
    <row r="30" spans="1:10" x14ac:dyDescent="0.3">
      <c r="A30" s="19" t="s">
        <v>105</v>
      </c>
      <c r="B30" s="37">
        <f>'Financial Statements'!B16/'Financial Statements'!B7</f>
        <v>0.9358855920039667</v>
      </c>
      <c r="C30" s="37">
        <f>'Financial Statements'!C16/'Financial Statements'!C7</f>
        <v>0.97617041808775773</v>
      </c>
      <c r="D30" s="37">
        <f>'Financial Statements'!D16/'Financial Statements'!D7</f>
        <v>0.94704590249073051</v>
      </c>
      <c r="G30">
        <v>2021</v>
      </c>
      <c r="H30">
        <v>1.1200000000000001</v>
      </c>
      <c r="I30">
        <v>2.93</v>
      </c>
      <c r="J30">
        <v>8.34</v>
      </c>
    </row>
    <row r="31" spans="1:10" x14ac:dyDescent="0.3">
      <c r="A31" s="34"/>
      <c r="B31" s="37"/>
      <c r="C31" s="37"/>
      <c r="D31" s="37"/>
    </row>
    <row r="32" spans="1:10" x14ac:dyDescent="0.3">
      <c r="A32" s="34"/>
      <c r="B32" s="37"/>
      <c r="C32" s="37"/>
      <c r="D32" s="37"/>
    </row>
    <row r="33" spans="1:10" x14ac:dyDescent="0.3">
      <c r="A33" s="36"/>
      <c r="B33" s="37"/>
      <c r="C33" s="37"/>
      <c r="D33" s="37"/>
      <c r="H33" t="s">
        <v>188</v>
      </c>
      <c r="I33" t="s">
        <v>189</v>
      </c>
      <c r="J33" s="1" t="s">
        <v>190</v>
      </c>
    </row>
    <row r="34" spans="1:10" x14ac:dyDescent="0.3">
      <c r="A34" s="19" t="s">
        <v>177</v>
      </c>
      <c r="B34" s="37">
        <f>'Financial Statements'!B17/'Financial Statements'!B7</f>
        <v>6.4114407996033296E-2</v>
      </c>
      <c r="C34" s="37">
        <f>'Financial Statements'!C17/'Financial Statements'!C7</f>
        <v>2.3829581912242232E-2</v>
      </c>
      <c r="D34" s="37">
        <f>'Financial Statements'!D17/'Financial Statements'!D7</f>
        <v>5.2954097509269465E-2</v>
      </c>
      <c r="G34">
        <v>2023</v>
      </c>
      <c r="H34">
        <v>43.05</v>
      </c>
      <c r="I34">
        <v>6.49</v>
      </c>
      <c r="J34">
        <v>15.14</v>
      </c>
    </row>
    <row r="35" spans="1:10" x14ac:dyDescent="0.3">
      <c r="A35" s="19" t="s">
        <v>178</v>
      </c>
      <c r="B35" s="37">
        <f>'Financial Statements'!B25/'Financial Statements'!B7</f>
        <v>5.2932835755978319E-2</v>
      </c>
      <c r="C35" s="37">
        <f>'Financial Statements'!C25/'Financial Statements'!C7</f>
        <v>-5.2958950004183018E-3</v>
      </c>
      <c r="D35" s="37">
        <f>'Financial Statements'!D25/'Financial Statements'!D7</f>
        <v>7.1014128755145567E-2</v>
      </c>
      <c r="G35">
        <v>2022</v>
      </c>
      <c r="H35">
        <v>-422.98</v>
      </c>
      <c r="I35">
        <v>7.88</v>
      </c>
      <c r="J35">
        <v>21.49</v>
      </c>
    </row>
    <row r="36" spans="1:10" x14ac:dyDescent="0.3">
      <c r="G36">
        <v>2021</v>
      </c>
      <c r="H36">
        <v>49.78</v>
      </c>
      <c r="I36">
        <v>12.01</v>
      </c>
      <c r="J36">
        <v>28.53</v>
      </c>
    </row>
  </sheetData>
  <mergeCells count="2">
    <mergeCell ref="A1:C1"/>
    <mergeCell ref="A26:D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2020-05-19T16:15:53Z</dcterms:created>
  <dcterms:modified xsi:type="dcterms:W3CDTF">2024-11-04T08:21:06Z</dcterms:modified>
</cp:coreProperties>
</file>