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66925"/>
  <mc:AlternateContent xmlns:mc="http://schemas.openxmlformats.org/markup-compatibility/2006">
    <mc:Choice Requires="x15">
      <x15ac:absPath xmlns:x15ac="http://schemas.microsoft.com/office/spreadsheetml/2010/11/ac" url="C:\Users\varun\OneDrive\Desktop\Quill Capital Program\"/>
    </mc:Choice>
  </mc:AlternateContent>
  <xr:revisionPtr revIDLastSave="0" documentId="13_ncr:1_{816B2A0D-C8EE-47D4-B449-FF08A63BD076}" xr6:coauthVersionLast="47" xr6:coauthVersionMax="47" xr10:uidLastSave="{00000000-0000-0000-0000-000000000000}"/>
  <bookViews>
    <workbookView xWindow="-120" yWindow="-16320" windowWidth="29040" windowHeight="1572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8" i="3" l="1"/>
  <c r="M68" i="3" s="1"/>
  <c r="N68" i="3" s="1"/>
  <c r="O68" i="3" s="1"/>
  <c r="K68" i="3"/>
  <c r="L69" i="3"/>
  <c r="M69" i="3"/>
  <c r="N69" i="3"/>
  <c r="O69" i="3"/>
  <c r="K69" i="3"/>
  <c r="L65" i="3"/>
  <c r="M65" i="3" s="1"/>
  <c r="N65" i="3" s="1"/>
  <c r="O65" i="3" s="1"/>
  <c r="K65" i="3"/>
  <c r="K62" i="3"/>
  <c r="L66" i="3"/>
  <c r="M66" i="3"/>
  <c r="N66" i="3"/>
  <c r="O66" i="3"/>
  <c r="K66" i="3"/>
  <c r="L62" i="3"/>
  <c r="M62" i="3" s="1"/>
  <c r="N62" i="3" s="1"/>
  <c r="O62" i="3" s="1"/>
  <c r="L63" i="3"/>
  <c r="M63" i="3"/>
  <c r="N63" i="3"/>
  <c r="O63" i="3"/>
  <c r="K63" i="3"/>
  <c r="L59" i="3"/>
  <c r="M59" i="3" s="1"/>
  <c r="N59" i="3" s="1"/>
  <c r="O59" i="3" s="1"/>
  <c r="K59" i="3"/>
  <c r="L60" i="3"/>
  <c r="M60" i="3"/>
  <c r="N60" i="3"/>
  <c r="O60" i="3"/>
  <c r="K60" i="3"/>
  <c r="C60" i="3"/>
  <c r="L55" i="3"/>
  <c r="M55" i="3" s="1"/>
  <c r="N55" i="3" s="1"/>
  <c r="O55" i="3" s="1"/>
  <c r="K55" i="3"/>
  <c r="L56" i="3"/>
  <c r="M56" i="3"/>
  <c r="N56" i="3"/>
  <c r="O56" i="3"/>
  <c r="K56" i="3"/>
  <c r="L51" i="3"/>
  <c r="M51" i="3" s="1"/>
  <c r="N51" i="3" s="1"/>
  <c r="O51" i="3" s="1"/>
  <c r="K51" i="3"/>
  <c r="L52" i="3"/>
  <c r="M52" i="3"/>
  <c r="N52" i="3"/>
  <c r="O52" i="3"/>
  <c r="K52" i="3"/>
  <c r="L47" i="3"/>
  <c r="M47" i="3" s="1"/>
  <c r="N47" i="3" s="1"/>
  <c r="O47" i="3" s="1"/>
  <c r="K47" i="3"/>
  <c r="L48" i="3"/>
  <c r="M48" i="3"/>
  <c r="N48" i="3"/>
  <c r="O48" i="3"/>
  <c r="K48" i="3"/>
  <c r="L45" i="3"/>
  <c r="M45" i="3" s="1"/>
  <c r="N45" i="3" s="1"/>
  <c r="O45" i="3" s="1"/>
  <c r="K45" i="3"/>
  <c r="L46" i="3"/>
  <c r="M46" i="3"/>
  <c r="N46" i="3"/>
  <c r="O46" i="3"/>
  <c r="K46" i="3"/>
  <c r="L41" i="3"/>
  <c r="M41" i="3"/>
  <c r="N41" i="3"/>
  <c r="O41" i="3"/>
  <c r="K41" i="3"/>
  <c r="L42" i="3"/>
  <c r="M42" i="3"/>
  <c r="N42" i="3"/>
  <c r="O42" i="3"/>
  <c r="K42" i="3"/>
  <c r="L38" i="3"/>
  <c r="M38" i="3"/>
  <c r="N38" i="3"/>
  <c r="O38" i="3"/>
  <c r="K38" i="3"/>
  <c r="L39" i="3"/>
  <c r="M39" i="3"/>
  <c r="N39" i="3"/>
  <c r="O39" i="3"/>
  <c r="K39" i="3"/>
  <c r="L35" i="3"/>
  <c r="M35" i="3" s="1"/>
  <c r="N35" i="3" s="1"/>
  <c r="O35" i="3" s="1"/>
  <c r="K35" i="3"/>
  <c r="L36" i="3"/>
  <c r="M36" i="3"/>
  <c r="N36" i="3"/>
  <c r="O36" i="3"/>
  <c r="K36" i="3"/>
  <c r="K13" i="3"/>
  <c r="L32" i="3"/>
  <c r="M32" i="3" s="1"/>
  <c r="N32" i="3" s="1"/>
  <c r="O32" i="3" s="1"/>
  <c r="K32" i="3"/>
  <c r="L33" i="3"/>
  <c r="M33" i="3" s="1"/>
  <c r="K33" i="3"/>
  <c r="L28" i="3"/>
  <c r="M28" i="3" s="1"/>
  <c r="N28" i="3" s="1"/>
  <c r="O28" i="3" s="1"/>
  <c r="K28" i="3"/>
  <c r="L29" i="3"/>
  <c r="M29" i="3"/>
  <c r="N29" i="3"/>
  <c r="O29" i="3"/>
  <c r="K29" i="3"/>
  <c r="B59" i="3"/>
  <c r="C63" i="3"/>
  <c r="C66" i="3"/>
  <c r="B68" i="3"/>
  <c r="C69" i="3" s="1"/>
  <c r="B65" i="3"/>
  <c r="B62" i="3"/>
  <c r="C33" i="3"/>
  <c r="B32" i="3"/>
  <c r="C36" i="3"/>
  <c r="C39" i="3"/>
  <c r="B41" i="3"/>
  <c r="C42" i="3" s="1"/>
  <c r="B35" i="3"/>
  <c r="B38" i="3"/>
  <c r="B146" i="1"/>
  <c r="B168" i="1"/>
  <c r="B135" i="1"/>
  <c r="L24" i="3"/>
  <c r="M24" i="3"/>
  <c r="N24" i="3"/>
  <c r="O24" i="3"/>
  <c r="K24" i="3"/>
  <c r="L25" i="3"/>
  <c r="M25" i="3"/>
  <c r="N25" i="3"/>
  <c r="O25" i="3"/>
  <c r="K25" i="3"/>
  <c r="D70" i="3"/>
  <c r="E70" i="3"/>
  <c r="F70" i="3"/>
  <c r="G70" i="3"/>
  <c r="H70" i="3"/>
  <c r="I70" i="3"/>
  <c r="J70" i="3"/>
  <c r="C70" i="3"/>
  <c r="D69" i="3"/>
  <c r="E69" i="3"/>
  <c r="F69" i="3"/>
  <c r="G69" i="3"/>
  <c r="H69" i="3"/>
  <c r="I69" i="3"/>
  <c r="J69" i="3"/>
  <c r="D68" i="3"/>
  <c r="E68" i="3"/>
  <c r="F68" i="3"/>
  <c r="G68" i="3"/>
  <c r="H68" i="3"/>
  <c r="I68" i="3"/>
  <c r="J68" i="3"/>
  <c r="C68" i="3"/>
  <c r="D41" i="3"/>
  <c r="E41" i="3"/>
  <c r="F41" i="3"/>
  <c r="G41" i="3"/>
  <c r="H41" i="3"/>
  <c r="I41" i="3"/>
  <c r="J41" i="3"/>
  <c r="C41" i="3"/>
  <c r="D67" i="3"/>
  <c r="E67" i="3"/>
  <c r="F67" i="3"/>
  <c r="G67" i="3"/>
  <c r="H67" i="3"/>
  <c r="I67" i="3"/>
  <c r="J67" i="3"/>
  <c r="C67" i="3"/>
  <c r="D64" i="3"/>
  <c r="E64" i="3"/>
  <c r="F64" i="3"/>
  <c r="G64" i="3"/>
  <c r="H64" i="3"/>
  <c r="I64" i="3"/>
  <c r="J64" i="3"/>
  <c r="C64" i="3"/>
  <c r="D61" i="3"/>
  <c r="E61" i="3"/>
  <c r="F61" i="3"/>
  <c r="G61" i="3"/>
  <c r="H61" i="3"/>
  <c r="I61" i="3"/>
  <c r="J61" i="3"/>
  <c r="C61" i="3"/>
  <c r="C34" i="3"/>
  <c r="D58" i="3"/>
  <c r="E58" i="3"/>
  <c r="F58" i="3"/>
  <c r="G58" i="3"/>
  <c r="H58" i="3"/>
  <c r="I58" i="3"/>
  <c r="J58" i="3"/>
  <c r="C58" i="3"/>
  <c r="D57" i="3"/>
  <c r="E57" i="3"/>
  <c r="F57" i="3"/>
  <c r="G57" i="3"/>
  <c r="H57" i="3"/>
  <c r="I57" i="3"/>
  <c r="J57" i="3"/>
  <c r="C57" i="3"/>
  <c r="J54" i="3"/>
  <c r="I54" i="3"/>
  <c r="H54" i="3"/>
  <c r="G54" i="3"/>
  <c r="F54" i="3"/>
  <c r="E54" i="3"/>
  <c r="D54" i="3"/>
  <c r="C54" i="3"/>
  <c r="D53" i="3"/>
  <c r="E53" i="3"/>
  <c r="F53" i="3"/>
  <c r="G53" i="3"/>
  <c r="H53" i="3"/>
  <c r="I53" i="3"/>
  <c r="J53" i="3"/>
  <c r="C53" i="3"/>
  <c r="J50" i="3"/>
  <c r="I50" i="3"/>
  <c r="H50" i="3"/>
  <c r="G50" i="3"/>
  <c r="F50" i="3"/>
  <c r="E50" i="3"/>
  <c r="D50" i="3"/>
  <c r="C50" i="3"/>
  <c r="D49" i="3"/>
  <c r="E49" i="3"/>
  <c r="F49" i="3"/>
  <c r="G49" i="3"/>
  <c r="H49" i="3"/>
  <c r="I49" i="3"/>
  <c r="J49" i="3"/>
  <c r="C49" i="3"/>
  <c r="C27" i="3"/>
  <c r="L20" i="3"/>
  <c r="M20" i="3" s="1"/>
  <c r="N20" i="3" s="1"/>
  <c r="O20" i="3" s="1"/>
  <c r="K20" i="3"/>
  <c r="L21" i="3"/>
  <c r="M21" i="3"/>
  <c r="N21" i="3"/>
  <c r="O21" i="3"/>
  <c r="K21" i="3"/>
  <c r="L18" i="3"/>
  <c r="M18" i="3" s="1"/>
  <c r="N18" i="3" s="1"/>
  <c r="O18" i="3" s="1"/>
  <c r="K18" i="3"/>
  <c r="L19" i="3"/>
  <c r="M19" i="3"/>
  <c r="N19" i="3"/>
  <c r="O19" i="3"/>
  <c r="K19" i="3"/>
  <c r="J66" i="3"/>
  <c r="I66" i="3"/>
  <c r="H66" i="3"/>
  <c r="G66" i="3"/>
  <c r="F66" i="3"/>
  <c r="E66" i="3"/>
  <c r="D66" i="3"/>
  <c r="D60" i="3"/>
  <c r="D63" i="3"/>
  <c r="E63" i="3"/>
  <c r="F63" i="3"/>
  <c r="G63" i="3"/>
  <c r="H63" i="3"/>
  <c r="I63" i="3"/>
  <c r="J63" i="3"/>
  <c r="E60" i="3"/>
  <c r="F60" i="3"/>
  <c r="G60" i="3"/>
  <c r="H60" i="3"/>
  <c r="I60" i="3"/>
  <c r="J60" i="3"/>
  <c r="J56" i="3"/>
  <c r="I56" i="3"/>
  <c r="H56" i="3"/>
  <c r="G56" i="3"/>
  <c r="F56" i="3"/>
  <c r="E56" i="3"/>
  <c r="D56" i="3"/>
  <c r="C56" i="3"/>
  <c r="C52" i="3"/>
  <c r="D59" i="3"/>
  <c r="E59" i="3"/>
  <c r="F59" i="3"/>
  <c r="G59" i="3"/>
  <c r="H59" i="3"/>
  <c r="I59" i="3"/>
  <c r="J59" i="3"/>
  <c r="C59" i="3"/>
  <c r="D62" i="3"/>
  <c r="E62" i="3"/>
  <c r="F62" i="3"/>
  <c r="G62" i="3"/>
  <c r="H62" i="3"/>
  <c r="I62" i="3"/>
  <c r="J62" i="3"/>
  <c r="C62" i="3"/>
  <c r="D65" i="3"/>
  <c r="E65" i="3"/>
  <c r="F65" i="3"/>
  <c r="G65" i="3"/>
  <c r="H65" i="3"/>
  <c r="I65" i="3"/>
  <c r="J65" i="3"/>
  <c r="C65" i="3"/>
  <c r="C55" i="3"/>
  <c r="D55" i="3"/>
  <c r="E55" i="3"/>
  <c r="F55" i="3"/>
  <c r="G55" i="3"/>
  <c r="H55" i="3"/>
  <c r="I55" i="3"/>
  <c r="J55" i="3"/>
  <c r="B55" i="3"/>
  <c r="C32" i="3"/>
  <c r="J52" i="3"/>
  <c r="I52" i="3"/>
  <c r="H52" i="3"/>
  <c r="G52" i="3"/>
  <c r="F52" i="3"/>
  <c r="E52" i="3"/>
  <c r="D52" i="3"/>
  <c r="C51" i="3"/>
  <c r="D51" i="3"/>
  <c r="E51" i="3"/>
  <c r="F51" i="3"/>
  <c r="G51" i="3"/>
  <c r="H51" i="3"/>
  <c r="I51" i="3"/>
  <c r="J51" i="3"/>
  <c r="B51" i="3"/>
  <c r="C22" i="3"/>
  <c r="J48" i="3"/>
  <c r="I48" i="3"/>
  <c r="H48" i="3"/>
  <c r="G48" i="3"/>
  <c r="F48" i="3"/>
  <c r="E48" i="3"/>
  <c r="D48" i="3"/>
  <c r="C48" i="3"/>
  <c r="J46" i="3"/>
  <c r="I46" i="3"/>
  <c r="H46" i="3"/>
  <c r="G46" i="3"/>
  <c r="F46" i="3"/>
  <c r="E46" i="3"/>
  <c r="D46" i="3"/>
  <c r="C46" i="3"/>
  <c r="C29" i="3"/>
  <c r="C25" i="3"/>
  <c r="B28" i="3"/>
  <c r="B24" i="3"/>
  <c r="B20" i="3"/>
  <c r="C21" i="3" s="1"/>
  <c r="C19" i="3"/>
  <c r="B18" i="3"/>
  <c r="C47" i="3"/>
  <c r="D47" i="3"/>
  <c r="E47" i="3"/>
  <c r="F47" i="3"/>
  <c r="G47" i="3"/>
  <c r="H47" i="3"/>
  <c r="I47" i="3"/>
  <c r="J47" i="3"/>
  <c r="B47" i="3"/>
  <c r="J45" i="3"/>
  <c r="B45" i="3"/>
  <c r="C45" i="3"/>
  <c r="D45" i="3"/>
  <c r="E45" i="3"/>
  <c r="F45" i="3"/>
  <c r="G45" i="3"/>
  <c r="H45" i="3"/>
  <c r="I45" i="3"/>
  <c r="L16" i="3"/>
  <c r="M16" i="3"/>
  <c r="N16" i="3"/>
  <c r="O16" i="3"/>
  <c r="J23" i="3"/>
  <c r="K16" i="3"/>
  <c r="L13" i="3"/>
  <c r="M13" i="3"/>
  <c r="N13" i="3"/>
  <c r="O13" i="3"/>
  <c r="L10" i="3"/>
  <c r="M10" i="3"/>
  <c r="N10" i="3"/>
  <c r="O10" i="3"/>
  <c r="K10" i="3"/>
  <c r="L7" i="3"/>
  <c r="M7" i="3"/>
  <c r="N7" i="3"/>
  <c r="O7" i="3"/>
  <c r="K7" i="3"/>
  <c r="J7" i="3"/>
  <c r="L15" i="3"/>
  <c r="M15" i="3"/>
  <c r="N15" i="3"/>
  <c r="O15" i="3"/>
  <c r="L14" i="3"/>
  <c r="M14" i="3" s="1"/>
  <c r="N14" i="3" s="1"/>
  <c r="K14" i="3"/>
  <c r="K15" i="3"/>
  <c r="L11" i="3"/>
  <c r="M11" i="3" s="1"/>
  <c r="N11" i="3" s="1"/>
  <c r="O11" i="3" s="1"/>
  <c r="K11" i="3"/>
  <c r="L12" i="3"/>
  <c r="M12" i="3"/>
  <c r="N12" i="3"/>
  <c r="O12" i="3"/>
  <c r="K12" i="3"/>
  <c r="L8" i="3"/>
  <c r="M8" i="3" s="1"/>
  <c r="N8" i="3" s="1"/>
  <c r="O8" i="3" s="1"/>
  <c r="L9" i="3"/>
  <c r="M9" i="3"/>
  <c r="N9" i="3"/>
  <c r="O9" i="3"/>
  <c r="K9" i="3"/>
  <c r="K8" i="3" s="1"/>
  <c r="O5" i="3"/>
  <c r="L5" i="3"/>
  <c r="M5" i="3"/>
  <c r="N5" i="3" s="1"/>
  <c r="K5" i="3"/>
  <c r="O6" i="3"/>
  <c r="L6" i="3"/>
  <c r="M6" i="3"/>
  <c r="N6" i="3"/>
  <c r="K6" i="3"/>
  <c r="L3" i="3"/>
  <c r="M3" i="3"/>
  <c r="N3" i="3"/>
  <c r="O3" i="3" s="1"/>
  <c r="K3" i="3"/>
  <c r="L4" i="3"/>
  <c r="M4" i="3"/>
  <c r="N4" i="3"/>
  <c r="O4" i="3"/>
  <c r="K4" i="3"/>
  <c r="N33" i="3" l="1"/>
  <c r="O33" i="3" s="1"/>
  <c r="O14" i="3"/>
  <c r="D16" i="3" l="1"/>
  <c r="E16" i="3"/>
  <c r="F16" i="3"/>
  <c r="G16" i="3"/>
  <c r="H16" i="3"/>
  <c r="I16" i="3"/>
  <c r="J16" i="3"/>
  <c r="C16" i="3"/>
  <c r="C13" i="3"/>
  <c r="J15" i="3"/>
  <c r="I15" i="3"/>
  <c r="H15" i="3"/>
  <c r="G15" i="3"/>
  <c r="F15" i="3"/>
  <c r="E15" i="3"/>
  <c r="D15" i="3"/>
  <c r="C15" i="3"/>
  <c r="J14" i="3"/>
  <c r="I14" i="3"/>
  <c r="H14" i="3"/>
  <c r="G14" i="3"/>
  <c r="F14" i="3"/>
  <c r="E14" i="3"/>
  <c r="D14" i="3"/>
  <c r="C14" i="3"/>
  <c r="C4" i="3"/>
  <c r="C6" i="3"/>
  <c r="B5" i="3"/>
  <c r="C12" i="3"/>
  <c r="B11" i="3"/>
  <c r="C143" i="1"/>
  <c r="C142" i="1"/>
  <c r="C11" i="3" s="1"/>
  <c r="C9" i="3"/>
  <c r="D8" i="3"/>
  <c r="E9" i="3" s="1"/>
  <c r="E8" i="3"/>
  <c r="E10" i="3" s="1"/>
  <c r="F8" i="3"/>
  <c r="F10" i="3" s="1"/>
  <c r="G8" i="3"/>
  <c r="H8" i="3"/>
  <c r="I8" i="3"/>
  <c r="I9" i="3" s="1"/>
  <c r="J8" i="3"/>
  <c r="J10" i="3" s="1"/>
  <c r="C8" i="3"/>
  <c r="D11" i="3"/>
  <c r="E11" i="3"/>
  <c r="E13" i="3" s="1"/>
  <c r="F11" i="3"/>
  <c r="F12" i="3" s="1"/>
  <c r="G11" i="3"/>
  <c r="G13" i="3" s="1"/>
  <c r="H11" i="3"/>
  <c r="H12" i="3" s="1"/>
  <c r="I11" i="3"/>
  <c r="I13" i="3" s="1"/>
  <c r="J11" i="3"/>
  <c r="J12" i="3" s="1"/>
  <c r="D3" i="3"/>
  <c r="E3" i="3"/>
  <c r="F3" i="3"/>
  <c r="F4" i="3" s="1"/>
  <c r="G3" i="3"/>
  <c r="G4" i="3" s="1"/>
  <c r="H3" i="3"/>
  <c r="H4" i="3" s="1"/>
  <c r="I3" i="3"/>
  <c r="J3" i="3"/>
  <c r="J4" i="3" s="1"/>
  <c r="C3" i="3"/>
  <c r="E131" i="1"/>
  <c r="D131" i="1"/>
  <c r="C131" i="1"/>
  <c r="B131" i="1"/>
  <c r="C203" i="1" s="1"/>
  <c r="C180" i="1"/>
  <c r="C181" i="1"/>
  <c r="C182" i="1"/>
  <c r="C183" i="1"/>
  <c r="C184" i="1"/>
  <c r="C185" i="1"/>
  <c r="C186" i="1"/>
  <c r="C187" i="1"/>
  <c r="C188" i="1"/>
  <c r="C189" i="1"/>
  <c r="C190" i="1"/>
  <c r="C191" i="1"/>
  <c r="C192" i="1"/>
  <c r="C193" i="1"/>
  <c r="C194" i="1"/>
  <c r="C195" i="1"/>
  <c r="C196" i="1"/>
  <c r="C197" i="1"/>
  <c r="C202" i="1"/>
  <c r="C179" i="1"/>
  <c r="B122" i="1"/>
  <c r="B121" i="1"/>
  <c r="B119" i="1" s="1"/>
  <c r="B120" i="1"/>
  <c r="B115" i="1"/>
  <c r="B114" i="1"/>
  <c r="B111" i="1" s="1"/>
  <c r="B113" i="1"/>
  <c r="B112" i="1"/>
  <c r="B107" i="1"/>
  <c r="B124" i="1" s="1"/>
  <c r="I202" i="1"/>
  <c r="H202" i="1"/>
  <c r="G202" i="1"/>
  <c r="F202" i="1"/>
  <c r="E202" i="1"/>
  <c r="D202" i="1"/>
  <c r="I201" i="1"/>
  <c r="H201" i="1"/>
  <c r="G201" i="1"/>
  <c r="I200" i="1"/>
  <c r="H200" i="1"/>
  <c r="G200" i="1"/>
  <c r="I199" i="1"/>
  <c r="H199" i="1"/>
  <c r="G199" i="1"/>
  <c r="I198" i="1"/>
  <c r="H198" i="1"/>
  <c r="G198" i="1"/>
  <c r="E197" i="1"/>
  <c r="D197" i="1"/>
  <c r="I195" i="1"/>
  <c r="H195" i="1"/>
  <c r="G195" i="1"/>
  <c r="F195" i="1"/>
  <c r="E195" i="1"/>
  <c r="D195" i="1"/>
  <c r="I194" i="1"/>
  <c r="H194" i="1"/>
  <c r="G194" i="1"/>
  <c r="F194" i="1"/>
  <c r="E194" i="1"/>
  <c r="I193" i="1"/>
  <c r="H193" i="1"/>
  <c r="G193" i="1"/>
  <c r="F193" i="1"/>
  <c r="E193" i="1"/>
  <c r="D193" i="1"/>
  <c r="I192" i="1"/>
  <c r="H192" i="1"/>
  <c r="G192" i="1"/>
  <c r="F192" i="1"/>
  <c r="E192" i="1"/>
  <c r="I190" i="1"/>
  <c r="H190" i="1"/>
  <c r="G190" i="1"/>
  <c r="F190" i="1"/>
  <c r="E190" i="1"/>
  <c r="D190" i="1"/>
  <c r="I189" i="1"/>
  <c r="H189" i="1"/>
  <c r="G189" i="1"/>
  <c r="F189" i="1"/>
  <c r="E189" i="1"/>
  <c r="D189" i="1"/>
  <c r="I188" i="1"/>
  <c r="H188" i="1"/>
  <c r="G188" i="1"/>
  <c r="F188" i="1"/>
  <c r="E188" i="1"/>
  <c r="D188" i="1"/>
  <c r="I186" i="1"/>
  <c r="H186" i="1"/>
  <c r="G186" i="1"/>
  <c r="F186" i="1"/>
  <c r="E186" i="1"/>
  <c r="I185" i="1"/>
  <c r="H185" i="1"/>
  <c r="G185" i="1"/>
  <c r="F185" i="1"/>
  <c r="E185" i="1"/>
  <c r="D185" i="1"/>
  <c r="I184" i="1"/>
  <c r="H184" i="1"/>
  <c r="G184" i="1"/>
  <c r="F184" i="1"/>
  <c r="E184" i="1"/>
  <c r="I182" i="1"/>
  <c r="H182" i="1"/>
  <c r="G182" i="1"/>
  <c r="F182" i="1"/>
  <c r="E182" i="1"/>
  <c r="D182" i="1"/>
  <c r="I181" i="1"/>
  <c r="H181" i="1"/>
  <c r="G181" i="1"/>
  <c r="F181" i="1"/>
  <c r="E181" i="1"/>
  <c r="D181" i="1"/>
  <c r="I180" i="1"/>
  <c r="H180" i="1"/>
  <c r="G180" i="1"/>
  <c r="F180" i="1"/>
  <c r="E180" i="1"/>
  <c r="D180" i="1"/>
  <c r="J172" i="1"/>
  <c r="J175" i="1" s="1"/>
  <c r="J176" i="1" s="1"/>
  <c r="I172" i="1"/>
  <c r="I175" i="1" s="1"/>
  <c r="I176" i="1" s="1"/>
  <c r="H172" i="1"/>
  <c r="H175" i="1" s="1"/>
  <c r="H176" i="1" s="1"/>
  <c r="G172" i="1"/>
  <c r="G175" i="1" s="1"/>
  <c r="G176" i="1" s="1"/>
  <c r="F172" i="1"/>
  <c r="F175" i="1" s="1"/>
  <c r="F176" i="1" s="1"/>
  <c r="E172" i="1"/>
  <c r="E175" i="1" s="1"/>
  <c r="E176" i="1" s="1"/>
  <c r="D170" i="1"/>
  <c r="C170" i="1"/>
  <c r="D168" i="1"/>
  <c r="D172" i="1" s="1"/>
  <c r="D175" i="1" s="1"/>
  <c r="D176" i="1" s="1"/>
  <c r="C168" i="1"/>
  <c r="C172" i="1" s="1"/>
  <c r="C175" i="1" s="1"/>
  <c r="C176" i="1" s="1"/>
  <c r="J163" i="1"/>
  <c r="J164" i="1" s="1"/>
  <c r="J165" i="1" s="1"/>
  <c r="I163" i="1"/>
  <c r="I164" i="1" s="1"/>
  <c r="I165" i="1" s="1"/>
  <c r="J161" i="1"/>
  <c r="I161" i="1"/>
  <c r="H161" i="1"/>
  <c r="H164" i="1" s="1"/>
  <c r="H165" i="1" s="1"/>
  <c r="G161" i="1"/>
  <c r="G164" i="1" s="1"/>
  <c r="G165" i="1" s="1"/>
  <c r="F161" i="1"/>
  <c r="F164" i="1" s="1"/>
  <c r="F165" i="1" s="1"/>
  <c r="E161" i="1"/>
  <c r="E164" i="1" s="1"/>
  <c r="E165" i="1" s="1"/>
  <c r="D161" i="1"/>
  <c r="D164" i="1" s="1"/>
  <c r="D165" i="1" s="1"/>
  <c r="C161" i="1"/>
  <c r="C164" i="1" s="1"/>
  <c r="C165" i="1" s="1"/>
  <c r="C159" i="1"/>
  <c r="C157" i="1"/>
  <c r="J150" i="1"/>
  <c r="J153" i="1" s="1"/>
  <c r="J154" i="1" s="1"/>
  <c r="I150" i="1"/>
  <c r="I153" i="1" s="1"/>
  <c r="I154" i="1" s="1"/>
  <c r="H150" i="1"/>
  <c r="H153" i="1" s="1"/>
  <c r="H154" i="1" s="1"/>
  <c r="G150" i="1"/>
  <c r="G153" i="1" s="1"/>
  <c r="G154" i="1" s="1"/>
  <c r="F150" i="1"/>
  <c r="F153" i="1" s="1"/>
  <c r="F154" i="1" s="1"/>
  <c r="E150" i="1"/>
  <c r="E153" i="1" s="1"/>
  <c r="E154" i="1" s="1"/>
  <c r="D148" i="1"/>
  <c r="C148" i="1"/>
  <c r="D146" i="1"/>
  <c r="D150" i="1" s="1"/>
  <c r="D153" i="1" s="1"/>
  <c r="D154" i="1" s="1"/>
  <c r="C146" i="1"/>
  <c r="C150" i="1" s="1"/>
  <c r="C153" i="1" s="1"/>
  <c r="C154" i="1" s="1"/>
  <c r="J139" i="1"/>
  <c r="J142" i="1" s="1"/>
  <c r="I139" i="1"/>
  <c r="I142" i="1" s="1"/>
  <c r="H139" i="1"/>
  <c r="H142" i="1" s="1"/>
  <c r="H143" i="1" s="1"/>
  <c r="G139" i="1"/>
  <c r="G142" i="1" s="1"/>
  <c r="F139" i="1"/>
  <c r="F142" i="1" s="1"/>
  <c r="E139" i="1"/>
  <c r="E142" i="1" s="1"/>
  <c r="D139" i="1"/>
  <c r="D142" i="1" s="1"/>
  <c r="C137" i="1"/>
  <c r="C135" i="1"/>
  <c r="J125" i="1"/>
  <c r="I125" i="1"/>
  <c r="H125" i="1"/>
  <c r="G125" i="1"/>
  <c r="F125" i="1"/>
  <c r="F197" i="1" s="1"/>
  <c r="C122" i="1"/>
  <c r="D194" i="1" s="1"/>
  <c r="C121" i="1"/>
  <c r="C120" i="1"/>
  <c r="J119" i="1"/>
  <c r="I119" i="1"/>
  <c r="H119" i="1"/>
  <c r="G119" i="1"/>
  <c r="F119" i="1"/>
  <c r="F191" i="1" s="1"/>
  <c r="E119" i="1"/>
  <c r="D119" i="1"/>
  <c r="C119" i="1"/>
  <c r="J115" i="1"/>
  <c r="I115" i="1"/>
  <c r="H115" i="1"/>
  <c r="G115" i="1"/>
  <c r="F115" i="1"/>
  <c r="F187" i="1" s="1"/>
  <c r="E115" i="1"/>
  <c r="D115" i="1"/>
  <c r="C115" i="1"/>
  <c r="C114" i="1"/>
  <c r="D186" i="1" s="1"/>
  <c r="C113" i="1"/>
  <c r="C112" i="1"/>
  <c r="D184" i="1" s="1"/>
  <c r="J111" i="1"/>
  <c r="I111" i="1"/>
  <c r="I183" i="1" s="1"/>
  <c r="H111" i="1"/>
  <c r="G111" i="1"/>
  <c r="F111" i="1"/>
  <c r="E111" i="1"/>
  <c r="E183" i="1" s="1"/>
  <c r="D111" i="1"/>
  <c r="J107" i="1"/>
  <c r="I107" i="1"/>
  <c r="H107" i="1"/>
  <c r="H179" i="1" s="1"/>
  <c r="G107" i="1"/>
  <c r="F107" i="1"/>
  <c r="E107" i="1"/>
  <c r="D107" i="1"/>
  <c r="D179" i="1" s="1"/>
  <c r="C107" i="1"/>
  <c r="J92" i="1"/>
  <c r="I92" i="1"/>
  <c r="H92" i="1"/>
  <c r="G92" i="1"/>
  <c r="F92" i="1"/>
  <c r="E92" i="1"/>
  <c r="E91" i="1"/>
  <c r="D91" i="1"/>
  <c r="D92" i="1" s="1"/>
  <c r="C91" i="1"/>
  <c r="C92" i="1" s="1"/>
  <c r="J83" i="1"/>
  <c r="I83" i="1"/>
  <c r="H83" i="1"/>
  <c r="G83" i="1"/>
  <c r="F83" i="1"/>
  <c r="E83" i="1"/>
  <c r="D82" i="1"/>
  <c r="D83" i="1" s="1"/>
  <c r="C82" i="1"/>
  <c r="C83" i="1" s="1"/>
  <c r="H76" i="1"/>
  <c r="G76" i="1"/>
  <c r="G94" i="1" s="1"/>
  <c r="G96" i="1" s="1"/>
  <c r="G97" i="1" s="1"/>
  <c r="F76" i="1"/>
  <c r="F94" i="1" s="1"/>
  <c r="F96" i="1" s="1"/>
  <c r="F97" i="1" s="1"/>
  <c r="E76" i="1"/>
  <c r="E94" i="1" s="1"/>
  <c r="E96" i="1" s="1"/>
  <c r="E97" i="1" s="1"/>
  <c r="D76" i="1"/>
  <c r="C76" i="1"/>
  <c r="J58" i="1"/>
  <c r="I58" i="1"/>
  <c r="H58" i="1"/>
  <c r="G58" i="1"/>
  <c r="F58" i="1"/>
  <c r="E58" i="1"/>
  <c r="D58" i="1"/>
  <c r="C58" i="1"/>
  <c r="J45" i="1"/>
  <c r="I45" i="1"/>
  <c r="H45" i="1"/>
  <c r="G45" i="1"/>
  <c r="F45" i="1"/>
  <c r="E45" i="1"/>
  <c r="D45" i="1"/>
  <c r="C45" i="1"/>
  <c r="J30" i="1"/>
  <c r="J36" i="1" s="1"/>
  <c r="I30" i="1"/>
  <c r="I36" i="1" s="1"/>
  <c r="H30" i="1"/>
  <c r="H36" i="1" s="1"/>
  <c r="G30" i="1"/>
  <c r="G36" i="1" s="1"/>
  <c r="F30" i="1"/>
  <c r="F36" i="1" s="1"/>
  <c r="E30" i="1"/>
  <c r="E36" i="1" s="1"/>
  <c r="D30" i="1"/>
  <c r="D36" i="1" s="1"/>
  <c r="C30" i="1"/>
  <c r="C36" i="1" s="1"/>
  <c r="H20" i="1"/>
  <c r="I10" i="1"/>
  <c r="I12" i="1" s="1"/>
  <c r="J7" i="1"/>
  <c r="I7" i="1"/>
  <c r="G7" i="1"/>
  <c r="F7" i="1"/>
  <c r="F10" i="1" s="1"/>
  <c r="F12" i="1" s="1"/>
  <c r="F20" i="1" s="1"/>
  <c r="E7" i="1"/>
  <c r="E10" i="1" s="1"/>
  <c r="E12" i="1" s="1"/>
  <c r="E20" i="1" s="1"/>
  <c r="D7" i="1"/>
  <c r="C7" i="1"/>
  <c r="J4" i="1"/>
  <c r="I4" i="1"/>
  <c r="G4" i="1"/>
  <c r="D4" i="1"/>
  <c r="D10" i="1" s="1"/>
  <c r="D12" i="1" s="1"/>
  <c r="D20" i="1" s="1"/>
  <c r="C4" i="1"/>
  <c r="D12" i="3" l="1"/>
  <c r="I4" i="3"/>
  <c r="E4" i="3"/>
  <c r="E12" i="3"/>
  <c r="I12" i="3"/>
  <c r="J13" i="3"/>
  <c r="F13" i="3"/>
  <c r="D4" i="3"/>
  <c r="H5" i="3"/>
  <c r="I10" i="3"/>
  <c r="C5" i="3"/>
  <c r="C7" i="3" s="1"/>
  <c r="G5" i="3"/>
  <c r="G6" i="3" s="1"/>
  <c r="G12" i="3"/>
  <c r="H10" i="3"/>
  <c r="D10" i="3"/>
  <c r="H13" i="3"/>
  <c r="D13" i="3"/>
  <c r="C10" i="3"/>
  <c r="G10" i="3"/>
  <c r="H7" i="3"/>
  <c r="J5" i="3"/>
  <c r="F5" i="3"/>
  <c r="G9" i="3"/>
  <c r="I5" i="3"/>
  <c r="E5" i="3"/>
  <c r="D9" i="3"/>
  <c r="H9" i="3"/>
  <c r="D5" i="3"/>
  <c r="D7" i="3" s="1"/>
  <c r="F9" i="3"/>
  <c r="J9" i="3"/>
  <c r="E59" i="1"/>
  <c r="I59" i="1"/>
  <c r="C94" i="1"/>
  <c r="C96" i="1" s="1"/>
  <c r="C97" i="1" s="1"/>
  <c r="D124" i="1"/>
  <c r="G10" i="1"/>
  <c r="G12" i="1" s="1"/>
  <c r="G20" i="1" s="1"/>
  <c r="F59" i="1"/>
  <c r="F60" i="1" s="1"/>
  <c r="J59" i="1"/>
  <c r="J60" i="1" s="1"/>
  <c r="E179" i="1"/>
  <c r="I179" i="1"/>
  <c r="F183" i="1"/>
  <c r="G187" i="1"/>
  <c r="G191" i="1"/>
  <c r="H124" i="1"/>
  <c r="I197" i="1"/>
  <c r="C59" i="1"/>
  <c r="C60" i="1" s="1"/>
  <c r="G59" i="1"/>
  <c r="F124" i="1"/>
  <c r="J124" i="1"/>
  <c r="J131" i="1" s="1"/>
  <c r="G183" i="1"/>
  <c r="D187" i="1"/>
  <c r="H187" i="1"/>
  <c r="D191" i="1"/>
  <c r="H191" i="1"/>
  <c r="I143" i="1"/>
  <c r="C10" i="1"/>
  <c r="C12" i="1" s="1"/>
  <c r="C20" i="1" s="1"/>
  <c r="J10" i="1"/>
  <c r="J12" i="1" s="1"/>
  <c r="J64" i="1" s="1"/>
  <c r="J76" i="1" s="1"/>
  <c r="J94" i="1" s="1"/>
  <c r="D59" i="1"/>
  <c r="D60" i="1" s="1"/>
  <c r="H59" i="1"/>
  <c r="H94" i="1"/>
  <c r="H96" i="1" s="1"/>
  <c r="H97" i="1" s="1"/>
  <c r="G124" i="1"/>
  <c r="G131" i="1" s="1"/>
  <c r="H183" i="1"/>
  <c r="E187" i="1"/>
  <c r="I187" i="1"/>
  <c r="E191" i="1"/>
  <c r="I191" i="1"/>
  <c r="G197" i="1"/>
  <c r="C139" i="1"/>
  <c r="F143" i="1"/>
  <c r="H196" i="1"/>
  <c r="D143" i="1"/>
  <c r="E60" i="1"/>
  <c r="I60" i="1"/>
  <c r="G60" i="1"/>
  <c r="F131" i="1"/>
  <c r="E143" i="1"/>
  <c r="I20" i="1"/>
  <c r="I64" i="1"/>
  <c r="I76" i="1" s="1"/>
  <c r="I94" i="1" s="1"/>
  <c r="I96" i="1" s="1"/>
  <c r="H60" i="1"/>
  <c r="D94" i="1"/>
  <c r="D96" i="1" s="1"/>
  <c r="D97" i="1" s="1"/>
  <c r="G196" i="1"/>
  <c r="F179" i="1"/>
  <c r="H197" i="1"/>
  <c r="C111" i="1"/>
  <c r="E124" i="1"/>
  <c r="F196" i="1" s="1"/>
  <c r="I124" i="1"/>
  <c r="H131" i="1"/>
  <c r="G179" i="1"/>
  <c r="D192" i="1"/>
  <c r="H6" i="3" l="1"/>
  <c r="G7" i="3"/>
  <c r="D6" i="3"/>
  <c r="F6" i="3"/>
  <c r="F7" i="3"/>
  <c r="I6" i="3"/>
  <c r="I7" i="3"/>
  <c r="E6" i="3"/>
  <c r="E7" i="3"/>
  <c r="J6" i="3"/>
  <c r="J20" i="1"/>
  <c r="J143" i="1"/>
  <c r="G143" i="1"/>
  <c r="C124" i="1"/>
  <c r="F132" i="1"/>
  <c r="D132" i="1"/>
  <c r="D183" i="1"/>
  <c r="I196" i="1"/>
  <c r="I131" i="1"/>
  <c r="I97" i="1"/>
  <c r="J95" i="1"/>
  <c r="J96" i="1" s="1"/>
  <c r="J97" i="1" s="1"/>
  <c r="H203" i="1"/>
  <c r="H132" i="1"/>
  <c r="E196" i="1"/>
  <c r="F203" i="1"/>
  <c r="G132" i="1"/>
  <c r="G203" i="1"/>
  <c r="E203" i="1" l="1"/>
  <c r="E132" i="1"/>
  <c r="I203" i="1"/>
  <c r="I132" i="1"/>
  <c r="D196" i="1"/>
  <c r="C132" i="1" l="1"/>
  <c r="D203" i="1"/>
  <c r="A17" i="3" l="1"/>
  <c r="A44" i="3"/>
  <c r="J35" i="3"/>
  <c r="I35" i="3"/>
  <c r="H35" i="3"/>
  <c r="G35" i="3"/>
  <c r="F35" i="3"/>
  <c r="E35" i="3"/>
  <c r="D35" i="3"/>
  <c r="C35" i="3"/>
  <c r="I38" i="3"/>
  <c r="I32" i="3" s="1"/>
  <c r="H38" i="3"/>
  <c r="G38" i="3"/>
  <c r="F38" i="3"/>
  <c r="E38" i="3"/>
  <c r="E32" i="3" s="1"/>
  <c r="D38" i="3"/>
  <c r="C38" i="3"/>
  <c r="J38" i="3"/>
  <c r="C30" i="3"/>
  <c r="D30" i="3"/>
  <c r="E30" i="3"/>
  <c r="F30" i="3"/>
  <c r="G30" i="3"/>
  <c r="H30" i="3"/>
  <c r="I30" i="3"/>
  <c r="J30" i="3"/>
  <c r="J26" i="3"/>
  <c r="I26" i="3"/>
  <c r="H26" i="3"/>
  <c r="G26" i="3"/>
  <c r="F26" i="3"/>
  <c r="E26" i="3"/>
  <c r="D26" i="3"/>
  <c r="C26" i="3"/>
  <c r="I22" i="3"/>
  <c r="H22" i="3"/>
  <c r="G22" i="3"/>
  <c r="F22" i="3"/>
  <c r="E22" i="3"/>
  <c r="D22" i="3"/>
  <c r="J22" i="3"/>
  <c r="J28" i="3"/>
  <c r="J29" i="3" s="1"/>
  <c r="I28" i="3"/>
  <c r="H28" i="3"/>
  <c r="G28" i="3"/>
  <c r="F28" i="3"/>
  <c r="F29" i="3" s="1"/>
  <c r="E28" i="3"/>
  <c r="D28" i="3"/>
  <c r="C28" i="3"/>
  <c r="J24" i="3"/>
  <c r="J25" i="3" s="1"/>
  <c r="J27" i="3" s="1"/>
  <c r="I24" i="3"/>
  <c r="H24" i="3"/>
  <c r="G24" i="3"/>
  <c r="F24" i="3"/>
  <c r="F25" i="3" s="1"/>
  <c r="F27" i="3" s="1"/>
  <c r="E24" i="3"/>
  <c r="D24" i="3"/>
  <c r="C24" i="3"/>
  <c r="C20" i="3"/>
  <c r="C23" i="3" s="1"/>
  <c r="D20" i="3"/>
  <c r="E20" i="3"/>
  <c r="F20" i="3"/>
  <c r="F21" i="3" s="1"/>
  <c r="F23" i="3" s="1"/>
  <c r="G20" i="3"/>
  <c r="G21" i="3" s="1"/>
  <c r="G23" i="3" s="1"/>
  <c r="H20" i="3"/>
  <c r="I20" i="3"/>
  <c r="J20" i="3"/>
  <c r="J21" i="3" s="1"/>
  <c r="K1" i="3"/>
  <c r="L1" i="3" s="1"/>
  <c r="M1" i="3" s="1"/>
  <c r="N1" i="3" s="1"/>
  <c r="O1" i="3" s="1"/>
  <c r="I1" i="3"/>
  <c r="H1" i="3" s="1"/>
  <c r="G1" i="3" s="1"/>
  <c r="F1" i="3" s="1"/>
  <c r="E1" i="3" s="1"/>
  <c r="D1" i="3" s="1"/>
  <c r="C1" i="3" s="1"/>
  <c r="G25" i="3" l="1"/>
  <c r="G27" i="3" s="1"/>
  <c r="C31" i="3"/>
  <c r="G29" i="3"/>
  <c r="G31" i="3" s="1"/>
  <c r="J32" i="3"/>
  <c r="F32" i="3"/>
  <c r="E25" i="3"/>
  <c r="E27" i="3" s="1"/>
  <c r="I25" i="3"/>
  <c r="I27" i="3" s="1"/>
  <c r="E29" i="3"/>
  <c r="E31" i="3" s="1"/>
  <c r="D25" i="3"/>
  <c r="D27" i="3" s="1"/>
  <c r="H25" i="3"/>
  <c r="H27" i="3" s="1"/>
  <c r="D29" i="3"/>
  <c r="D31" i="3" s="1"/>
  <c r="H29" i="3"/>
  <c r="H31" i="3" s="1"/>
  <c r="G32" i="3"/>
  <c r="G33" i="3" s="1"/>
  <c r="H21" i="3"/>
  <c r="H23" i="3" s="1"/>
  <c r="D21" i="3"/>
  <c r="D23" i="3" s="1"/>
  <c r="I29" i="3"/>
  <c r="I31" i="3" s="1"/>
  <c r="F31" i="3"/>
  <c r="J31" i="3"/>
  <c r="J33" i="3"/>
  <c r="F33" i="3"/>
  <c r="F36" i="3"/>
  <c r="J36" i="3"/>
  <c r="F39" i="3"/>
  <c r="J39" i="3"/>
  <c r="F42" i="3"/>
  <c r="J42" i="3"/>
  <c r="E21" i="3"/>
  <c r="E23" i="3" s="1"/>
  <c r="D32" i="3"/>
  <c r="E36" i="3"/>
  <c r="E39" i="3"/>
  <c r="E42" i="3"/>
  <c r="G36" i="3"/>
  <c r="G39" i="3"/>
  <c r="G42" i="3"/>
  <c r="I21" i="3"/>
  <c r="I23" i="3" s="1"/>
  <c r="H32" i="3"/>
  <c r="I36" i="3"/>
  <c r="I39" i="3"/>
  <c r="I42" i="3"/>
  <c r="D36" i="3"/>
  <c r="H36" i="3"/>
  <c r="D39" i="3"/>
  <c r="H39" i="3"/>
  <c r="D42" i="3"/>
  <c r="H42" i="3"/>
  <c r="H33" i="3" l="1"/>
  <c r="D33" i="3"/>
  <c r="E33" i="3"/>
  <c r="I33" i="3"/>
  <c r="I18" i="3"/>
  <c r="H18" i="3"/>
  <c r="G18" i="3"/>
  <c r="F18" i="3"/>
  <c r="E18" i="3"/>
  <c r="D18" i="3"/>
  <c r="C18" i="3"/>
  <c r="J18" i="3"/>
  <c r="J19" i="3" s="1"/>
  <c r="F19" i="3" l="1"/>
  <c r="F43" i="3"/>
  <c r="F40" i="3"/>
  <c r="F37" i="3"/>
  <c r="F34" i="3"/>
  <c r="C37" i="3"/>
  <c r="C40" i="3"/>
  <c r="C43" i="3"/>
  <c r="D19" i="3"/>
  <c r="D40" i="3"/>
  <c r="D43" i="3"/>
  <c r="D37" i="3"/>
  <c r="H19" i="3"/>
  <c r="H40" i="3"/>
  <c r="H43" i="3"/>
  <c r="H37" i="3"/>
  <c r="H34" i="3"/>
  <c r="J34" i="3"/>
  <c r="J40" i="3"/>
  <c r="J37" i="3"/>
  <c r="J43" i="3"/>
  <c r="G19" i="3"/>
  <c r="G43" i="3"/>
  <c r="G37" i="3"/>
  <c r="G34" i="3"/>
  <c r="G40" i="3"/>
  <c r="E43" i="3"/>
  <c r="E40" i="3"/>
  <c r="E19" i="3"/>
  <c r="E37" i="3"/>
  <c r="E34" i="3"/>
  <c r="I40" i="3"/>
  <c r="I19" i="3"/>
  <c r="I43" i="3"/>
  <c r="I34" i="3"/>
  <c r="I37" i="3"/>
  <c r="D34" i="3"/>
  <c r="I1" i="1" l="1"/>
  <c r="H1" i="1" s="1"/>
  <c r="G1" i="1" s="1"/>
  <c r="F1" i="1" s="1"/>
  <c r="E1" i="1" s="1"/>
  <c r="D1" i="1" s="1"/>
  <c r="C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<sst xmlns="http://schemas.openxmlformats.org/spreadsheetml/2006/main" count="277" uniqueCount="147">
  <si>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</si>
  <si>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</si>
  <si>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</si>
  <si>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</si>
  <si>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</si>
  <si>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</si>
  <si>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</si>
  <si>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</si>
  <si>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</si>
  <si>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</si>
  <si>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</si>
  <si>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</si>
  <si>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</si>
  <si>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</si>
  <si>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</si>
  <si>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</si>
  <si>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</si>
  <si>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</si>
  <si>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</si>
  <si>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</si>
  <si>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</si>
  <si>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</si>
  <si>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</si>
  <si>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</si>
  <si>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</si>
  <si>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</si>
  <si>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</si>
  <si>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</si>
  <si>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</si>
  <si>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</si>
  <si>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</si>
  <si>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</si>
  <si>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</si>
  <si>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</si>
  <si>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</si>
  <si>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</si>
  <si>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</si>
  <si>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</si>
  <si>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</si>
  <si>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</si>
  <si>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</si>
  <si>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</si>
  <si>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</si>
  <si>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</si>
  <si>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</si>
  <si>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</si>
  <si>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</si>
  <si>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</si>
  <si>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</si>
  <si>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</si>
  <si>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</si>
  <si>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</si>
  <si>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</si>
  <si>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</si>
  <si>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</si>
  <si>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</si>
  <si>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</si>
  <si>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</si>
  <si>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</si>
  <si>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</si>
  <si>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</si>
  <si>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</si>
  <si>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</si>
  <si>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</si>
  <si>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</si>
  <si>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</si>
  <si>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</si>
  <si>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</si>
  <si>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</si>
  <si>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</si>
  <si>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</si>
  <si>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</si>
  <si>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</si>
  <si>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</si>
  <si>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</si>
  <si>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</si>
  <si>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</si>
  <si>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</si>
  <si>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</si>
  <si>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</si>
  <si>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</si>
  <si>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</si>
  <si>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</si>
  <si>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</si>
  <si>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</si>
  <si>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</si>
  <si>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</si>
  <si>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</si>
  <si>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</si>
  <si>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</si>
  <si>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</si>
  <si>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</si>
  <si>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</si>
  <si>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</si>
  <si>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</si>
  <si>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</si>
  <si>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</si>
  <si>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</si>
  <si>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</si>
  <si>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</si>
  <si>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</si>
  <si>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</si>
  <si>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</si>
  <si>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</si>
  <si>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</si>
  <si>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</si>
  <si>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</si>
  <si>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</si>
  <si>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</si>
  <si>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</si>
  <si>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</si>
  <si>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</si>
  <si>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</si>
  <si>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</si>
  <si>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</si>
  <si>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</si>
  <si>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</si>
  <si>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</si>
  <si>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</si>
  <si>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</si>
  <si>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</si>
  <si>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</si>
  <si>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</si>
  <si>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</si>
  <si>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</si>
  <si>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</si>
  <si>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</si>
  <si>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</si>
  <si>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</si>
  <si>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</si>
  <si>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</si>
  <si>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</si>
  <si>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</si>
  <si>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</si>
  <si>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</si>
  <si>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</si>
  <si>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</si>
  <si>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</si>
  <si>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</si>
  <si>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</si>
  <si>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</si>
  <si>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</si>
  <si>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</si>
  <si>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</si>
  <si>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t>
  </si>
  <si>
    <t xml:space="preserve">THE ANNUAL REPORT DIDN'T HAVE SEGMENT BREAKDOWN </t>
  </si>
  <si>
    <r>
      <rPr>
        <b/>
        <sz val="16"/>
        <color theme="0"/>
        <rFont val="Arial"/>
        <family val="2"/>
      </rPr>
      <t>NIKE, INC.</t>
    </r>
    <r>
      <rPr>
        <b/>
        <sz val="20"/>
        <color theme="0"/>
        <rFont val="Arial"/>
        <family val="2"/>
      </rPr>
      <t xml:space="preserve">
</t>
    </r>
    <r>
      <rPr>
        <sz val="11"/>
        <color theme="0"/>
        <rFont val="Arial"/>
        <family val="2"/>
      </rPr>
      <t>(Dollars and Shares in Millions Except Per Share Amounts)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</si>
</sst>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00_);_(* \(#,##0.00\);_(* &quot;-&quot;??_);_(@_)"/>
    <numFmt numFmtId="166" formatCode="_(* #,##0_);_(* \(#,##0\);_(* &quot;-&quot;??_);_(@_)"/>
    <numFmt numFmtId="167" formatCode="0.0%"/>
    <numFmt numFmtId="168" formatCode="0.0"/>
    <numFmt numFmtId="169" formatCode="_ * #,##0.0_ ;_ * \-#,##0.0_ ;_ * &quot;-&quot;??_ ;_ @_ "/>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color theme="1"/>
      <name val="Calibri"/>
      <family val="2"/>
      <scheme val="minor"/>
    </font>
    <font>
      <b/>
      <sz val="20"/>
      <color theme="0"/>
      <name val="Arial"/>
      <family val="2"/>
    </font>
    <font>
      <b/>
      <sz val="16"/>
      <color theme="0"/>
      <name val="Arial"/>
      <family val="2"/>
    </font>
    <font>
      <sz val="11"/>
      <color theme="0"/>
      <name val="Arial"/>
      <family val="2"/>
    </font>
    <font>
      <b/>
      <sz val="11"/>
      <color theme="0"/>
      <name val="Arial"/>
      <family val="2"/>
    </font>
    <font>
      <b/>
      <sz val="11"/>
      <color theme="1"/>
      <name val="Arial"/>
      <family val="2"/>
    </font>
    <font>
      <sz val="11"/>
      <color theme="1"/>
      <name val="Arial"/>
      <family val="2"/>
    </font>
    <font>
      <i/>
      <sz val="9"/>
      <color theme="1"/>
      <name val="Arial"/>
      <family val="2"/>
    </font>
    <font>
      <i/>
      <sz val="10"/>
      <color theme="1"/>
      <name val="Arial"/>
      <family val="2"/>
    </font>
    <font>
      <sz val="10"/>
      <color theme="1"/>
      <name val="Arial"/>
      <family val="2"/>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499984740745262"/>
        <bgColor indexed="64"/>
      </patternFill>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2">
    <xf numFmtId="0" fontId="0" fillId="0" borderId="0" xfId="0"/>
    <xf numFmtId="0" fontId="2" fillId="0" borderId="0" xfId="0" applyFont="1"/>
    <xf numFmtId="0" fontId="0" fillId="0" borderId="0" xfId="0" applyAlignment="1">
      <alignment horizontal="left" indent="1"/>
    </xf>
    <xf numFmtId="166" fontId="0" fillId="0" borderId="0" xfId="1" applyNumberFormat="1" applyFont="1"/>
    <xf numFmtId="0" fontId="2" fillId="0" borderId="1" xfId="0" applyFont="1" applyBorder="1"/>
    <xf numFmtId="166" fontId="2" fillId="0" borderId="1" xfId="1" applyNumberFormat="1" applyFont="1" applyBorder="1"/>
    <xf numFmtId="0" fontId="2" fillId="0" borderId="2" xfId="0" applyFont="1" applyBorder="1"/>
    <xf numFmtId="166" fontId="2" fillId="0" borderId="2" xfId="1" applyNumberFormat="1" applyFont="1" applyBorder="1"/>
    <xf numFmtId="3" fontId="0" fillId="0" borderId="0" xfId="0" applyNumberFormat="1"/>
    <xf numFmtId="166"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6"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6" fontId="0" fillId="0" borderId="1" xfId="1" applyNumberFormat="1" applyFont="1" applyBorder="1"/>
    <xf numFmtId="0" fontId="0" fillId="0" borderId="1" xfId="0" applyBorder="1" applyAlignment="1">
      <alignment horizontal="left" indent="1"/>
    </xf>
    <xf numFmtId="0" fontId="0" fillId="0" borderId="3" xfId="0" applyBorder="1"/>
    <xf numFmtId="166" fontId="0" fillId="0" borderId="3" xfId="1" applyNumberFormat="1" applyFont="1" applyBorder="1"/>
    <xf numFmtId="0" fontId="2" fillId="0" borderId="4" xfId="0" applyFont="1" applyBorder="1" applyAlignment="1">
      <alignment horizontal="left"/>
    </xf>
    <xf numFmtId="166"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7"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7" fontId="12" fillId="0" borderId="0" xfId="2" applyNumberFormat="1" applyFont="1"/>
    <xf numFmtId="0" fontId="11" fillId="0" borderId="1" xfId="0" applyFont="1" applyBorder="1"/>
    <xf numFmtId="167" fontId="12" fillId="0" borderId="2" xfId="2" applyNumberFormat="1" applyFont="1" applyBorder="1"/>
    <xf numFmtId="167" fontId="12" fillId="0" borderId="1" xfId="2" applyNumberFormat="1" applyFont="1" applyBorder="1"/>
    <xf numFmtId="0" fontId="0" fillId="0" borderId="0" xfId="0" applyAlignment="1">
      <alignment horizontal="left" wrapText="1"/>
    </xf>
    <xf numFmtId="9" fontId="13" fillId="0" borderId="0" xfId="2" applyFont="1"/>
    <xf numFmtId="167" fontId="13" fillId="0" borderId="0" xfId="2" applyNumberFormat="1" applyFont="1"/>
    <xf numFmtId="166" fontId="0" fillId="0" borderId="0" xfId="1" applyNumberFormat="1" applyFont="1" applyAlignment="1"/>
    <xf numFmtId="10" fontId="0" fillId="0" borderId="0" xfId="0" applyNumberFormat="1"/>
    <xf numFmtId="167" fontId="0" fillId="0" borderId="0" xfId="0" applyNumberFormat="1"/>
    <xf numFmtId="0" fontId="14" fillId="2" borderId="0" xfId="0" applyFont="1" applyFill="1" applyAlignment="1">
      <alignment vertical="center" wrapText="1"/>
    </xf>
    <xf numFmtId="0" fontId="16" fillId="7" borderId="0" xfId="0" applyFont="1" applyFill="1"/>
    <xf numFmtId="0" fontId="17" fillId="2" borderId="0" xfId="0" applyFont="1" applyFill="1" applyAlignment="1">
      <alignment horizontal="right"/>
    </xf>
    <xf numFmtId="0" fontId="18" fillId="6" borderId="0" xfId="0" applyFont="1" applyFill="1"/>
    <xf numFmtId="166" fontId="17" fillId="4" borderId="0" xfId="4" applyNumberFormat="1" applyFont="1" applyBorder="1" applyAlignment="1">
      <alignment horizontal="left"/>
    </xf>
    <xf numFmtId="0" fontId="19" fillId="8" borderId="0" xfId="0" applyFont="1" applyFill="1"/>
    <xf numFmtId="166" fontId="18" fillId="0" borderId="0" xfId="1" applyNumberFormat="1" applyFont="1" applyBorder="1"/>
    <xf numFmtId="0" fontId="19" fillId="0" borderId="0" xfId="0" applyFont="1"/>
    <xf numFmtId="166" fontId="18" fillId="0" borderId="2" xfId="1" applyNumberFormat="1" applyFont="1" applyBorder="1"/>
    <xf numFmtId="166" fontId="20" fillId="0" borderId="0" xfId="1" applyNumberFormat="1" applyFont="1" applyBorder="1" applyAlignment="1">
      <alignment horizontal="left" indent="1"/>
    </xf>
    <xf numFmtId="10" fontId="19" fillId="0" borderId="0" xfId="2" applyNumberFormat="1" applyFont="1"/>
    <xf numFmtId="10" fontId="19" fillId="0" borderId="0" xfId="0" applyNumberFormat="1" applyFont="1"/>
    <xf numFmtId="168" fontId="19" fillId="0" borderId="0" xfId="0" applyNumberFormat="1" applyFont="1"/>
    <xf numFmtId="169" fontId="19" fillId="0" borderId="0" xfId="0" applyNumberFormat="1" applyFont="1"/>
    <xf numFmtId="166" fontId="18" fillId="5" borderId="0" xfId="5" applyNumberFormat="1" applyFont="1"/>
    <xf numFmtId="0" fontId="19" fillId="9" borderId="0" xfId="0" applyFont="1" applyFill="1"/>
    <xf numFmtId="166" fontId="18" fillId="0" borderId="0" xfId="1" applyNumberFormat="1" applyFont="1"/>
    <xf numFmtId="166" fontId="20" fillId="0" borderId="0" xfId="1" applyNumberFormat="1" applyFont="1" applyAlignment="1">
      <alignment horizontal="left" indent="2"/>
    </xf>
    <xf numFmtId="167" fontId="21" fillId="0" borderId="0" xfId="2" applyNumberFormat="1" applyFont="1" applyAlignment="1">
      <alignment horizontal="right"/>
    </xf>
    <xf numFmtId="166" fontId="19" fillId="0" borderId="0" xfId="1" applyNumberFormat="1" applyFont="1" applyAlignment="1">
      <alignment horizontal="left" indent="1"/>
    </xf>
    <xf numFmtId="166" fontId="19" fillId="0" borderId="0" xfId="1" applyNumberFormat="1" applyFont="1"/>
    <xf numFmtId="167" fontId="19" fillId="0" borderId="0" xfId="0" applyNumberFormat="1" applyFont="1"/>
    <xf numFmtId="10" fontId="21" fillId="0" borderId="0" xfId="2" applyNumberFormat="1" applyFont="1" applyAlignment="1">
      <alignment horizontal="right"/>
    </xf>
    <xf numFmtId="166" fontId="18" fillId="0" borderId="0" xfId="0" applyNumberFormat="1" applyFont="1"/>
    <xf numFmtId="166" fontId="20" fillId="0" borderId="0" xfId="1" applyNumberFormat="1" applyFont="1" applyAlignment="1">
      <alignment horizontal="left" indent="1"/>
    </xf>
    <xf numFmtId="166" fontId="18" fillId="10" borderId="0" xfId="1" applyNumberFormat="1" applyFont="1" applyFill="1"/>
    <xf numFmtId="0" fontId="18" fillId="0" borderId="0" xfId="0" applyFont="1"/>
    <xf numFmtId="10" fontId="22" fillId="0" borderId="0" xfId="2"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13"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4"/>
  <sheetViews>
    <sheetView zoomScaleNormal="100" workbookViewId="0">
      <pane ySplit="1" topLeftCell="A2" activePane="bottomLeft" state="frozen"/>
      <selection pane="bottomLeft" activeCell="B147" sqref="B147"/>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12" ht="60" customHeight="1" x14ac:dyDescent="0.3">
      <c r="A1" s="15" t="s">
        <v>117</v>
      </c>
      <c r="B1">
        <v>2014</v>
      </c>
      <c r="C1" s="16">
        <f t="shared" ref="C1:H1" si="0">+D1-1</f>
        <v>2015</v>
      </c>
      <c r="D1" s="16">
        <f t="shared" si="0"/>
        <v>2016</v>
      </c>
      <c r="E1" s="16">
        <f t="shared" si="0"/>
        <v>2017</v>
      </c>
      <c r="F1" s="16">
        <f t="shared" si="0"/>
        <v>2018</v>
      </c>
      <c r="G1" s="16">
        <f t="shared" si="0"/>
        <v>2019</v>
      </c>
      <c r="H1" s="16">
        <f t="shared" si="0"/>
        <v>2020</v>
      </c>
      <c r="I1" s="16">
        <f>+J1-1</f>
        <v>2021</v>
      </c>
      <c r="J1" s="16">
        <v>2022</v>
      </c>
      <c r="K1">
        <v>2023</v>
      </c>
      <c r="L1">
        <v>2024</v>
      </c>
    </row>
    <row r="2" spans="1:12" x14ac:dyDescent="0.3">
      <c r="A2" t="s">
        <v>28</v>
      </c>
      <c r="C2" s="3">
        <v>30601</v>
      </c>
      <c r="D2" s="3">
        <v>32376</v>
      </c>
      <c r="E2" s="3">
        <v>34350</v>
      </c>
      <c r="F2" s="3">
        <v>36397</v>
      </c>
      <c r="G2" s="3">
        <v>39117</v>
      </c>
      <c r="H2" s="3">
        <v>37403</v>
      </c>
      <c r="I2" s="3">
        <v>44538</v>
      </c>
      <c r="J2" s="3">
        <v>46710</v>
      </c>
    </row>
    <row r="3" spans="1:12" x14ac:dyDescent="0.3">
      <c r="A3" s="23" t="s">
        <v>29</v>
      </c>
      <c r="C3" s="24">
        <v>16534</v>
      </c>
      <c r="D3" s="24">
        <v>17405</v>
      </c>
      <c r="E3" s="24">
        <v>19038</v>
      </c>
      <c r="F3" s="24">
        <v>20441</v>
      </c>
      <c r="G3" s="24">
        <v>21643</v>
      </c>
      <c r="H3" s="24">
        <v>21162</v>
      </c>
      <c r="I3" s="24">
        <v>24576</v>
      </c>
      <c r="J3" s="24">
        <v>25231</v>
      </c>
    </row>
    <row r="4" spans="1:12" s="1" customFormat="1" x14ac:dyDescent="0.3">
      <c r="A4" s="1" t="s">
        <v>4</v>
      </c>
      <c r="C4" s="9">
        <f t="shared" ref="C4:I4" si="1">+C2-C3</f>
        <v>14067</v>
      </c>
      <c r="D4" s="9">
        <f t="shared" si="1"/>
        <v>14971</v>
      </c>
      <c r="E4" s="9">
        <v>15312</v>
      </c>
      <c r="F4" s="9">
        <v>15956</v>
      </c>
      <c r="G4" s="9">
        <f t="shared" si="1"/>
        <v>17474</v>
      </c>
      <c r="H4" s="9">
        <v>16241</v>
      </c>
      <c r="I4" s="9">
        <f t="shared" si="1"/>
        <v>19962</v>
      </c>
      <c r="J4" s="9">
        <f>+J2-J3</f>
        <v>21479</v>
      </c>
    </row>
    <row r="5" spans="1:12" x14ac:dyDescent="0.3">
      <c r="A5" s="11" t="s">
        <v>22</v>
      </c>
      <c r="C5" s="3">
        <v>3213</v>
      </c>
      <c r="D5" s="3">
        <v>3278</v>
      </c>
      <c r="E5" s="3">
        <v>3341</v>
      </c>
      <c r="F5" s="3">
        <v>3577</v>
      </c>
      <c r="G5" s="3">
        <v>3753</v>
      </c>
      <c r="H5" s="3">
        <v>3592</v>
      </c>
      <c r="I5" s="3">
        <v>3114</v>
      </c>
      <c r="J5" s="3">
        <v>3850</v>
      </c>
    </row>
    <row r="6" spans="1:12" x14ac:dyDescent="0.3">
      <c r="A6" s="11" t="s">
        <v>23</v>
      </c>
      <c r="C6" s="3">
        <v>6679</v>
      </c>
      <c r="D6" s="3">
        <v>7191</v>
      </c>
      <c r="E6" s="3">
        <v>7222</v>
      </c>
      <c r="F6" s="3">
        <v>7934</v>
      </c>
      <c r="G6" s="3">
        <v>8949</v>
      </c>
      <c r="H6" s="3">
        <v>9534</v>
      </c>
      <c r="I6" s="3">
        <v>9911</v>
      </c>
      <c r="J6" s="3">
        <v>10954</v>
      </c>
    </row>
    <row r="7" spans="1:12" x14ac:dyDescent="0.3">
      <c r="A7" s="22" t="s">
        <v>24</v>
      </c>
      <c r="C7" s="21">
        <f t="shared" ref="C7:I7" si="2">+C5+C6</f>
        <v>9892</v>
      </c>
      <c r="D7" s="21">
        <f t="shared" si="2"/>
        <v>10469</v>
      </c>
      <c r="E7" s="21">
        <f t="shared" si="2"/>
        <v>10563</v>
      </c>
      <c r="F7" s="21">
        <f t="shared" si="2"/>
        <v>11511</v>
      </c>
      <c r="G7" s="21">
        <f t="shared" si="2"/>
        <v>12702</v>
      </c>
      <c r="H7" s="21">
        <v>13126</v>
      </c>
      <c r="I7" s="21">
        <f t="shared" si="2"/>
        <v>13025</v>
      </c>
      <c r="J7" s="21">
        <f>+J5+J6</f>
        <v>14804</v>
      </c>
    </row>
    <row r="8" spans="1:12" x14ac:dyDescent="0.3">
      <c r="A8" s="2" t="s">
        <v>25</v>
      </c>
      <c r="C8" s="3">
        <v>28</v>
      </c>
      <c r="D8" s="3">
        <v>19</v>
      </c>
      <c r="E8" s="3">
        <v>59</v>
      </c>
      <c r="F8" s="3">
        <v>54</v>
      </c>
      <c r="G8" s="3">
        <v>49</v>
      </c>
      <c r="H8" s="3">
        <v>89</v>
      </c>
      <c r="I8" s="3">
        <v>262</v>
      </c>
      <c r="J8" s="3">
        <v>205</v>
      </c>
    </row>
    <row r="9" spans="1:12" x14ac:dyDescent="0.3">
      <c r="A9" s="2" t="s">
        <v>5</v>
      </c>
      <c r="C9" s="3">
        <v>-58</v>
      </c>
      <c r="D9" s="3">
        <v>-140</v>
      </c>
      <c r="E9" s="3">
        <v>-196</v>
      </c>
      <c r="F9" s="3">
        <v>66</v>
      </c>
      <c r="G9" s="3">
        <v>-78</v>
      </c>
      <c r="H9" s="3">
        <v>139</v>
      </c>
      <c r="I9" s="3">
        <v>14</v>
      </c>
      <c r="J9" s="3">
        <v>-181</v>
      </c>
    </row>
    <row r="10" spans="1:12" x14ac:dyDescent="0.3">
      <c r="A10" s="4" t="s">
        <v>26</v>
      </c>
      <c r="C10" s="5">
        <f t="shared" ref="C10:I10" si="3">+C4-C7-C8-C9</f>
        <v>4205</v>
      </c>
      <c r="D10" s="5">
        <f t="shared" si="3"/>
        <v>4623</v>
      </c>
      <c r="E10" s="5">
        <f t="shared" si="3"/>
        <v>4886</v>
      </c>
      <c r="F10" s="5">
        <f t="shared" si="3"/>
        <v>4325</v>
      </c>
      <c r="G10" s="5">
        <f t="shared" si="3"/>
        <v>4801</v>
      </c>
      <c r="H10" s="5">
        <v>2887</v>
      </c>
      <c r="I10" s="5">
        <f t="shared" si="3"/>
        <v>6661</v>
      </c>
      <c r="J10" s="5">
        <f>+J4-J7-J8-J9</f>
        <v>6651</v>
      </c>
    </row>
    <row r="11" spans="1:12" x14ac:dyDescent="0.3">
      <c r="A11" s="2" t="s">
        <v>27</v>
      </c>
      <c r="C11" s="3">
        <v>932</v>
      </c>
      <c r="D11" s="3">
        <v>863</v>
      </c>
      <c r="E11" s="3">
        <v>646</v>
      </c>
      <c r="F11" s="3">
        <v>2392</v>
      </c>
      <c r="G11" s="3">
        <v>772</v>
      </c>
      <c r="H11" s="3">
        <v>348</v>
      </c>
      <c r="I11" s="3">
        <v>934</v>
      </c>
      <c r="J11" s="3">
        <v>605</v>
      </c>
    </row>
    <row r="12" spans="1:12" ht="15" thickBot="1" x14ac:dyDescent="0.35">
      <c r="A12" s="6" t="s">
        <v>30</v>
      </c>
      <c r="C12" s="7">
        <f t="shared" ref="C12:I12" si="4">+C10-C11</f>
        <v>3273</v>
      </c>
      <c r="D12" s="7">
        <f t="shared" si="4"/>
        <v>3760</v>
      </c>
      <c r="E12" s="7">
        <f t="shared" si="4"/>
        <v>4240</v>
      </c>
      <c r="F12" s="7">
        <f t="shared" si="4"/>
        <v>1933</v>
      </c>
      <c r="G12" s="7">
        <f t="shared" si="4"/>
        <v>4029</v>
      </c>
      <c r="H12" s="7">
        <v>2539</v>
      </c>
      <c r="I12" s="7">
        <f t="shared" si="4"/>
        <v>5727</v>
      </c>
      <c r="J12" s="7">
        <f>+J10-J11</f>
        <v>6046</v>
      </c>
    </row>
    <row r="13" spans="1:12" ht="15" thickTop="1" x14ac:dyDescent="0.3">
      <c r="A13" s="1" t="s">
        <v>8</v>
      </c>
    </row>
    <row r="14" spans="1:12" x14ac:dyDescent="0.3">
      <c r="A14" s="2" t="s">
        <v>6</v>
      </c>
      <c r="C14">
        <v>1.9</v>
      </c>
      <c r="D14">
        <v>2.21</v>
      </c>
      <c r="E14">
        <v>2.56</v>
      </c>
      <c r="F14">
        <v>1.19</v>
      </c>
      <c r="G14">
        <v>2.5499999999999998</v>
      </c>
      <c r="H14">
        <v>1.63</v>
      </c>
      <c r="I14">
        <v>3.64</v>
      </c>
      <c r="J14">
        <v>3.83</v>
      </c>
    </row>
    <row r="15" spans="1:12" x14ac:dyDescent="0.3">
      <c r="A15" s="2" t="s">
        <v>7</v>
      </c>
      <c r="C15">
        <v>1.85</v>
      </c>
      <c r="D15">
        <v>2.16</v>
      </c>
      <c r="E15">
        <v>2.5099999999999998</v>
      </c>
      <c r="F15">
        <v>1.17</v>
      </c>
      <c r="G15">
        <v>2.4900000000000002</v>
      </c>
      <c r="H15">
        <v>1.6</v>
      </c>
      <c r="I15">
        <v>3.56</v>
      </c>
      <c r="J15">
        <v>3.75</v>
      </c>
    </row>
    <row r="16" spans="1:12" x14ac:dyDescent="0.3">
      <c r="A16" s="1" t="s">
        <v>9</v>
      </c>
    </row>
    <row r="17" spans="1:10" x14ac:dyDescent="0.3">
      <c r="A17" s="2" t="s">
        <v>6</v>
      </c>
      <c r="C17">
        <v>1723.5</v>
      </c>
      <c r="D17">
        <v>1697.9</v>
      </c>
      <c r="E17">
        <v>1657.8</v>
      </c>
      <c r="F17">
        <v>1623.8</v>
      </c>
      <c r="G17">
        <v>1579.7</v>
      </c>
      <c r="H17" s="8">
        <v>1558.8</v>
      </c>
      <c r="I17" s="8">
        <v>1573</v>
      </c>
      <c r="J17" s="8">
        <v>1578.8</v>
      </c>
    </row>
    <row r="18" spans="1:10" x14ac:dyDescent="0.3">
      <c r="A18" s="2" t="s">
        <v>7</v>
      </c>
      <c r="C18">
        <v>1768.8</v>
      </c>
      <c r="D18">
        <v>1742.5</v>
      </c>
      <c r="E18">
        <v>1692</v>
      </c>
      <c r="F18">
        <v>1659.1</v>
      </c>
      <c r="G18">
        <v>1618.4</v>
      </c>
      <c r="H18" s="8">
        <v>1591.6</v>
      </c>
      <c r="I18" s="8">
        <v>1609.4</v>
      </c>
      <c r="J18" s="8">
        <v>1610.8</v>
      </c>
    </row>
    <row r="20" spans="1:10" s="12" customFormat="1" x14ac:dyDescent="0.3">
      <c r="A20" s="12" t="s">
        <v>2</v>
      </c>
      <c r="C20" s="13">
        <f t="shared" ref="C20:I20" si="5">+ROUND(((C12/C18)-C15),2)</f>
        <v>0</v>
      </c>
      <c r="D20" s="13">
        <f t="shared" si="5"/>
        <v>0</v>
      </c>
      <c r="E20" s="13">
        <f t="shared" si="5"/>
        <v>0</v>
      </c>
      <c r="F20" s="13">
        <f t="shared" si="5"/>
        <v>0</v>
      </c>
      <c r="G20" s="13">
        <f t="shared" si="5"/>
        <v>0</v>
      </c>
      <c r="H20" s="13">
        <f t="shared" si="5"/>
        <v>0</v>
      </c>
      <c r="I20" s="13">
        <f t="shared" si="5"/>
        <v>0</v>
      </c>
      <c r="J20" s="13">
        <f>+ROUND(((J12/J18)-J15),2)</f>
        <v>0</v>
      </c>
    </row>
    <row r="22" spans="1:10" x14ac:dyDescent="0.3">
      <c r="A22" s="14" t="s">
        <v>0</v>
      </c>
      <c r="C22" s="14"/>
      <c r="D22" s="14"/>
      <c r="E22" s="14"/>
      <c r="F22" s="14"/>
      <c r="G22" s="14"/>
      <c r="H22" s="14"/>
      <c r="I22" s="14"/>
      <c r="J22" s="14"/>
    </row>
    <row r="23" spans="1:10" x14ac:dyDescent="0.3">
      <c r="A23" s="1" t="s">
        <v>31</v>
      </c>
    </row>
    <row r="24" spans="1:10" x14ac:dyDescent="0.3">
      <c r="A24" s="10" t="s">
        <v>32</v>
      </c>
      <c r="C24" s="3"/>
      <c r="D24" s="3"/>
      <c r="E24" s="3"/>
      <c r="F24" s="3"/>
      <c r="G24" s="3"/>
      <c r="H24" s="3"/>
      <c r="I24" s="3"/>
      <c r="J24" s="3"/>
    </row>
    <row r="25" spans="1:10" x14ac:dyDescent="0.3">
      <c r="A25" s="11" t="s">
        <v>33</v>
      </c>
      <c r="C25" s="3">
        <v>3852</v>
      </c>
      <c r="D25" s="3">
        <v>3138</v>
      </c>
      <c r="E25" s="3">
        <v>3808</v>
      </c>
      <c r="F25" s="3">
        <v>4249</v>
      </c>
      <c r="G25" s="3">
        <v>4466</v>
      </c>
      <c r="H25" s="3">
        <v>8348</v>
      </c>
      <c r="I25" s="3">
        <v>9889</v>
      </c>
      <c r="J25" s="3">
        <v>8574</v>
      </c>
    </row>
    <row r="26" spans="1:10" x14ac:dyDescent="0.3">
      <c r="A26" s="11" t="s">
        <v>34</v>
      </c>
      <c r="C26" s="3">
        <v>2072</v>
      </c>
      <c r="D26" s="3">
        <v>2319</v>
      </c>
      <c r="E26" s="3">
        <v>2371</v>
      </c>
      <c r="F26" s="3">
        <v>996</v>
      </c>
      <c r="G26" s="3">
        <v>197</v>
      </c>
      <c r="H26" s="3">
        <v>439</v>
      </c>
      <c r="I26" s="3">
        <v>3587</v>
      </c>
      <c r="J26" s="3">
        <v>4423</v>
      </c>
    </row>
    <row r="27" spans="1:10" x14ac:dyDescent="0.3">
      <c r="A27" s="11" t="s">
        <v>35</v>
      </c>
      <c r="C27" s="3">
        <v>3358</v>
      </c>
      <c r="D27" s="3">
        <v>3241</v>
      </c>
      <c r="E27" s="3">
        <v>3677</v>
      </c>
      <c r="F27" s="3">
        <v>3498</v>
      </c>
      <c r="G27" s="3">
        <v>4272</v>
      </c>
      <c r="H27" s="3">
        <v>2749</v>
      </c>
      <c r="I27" s="3">
        <v>4463</v>
      </c>
      <c r="J27" s="3">
        <v>4667</v>
      </c>
    </row>
    <row r="28" spans="1:10" x14ac:dyDescent="0.3">
      <c r="A28" s="11" t="s">
        <v>36</v>
      </c>
      <c r="C28" s="3">
        <v>4337</v>
      </c>
      <c r="D28" s="3">
        <v>4838</v>
      </c>
      <c r="E28" s="3">
        <v>5055</v>
      </c>
      <c r="F28" s="3">
        <v>5261</v>
      </c>
      <c r="G28" s="3">
        <v>5622</v>
      </c>
      <c r="H28" s="3">
        <v>7367</v>
      </c>
      <c r="I28" s="3">
        <v>6854</v>
      </c>
      <c r="J28" s="3">
        <v>8420</v>
      </c>
    </row>
    <row r="29" spans="1:10" x14ac:dyDescent="0.3">
      <c r="A29" s="11" t="s">
        <v>37</v>
      </c>
      <c r="C29" s="3">
        <v>1968</v>
      </c>
      <c r="D29" s="3">
        <v>1489</v>
      </c>
      <c r="E29" s="3">
        <v>1150</v>
      </c>
      <c r="F29" s="3">
        <v>1130</v>
      </c>
      <c r="G29" s="3">
        <v>1968</v>
      </c>
      <c r="H29" s="3">
        <v>1653</v>
      </c>
      <c r="I29" s="3">
        <v>1498</v>
      </c>
      <c r="J29" s="3">
        <v>2129</v>
      </c>
    </row>
    <row r="30" spans="1:10" x14ac:dyDescent="0.3">
      <c r="A30" s="4" t="s">
        <v>10</v>
      </c>
      <c r="C30" s="5">
        <f t="shared" ref="C30:I30" si="6">+SUM(C25:C29)</f>
        <v>15587</v>
      </c>
      <c r="D30" s="5">
        <f t="shared" si="6"/>
        <v>15025</v>
      </c>
      <c r="E30" s="5">
        <f t="shared" si="6"/>
        <v>16061</v>
      </c>
      <c r="F30" s="5">
        <f t="shared" si="6"/>
        <v>15134</v>
      </c>
      <c r="G30" s="5">
        <f t="shared" si="6"/>
        <v>16525</v>
      </c>
      <c r="H30" s="5">
        <f t="shared" si="6"/>
        <v>20556</v>
      </c>
      <c r="I30" s="5">
        <f t="shared" si="6"/>
        <v>26291</v>
      </c>
      <c r="J30" s="5">
        <f>+SUM(J25:J29)</f>
        <v>28213</v>
      </c>
    </row>
    <row r="31" spans="1:10" x14ac:dyDescent="0.3">
      <c r="A31" s="2" t="s">
        <v>38</v>
      </c>
      <c r="C31" s="3">
        <v>3011</v>
      </c>
      <c r="D31" s="3">
        <v>3520</v>
      </c>
      <c r="E31" s="3">
        <v>3989</v>
      </c>
      <c r="F31" s="3">
        <v>4454</v>
      </c>
      <c r="G31" s="3">
        <v>4744</v>
      </c>
      <c r="H31" s="3">
        <v>4866</v>
      </c>
      <c r="I31" s="3">
        <v>4904</v>
      </c>
      <c r="J31" s="3">
        <v>4791</v>
      </c>
    </row>
    <row r="32" spans="1:10" x14ac:dyDescent="0.3">
      <c r="A32" s="2" t="s">
        <v>39</v>
      </c>
      <c r="C32" s="3"/>
      <c r="D32" s="3"/>
      <c r="G32" s="3"/>
      <c r="H32" s="3">
        <v>3097</v>
      </c>
      <c r="I32" s="3">
        <v>3113</v>
      </c>
      <c r="J32" s="3">
        <v>2926</v>
      </c>
    </row>
    <row r="33" spans="1:10" x14ac:dyDescent="0.3">
      <c r="A33" s="2" t="s">
        <v>40</v>
      </c>
      <c r="C33" s="3">
        <v>281</v>
      </c>
      <c r="D33" s="3">
        <v>281</v>
      </c>
      <c r="E33" s="3">
        <v>283</v>
      </c>
      <c r="F33" s="3">
        <v>285</v>
      </c>
      <c r="G33" s="3">
        <v>283</v>
      </c>
      <c r="H33" s="3">
        <v>274</v>
      </c>
      <c r="I33" s="3">
        <v>269</v>
      </c>
      <c r="J33" s="3">
        <v>286</v>
      </c>
    </row>
    <row r="34" spans="1:10" x14ac:dyDescent="0.3">
      <c r="A34" s="2" t="s">
        <v>41</v>
      </c>
      <c r="C34" s="3">
        <v>131</v>
      </c>
      <c r="D34" s="3">
        <v>131</v>
      </c>
      <c r="E34" s="3">
        <v>139</v>
      </c>
      <c r="F34" s="3">
        <v>154</v>
      </c>
      <c r="G34" s="3">
        <v>154</v>
      </c>
      <c r="H34" s="3">
        <v>223</v>
      </c>
      <c r="I34" s="3">
        <v>242</v>
      </c>
      <c r="J34" s="3">
        <v>284</v>
      </c>
    </row>
    <row r="35" spans="1:10" x14ac:dyDescent="0.3">
      <c r="A35" s="2" t="s">
        <v>42</v>
      </c>
      <c r="C35" s="3">
        <v>2587</v>
      </c>
      <c r="D35" s="3">
        <v>2422</v>
      </c>
      <c r="E35" s="3">
        <v>2787</v>
      </c>
      <c r="F35" s="3">
        <v>2509</v>
      </c>
      <c r="G35" s="3">
        <v>2011</v>
      </c>
      <c r="H35" s="3">
        <v>2326</v>
      </c>
      <c r="I35" s="3">
        <v>2921</v>
      </c>
      <c r="J35" s="3">
        <v>3821</v>
      </c>
    </row>
    <row r="36" spans="1:10" ht="15" thickBot="1" x14ac:dyDescent="0.35">
      <c r="A36" s="6" t="s">
        <v>43</v>
      </c>
      <c r="C36" s="7">
        <f t="shared" ref="C36:I36" si="7">+SUM(C30:C35)</f>
        <v>21597</v>
      </c>
      <c r="D36" s="7">
        <f>+SUM(D30:D35)</f>
        <v>21379</v>
      </c>
      <c r="E36" s="7">
        <f>+SUM(E30:E35)</f>
        <v>23259</v>
      </c>
      <c r="F36" s="7">
        <f>+SUM(F30:F35)</f>
        <v>22536</v>
      </c>
      <c r="G36" s="7">
        <f t="shared" si="7"/>
        <v>23717</v>
      </c>
      <c r="H36" s="7">
        <f t="shared" si="7"/>
        <v>31342</v>
      </c>
      <c r="I36" s="7">
        <f t="shared" si="7"/>
        <v>37740</v>
      </c>
      <c r="J36" s="7">
        <f>+SUM(J30:J35)</f>
        <v>40321</v>
      </c>
    </row>
    <row r="37" spans="1:10" ht="15" thickTop="1" x14ac:dyDescent="0.3">
      <c r="A37" s="1" t="s">
        <v>44</v>
      </c>
      <c r="C37" s="3"/>
      <c r="D37" s="3"/>
      <c r="E37" s="3"/>
      <c r="F37" s="3"/>
      <c r="G37" s="3"/>
      <c r="H37" s="3"/>
      <c r="I37" s="3"/>
      <c r="J37" s="3"/>
    </row>
    <row r="38" spans="1:10" x14ac:dyDescent="0.3">
      <c r="A38" s="2" t="s">
        <v>45</v>
      </c>
      <c r="C38" s="3"/>
      <c r="D38" s="3"/>
      <c r="E38" s="3"/>
      <c r="F38" s="3"/>
      <c r="G38" s="3"/>
      <c r="H38" s="3"/>
      <c r="I38" s="3"/>
      <c r="J38" s="3"/>
    </row>
    <row r="39" spans="1:10" x14ac:dyDescent="0.3">
      <c r="A39" s="11" t="s">
        <v>46</v>
      </c>
      <c r="C39" s="3">
        <v>107</v>
      </c>
      <c r="D39" s="3">
        <v>44</v>
      </c>
      <c r="E39" s="3">
        <v>6</v>
      </c>
      <c r="F39" s="3">
        <v>6</v>
      </c>
      <c r="G39" s="3">
        <v>6</v>
      </c>
      <c r="H39" s="3">
        <v>3</v>
      </c>
      <c r="I39" s="3">
        <v>0</v>
      </c>
      <c r="J39" s="3">
        <v>500</v>
      </c>
    </row>
    <row r="40" spans="1:10" x14ac:dyDescent="0.3">
      <c r="A40" s="11" t="s">
        <v>47</v>
      </c>
      <c r="C40" s="3">
        <v>74</v>
      </c>
      <c r="D40" s="3">
        <v>1</v>
      </c>
      <c r="E40" s="3">
        <v>325</v>
      </c>
      <c r="F40" s="3">
        <v>336</v>
      </c>
      <c r="G40" s="3">
        <v>9</v>
      </c>
      <c r="H40" s="3">
        <v>248</v>
      </c>
      <c r="I40" s="3">
        <v>2</v>
      </c>
      <c r="J40" s="3">
        <v>10</v>
      </c>
    </row>
    <row r="41" spans="1:10" x14ac:dyDescent="0.3">
      <c r="A41" s="11" t="s">
        <v>11</v>
      </c>
      <c r="C41" s="3">
        <v>2131</v>
      </c>
      <c r="D41" s="3">
        <v>2191</v>
      </c>
      <c r="E41" s="3">
        <v>2048</v>
      </c>
      <c r="F41" s="3">
        <v>2279</v>
      </c>
      <c r="G41" s="3">
        <v>2612</v>
      </c>
      <c r="H41" s="3">
        <v>2248</v>
      </c>
      <c r="I41" s="3">
        <v>2836</v>
      </c>
      <c r="J41" s="3">
        <v>3358</v>
      </c>
    </row>
    <row r="42" spans="1:10" x14ac:dyDescent="0.3">
      <c r="A42" s="11" t="s">
        <v>48</v>
      </c>
      <c r="C42" s="3"/>
      <c r="D42" s="3"/>
      <c r="E42" s="3"/>
      <c r="G42" s="3"/>
      <c r="H42" s="3">
        <v>445</v>
      </c>
      <c r="I42" s="3">
        <v>467</v>
      </c>
      <c r="J42" s="3">
        <v>420</v>
      </c>
    </row>
    <row r="43" spans="1:10" x14ac:dyDescent="0.3">
      <c r="A43" s="11" t="s">
        <v>12</v>
      </c>
      <c r="C43" s="3">
        <v>3949</v>
      </c>
      <c r="D43" s="3">
        <v>3037</v>
      </c>
      <c r="E43" s="3">
        <v>3011</v>
      </c>
      <c r="F43" s="3">
        <v>3269</v>
      </c>
      <c r="G43" s="3">
        <v>5010</v>
      </c>
      <c r="H43" s="3">
        <v>5184</v>
      </c>
      <c r="I43" s="3">
        <v>6063</v>
      </c>
      <c r="J43" s="3">
        <v>6220</v>
      </c>
    </row>
    <row r="44" spans="1:10" x14ac:dyDescent="0.3">
      <c r="A44" s="11" t="s">
        <v>49</v>
      </c>
      <c r="C44" s="3">
        <v>71</v>
      </c>
      <c r="D44" s="3">
        <v>85</v>
      </c>
      <c r="E44" s="3">
        <v>84</v>
      </c>
      <c r="F44" s="3">
        <v>150</v>
      </c>
      <c r="G44" s="3">
        <v>229</v>
      </c>
      <c r="H44" s="3">
        <v>156</v>
      </c>
      <c r="I44" s="3">
        <v>306</v>
      </c>
      <c r="J44" s="3">
        <v>222</v>
      </c>
    </row>
    <row r="45" spans="1:10" x14ac:dyDescent="0.3">
      <c r="A45" s="4" t="s">
        <v>13</v>
      </c>
      <c r="C45" s="5">
        <f t="shared" ref="C45:I45" si="8">+SUM(C39:C44)</f>
        <v>6332</v>
      </c>
      <c r="D45" s="5">
        <f t="shared" si="8"/>
        <v>5358</v>
      </c>
      <c r="E45" s="5">
        <f t="shared" si="8"/>
        <v>5474</v>
      </c>
      <c r="F45" s="5">
        <f t="shared" si="8"/>
        <v>6040</v>
      </c>
      <c r="G45" s="5">
        <f t="shared" si="8"/>
        <v>7866</v>
      </c>
      <c r="H45" s="5">
        <f t="shared" si="8"/>
        <v>8284</v>
      </c>
      <c r="I45" s="5">
        <f t="shared" si="8"/>
        <v>9674</v>
      </c>
      <c r="J45" s="5">
        <f>+SUM(J39:J44)</f>
        <v>10730</v>
      </c>
    </row>
    <row r="46" spans="1:10" x14ac:dyDescent="0.3">
      <c r="A46" s="2" t="s">
        <v>50</v>
      </c>
      <c r="C46" s="3">
        <v>1079</v>
      </c>
      <c r="D46" s="3">
        <v>1993</v>
      </c>
      <c r="E46" s="3">
        <v>3471</v>
      </c>
      <c r="F46" s="3">
        <v>3468</v>
      </c>
      <c r="G46" s="3">
        <v>3464</v>
      </c>
      <c r="H46" s="3">
        <v>9406</v>
      </c>
      <c r="I46" s="3">
        <v>9413</v>
      </c>
      <c r="J46" s="3">
        <v>8920</v>
      </c>
    </row>
    <row r="47" spans="1:10" x14ac:dyDescent="0.3">
      <c r="A47" s="2" t="s">
        <v>51</v>
      </c>
      <c r="C47" s="3"/>
      <c r="D47" s="3"/>
      <c r="E47" s="3"/>
      <c r="F47" s="3"/>
      <c r="G47" s="3"/>
      <c r="H47" s="3">
        <v>2913</v>
      </c>
      <c r="I47" s="3">
        <v>2931</v>
      </c>
      <c r="J47" s="3">
        <v>2777</v>
      </c>
    </row>
    <row r="48" spans="1:10" x14ac:dyDescent="0.3">
      <c r="A48" s="2" t="s">
        <v>52</v>
      </c>
      <c r="C48" s="3">
        <v>1479</v>
      </c>
      <c r="D48" s="3">
        <v>1770</v>
      </c>
      <c r="E48" s="3">
        <v>1907</v>
      </c>
      <c r="F48" s="3">
        <v>3216</v>
      </c>
      <c r="G48" s="3">
        <v>3347</v>
      </c>
      <c r="H48" s="3">
        <v>2684</v>
      </c>
      <c r="I48" s="3">
        <v>2955</v>
      </c>
      <c r="J48" s="3">
        <v>2613</v>
      </c>
    </row>
    <row r="49" spans="1:10" x14ac:dyDescent="0.3">
      <c r="A49" s="2" t="s">
        <v>53</v>
      </c>
      <c r="C49" s="3"/>
      <c r="D49" s="3"/>
      <c r="E49" s="3"/>
      <c r="F49" s="3"/>
      <c r="G49" s="3"/>
      <c r="H49" s="3"/>
      <c r="I49" s="3"/>
      <c r="J49" s="3"/>
    </row>
    <row r="50" spans="1:10" x14ac:dyDescent="0.3">
      <c r="A50" s="11" t="s">
        <v>54</v>
      </c>
      <c r="C50" s="3"/>
      <c r="D50" s="3"/>
      <c r="E50" s="3"/>
      <c r="F50" s="3"/>
      <c r="G50" s="3"/>
      <c r="H50" s="3"/>
      <c r="I50" s="3">
        <v>0</v>
      </c>
      <c r="J50" s="3">
        <v>0</v>
      </c>
    </row>
    <row r="51" spans="1:10" x14ac:dyDescent="0.3">
      <c r="A51" s="2" t="s">
        <v>55</v>
      </c>
      <c r="C51" s="3"/>
      <c r="D51" s="3"/>
      <c r="E51" s="3"/>
      <c r="F51" s="3"/>
      <c r="G51" s="3"/>
      <c r="H51" s="3"/>
      <c r="I51" s="3"/>
      <c r="J51" s="3"/>
    </row>
    <row r="52" spans="1:10" x14ac:dyDescent="0.3">
      <c r="A52" s="11" t="s">
        <v>56</v>
      </c>
      <c r="C52" s="3"/>
      <c r="D52" s="3"/>
      <c r="E52" s="3"/>
      <c r="F52" s="3"/>
      <c r="G52" s="3"/>
      <c r="H52" s="3"/>
      <c r="I52" s="3"/>
      <c r="J52" s="3"/>
    </row>
    <row r="53" spans="1:10" x14ac:dyDescent="0.3">
      <c r="A53" s="17" t="s">
        <v>57</v>
      </c>
      <c r="C53" s="3"/>
      <c r="D53" s="3"/>
      <c r="E53" s="3"/>
      <c r="F53" s="3"/>
      <c r="G53" s="3"/>
      <c r="H53" s="3"/>
      <c r="I53" s="3"/>
      <c r="J53" s="3"/>
    </row>
    <row r="54" spans="1:10" x14ac:dyDescent="0.3">
      <c r="A54" s="17" t="s">
        <v>58</v>
      </c>
      <c r="C54" s="3">
        <v>3</v>
      </c>
      <c r="D54" s="3">
        <v>3</v>
      </c>
      <c r="E54" s="3">
        <v>3</v>
      </c>
      <c r="F54" s="3">
        <v>3</v>
      </c>
      <c r="G54" s="3">
        <v>3</v>
      </c>
      <c r="H54" s="3">
        <v>3</v>
      </c>
      <c r="I54" s="3">
        <v>3</v>
      </c>
      <c r="J54" s="3">
        <v>3</v>
      </c>
    </row>
    <row r="55" spans="1:10" x14ac:dyDescent="0.3">
      <c r="A55" s="17" t="s">
        <v>59</v>
      </c>
      <c r="C55" s="3">
        <v>6773</v>
      </c>
      <c r="D55" s="3">
        <v>7786</v>
      </c>
      <c r="E55" s="3">
        <v>5710</v>
      </c>
      <c r="F55" s="3">
        <v>6384</v>
      </c>
      <c r="G55" s="3">
        <v>7163</v>
      </c>
      <c r="H55" s="3">
        <v>8299</v>
      </c>
      <c r="I55" s="3">
        <v>9965</v>
      </c>
      <c r="J55" s="3">
        <v>11484</v>
      </c>
    </row>
    <row r="56" spans="1:10" x14ac:dyDescent="0.3">
      <c r="A56" s="17" t="s">
        <v>60</v>
      </c>
      <c r="C56" s="3">
        <v>1246</v>
      </c>
      <c r="D56" s="3">
        <v>318</v>
      </c>
      <c r="E56" s="3">
        <v>-213</v>
      </c>
      <c r="F56" s="3">
        <v>-92</v>
      </c>
      <c r="G56" s="3">
        <v>231</v>
      </c>
      <c r="H56" s="3">
        <v>-56</v>
      </c>
      <c r="I56" s="3">
        <v>-380</v>
      </c>
      <c r="J56" s="3">
        <v>318</v>
      </c>
    </row>
    <row r="57" spans="1:10" x14ac:dyDescent="0.3">
      <c r="A57" s="17" t="s">
        <v>61</v>
      </c>
      <c r="C57" s="3">
        <v>4685</v>
      </c>
      <c r="D57" s="3">
        <v>4151</v>
      </c>
      <c r="E57" s="3">
        <v>6907</v>
      </c>
      <c r="F57" s="3">
        <v>3517</v>
      </c>
      <c r="G57" s="3">
        <v>1643</v>
      </c>
      <c r="H57" s="3">
        <v>-191</v>
      </c>
      <c r="I57" s="3">
        <v>3179</v>
      </c>
      <c r="J57" s="3">
        <v>3476</v>
      </c>
    </row>
    <row r="58" spans="1:10" x14ac:dyDescent="0.3">
      <c r="A58" s="4" t="s">
        <v>62</v>
      </c>
      <c r="C58" s="5">
        <f t="shared" ref="C58:I58" si="9">+SUM(C53:C57)</f>
        <v>12707</v>
      </c>
      <c r="D58" s="5">
        <f t="shared" si="9"/>
        <v>12258</v>
      </c>
      <c r="E58" s="5">
        <f t="shared" si="9"/>
        <v>12407</v>
      </c>
      <c r="F58" s="5">
        <f t="shared" si="9"/>
        <v>9812</v>
      </c>
      <c r="G58" s="5">
        <f t="shared" si="9"/>
        <v>9040</v>
      </c>
      <c r="H58" s="5">
        <f t="shared" si="9"/>
        <v>8055</v>
      </c>
      <c r="I58" s="5">
        <f t="shared" si="9"/>
        <v>12767</v>
      </c>
      <c r="J58" s="5">
        <f>+SUM(J53:J57)</f>
        <v>15281</v>
      </c>
    </row>
    <row r="59" spans="1:10" ht="15" thickBot="1" x14ac:dyDescent="0.35">
      <c r="A59" s="6" t="s">
        <v>63</v>
      </c>
      <c r="C59" s="7">
        <f t="shared" ref="C59:I59" si="10">+SUM(C45:C50)+C58</f>
        <v>21597</v>
      </c>
      <c r="D59" s="7">
        <f t="shared" si="10"/>
        <v>21379</v>
      </c>
      <c r="E59" s="7">
        <f t="shared" si="10"/>
        <v>23259</v>
      </c>
      <c r="F59" s="7">
        <f t="shared" si="10"/>
        <v>22536</v>
      </c>
      <c r="G59" s="7">
        <f t="shared" si="10"/>
        <v>23717</v>
      </c>
      <c r="H59" s="7">
        <f t="shared" si="10"/>
        <v>31342</v>
      </c>
      <c r="I59" s="7">
        <f t="shared" si="10"/>
        <v>37740</v>
      </c>
      <c r="J59" s="7">
        <f>+SUM(J45:J50)+J58</f>
        <v>40321</v>
      </c>
    </row>
    <row r="60" spans="1:10" s="12" customFormat="1" ht="15" thickTop="1" x14ac:dyDescent="0.3">
      <c r="A60" s="12" t="s">
        <v>3</v>
      </c>
      <c r="C60" s="13">
        <f t="shared" ref="C60:I60" si="11">+C59-C36</f>
        <v>0</v>
      </c>
      <c r="D60" s="13">
        <f t="shared" si="11"/>
        <v>0</v>
      </c>
      <c r="E60" s="13">
        <f t="shared" si="11"/>
        <v>0</v>
      </c>
      <c r="F60" s="13">
        <f t="shared" si="11"/>
        <v>0</v>
      </c>
      <c r="G60" s="13">
        <f t="shared" si="11"/>
        <v>0</v>
      </c>
      <c r="H60" s="13">
        <f t="shared" si="11"/>
        <v>0</v>
      </c>
      <c r="I60" s="13">
        <f t="shared" si="11"/>
        <v>0</v>
      </c>
      <c r="J60" s="13">
        <f>+J59-J36</f>
        <v>0</v>
      </c>
    </row>
    <row r="61" spans="1:10" x14ac:dyDescent="0.3">
      <c r="A61" s="14" t="s">
        <v>1</v>
      </c>
      <c r="C61" s="14"/>
      <c r="D61" s="14"/>
      <c r="E61" s="14"/>
      <c r="F61" s="14"/>
      <c r="G61" s="14"/>
      <c r="H61" s="14"/>
      <c r="I61" s="14"/>
      <c r="J61" s="14"/>
    </row>
    <row r="62" spans="1:10" x14ac:dyDescent="0.3">
      <c r="A62" t="s">
        <v>15</v>
      </c>
    </row>
    <row r="63" spans="1:10" x14ac:dyDescent="0.3">
      <c r="A63" s="1" t="s">
        <v>64</v>
      </c>
    </row>
    <row r="64" spans="1:10" s="1" customFormat="1" x14ac:dyDescent="0.3">
      <c r="A64" s="10" t="s">
        <v>65</v>
      </c>
      <c r="C64" s="9">
        <v>3273</v>
      </c>
      <c r="D64" s="9">
        <v>3760</v>
      </c>
      <c r="E64" s="9">
        <v>4240</v>
      </c>
      <c r="F64" s="9">
        <v>1933</v>
      </c>
      <c r="G64" s="9">
        <v>4029</v>
      </c>
      <c r="H64" s="9">
        <v>2539</v>
      </c>
      <c r="I64" s="9">
        <f>+I12</f>
        <v>5727</v>
      </c>
      <c r="J64" s="9">
        <f>+J12</f>
        <v>6046</v>
      </c>
    </row>
    <row r="65" spans="1:10" s="1" customFormat="1" x14ac:dyDescent="0.3">
      <c r="A65" s="2" t="s">
        <v>66</v>
      </c>
      <c r="C65" s="3"/>
      <c r="D65" s="3"/>
      <c r="F65" s="3"/>
      <c r="G65" s="3"/>
      <c r="H65" s="3"/>
      <c r="I65" s="3"/>
      <c r="J65" s="3"/>
    </row>
    <row r="66" spans="1:10" x14ac:dyDescent="0.3">
      <c r="A66" s="11" t="s">
        <v>67</v>
      </c>
      <c r="C66" s="3">
        <v>606</v>
      </c>
      <c r="D66" s="3">
        <v>649</v>
      </c>
      <c r="E66" s="3">
        <v>706</v>
      </c>
      <c r="F66" s="3">
        <v>747</v>
      </c>
      <c r="G66" s="3">
        <v>705</v>
      </c>
      <c r="H66" s="3">
        <v>721</v>
      </c>
      <c r="I66" s="3">
        <v>744</v>
      </c>
      <c r="J66" s="3">
        <v>717</v>
      </c>
    </row>
    <row r="67" spans="1:10" x14ac:dyDescent="0.3">
      <c r="A67" s="11" t="s">
        <v>68</v>
      </c>
      <c r="C67" s="3">
        <v>-113</v>
      </c>
      <c r="D67" s="3">
        <v>-80</v>
      </c>
      <c r="E67" s="3">
        <v>-273</v>
      </c>
      <c r="F67" s="3">
        <v>647</v>
      </c>
      <c r="G67" s="3">
        <v>34</v>
      </c>
      <c r="H67" s="3">
        <v>-380</v>
      </c>
      <c r="I67" s="3">
        <v>-385</v>
      </c>
      <c r="J67" s="3">
        <v>-650</v>
      </c>
    </row>
    <row r="68" spans="1:10" x14ac:dyDescent="0.3">
      <c r="A68" s="11" t="s">
        <v>69</v>
      </c>
      <c r="C68" s="3">
        <v>191</v>
      </c>
      <c r="D68" s="3">
        <v>236</v>
      </c>
      <c r="E68" s="3">
        <v>215</v>
      </c>
      <c r="F68" s="3">
        <v>218</v>
      </c>
      <c r="G68" s="3">
        <v>325</v>
      </c>
      <c r="H68" s="3">
        <v>429</v>
      </c>
      <c r="I68" s="3">
        <v>611</v>
      </c>
      <c r="J68" s="3">
        <v>638</v>
      </c>
    </row>
    <row r="69" spans="1:10" x14ac:dyDescent="0.3">
      <c r="A69" s="11" t="s">
        <v>70</v>
      </c>
      <c r="C69" s="3">
        <v>43</v>
      </c>
      <c r="D69" s="3">
        <v>13</v>
      </c>
      <c r="E69" s="3">
        <v>10</v>
      </c>
      <c r="F69" s="3">
        <v>27</v>
      </c>
      <c r="G69" s="3">
        <v>15</v>
      </c>
      <c r="H69" s="3">
        <v>398</v>
      </c>
      <c r="I69" s="3">
        <v>53</v>
      </c>
      <c r="J69" s="3">
        <v>123</v>
      </c>
    </row>
    <row r="70" spans="1:10" x14ac:dyDescent="0.3">
      <c r="A70" s="11" t="s">
        <v>71</v>
      </c>
      <c r="C70" s="3">
        <v>424</v>
      </c>
      <c r="D70" s="3">
        <v>98</v>
      </c>
      <c r="E70" s="3">
        <v>-117</v>
      </c>
      <c r="F70" s="3">
        <v>-99</v>
      </c>
      <c r="G70" s="3">
        <v>233</v>
      </c>
      <c r="H70" s="3">
        <v>23</v>
      </c>
      <c r="I70" s="3">
        <v>-138</v>
      </c>
      <c r="J70" s="3">
        <v>-26</v>
      </c>
    </row>
    <row r="71" spans="1:10" x14ac:dyDescent="0.3">
      <c r="A71" s="2" t="s">
        <v>72</v>
      </c>
      <c r="C71" s="3"/>
      <c r="D71" s="3"/>
      <c r="F71" s="3"/>
      <c r="G71" s="3"/>
      <c r="H71" s="3"/>
      <c r="I71" s="3"/>
      <c r="J71" s="3"/>
    </row>
    <row r="72" spans="1:10" x14ac:dyDescent="0.3">
      <c r="A72" s="11" t="s">
        <v>73</v>
      </c>
      <c r="C72" s="3">
        <v>-216</v>
      </c>
      <c r="D72" s="3">
        <v>60</v>
      </c>
      <c r="E72" s="3">
        <v>-426</v>
      </c>
      <c r="F72" s="3">
        <v>187</v>
      </c>
      <c r="G72" s="3">
        <v>-270</v>
      </c>
      <c r="H72" s="3">
        <v>1239</v>
      </c>
      <c r="I72" s="3">
        <v>-1606</v>
      </c>
      <c r="J72" s="3">
        <v>-504</v>
      </c>
    </row>
    <row r="73" spans="1:10" x14ac:dyDescent="0.3">
      <c r="A73" s="11" t="s">
        <v>74</v>
      </c>
      <c r="C73" s="3">
        <v>-621</v>
      </c>
      <c r="D73" s="3">
        <v>-590</v>
      </c>
      <c r="E73" s="3">
        <v>-231</v>
      </c>
      <c r="F73" s="3">
        <v>-255</v>
      </c>
      <c r="G73" s="3">
        <v>-490</v>
      </c>
      <c r="H73" s="3">
        <v>-1854</v>
      </c>
      <c r="I73" s="3">
        <v>507</v>
      </c>
      <c r="J73" s="3">
        <v>-1676</v>
      </c>
    </row>
    <row r="74" spans="1:10" x14ac:dyDescent="0.3">
      <c r="A74" s="11" t="s">
        <v>99</v>
      </c>
      <c r="C74" s="3">
        <v>-144</v>
      </c>
      <c r="D74" s="3">
        <v>-161</v>
      </c>
      <c r="E74" s="3">
        <v>-120</v>
      </c>
      <c r="F74" s="3">
        <v>35</v>
      </c>
      <c r="G74" s="3">
        <v>-203</v>
      </c>
      <c r="H74" s="3">
        <v>-654</v>
      </c>
      <c r="I74" s="3">
        <v>-182</v>
      </c>
      <c r="J74" s="3">
        <v>-845</v>
      </c>
    </row>
    <row r="75" spans="1:10" x14ac:dyDescent="0.3">
      <c r="A75" s="11" t="s">
        <v>98</v>
      </c>
      <c r="C75" s="3">
        <v>1237</v>
      </c>
      <c r="D75" s="3">
        <v>-889</v>
      </c>
      <c r="E75" s="3">
        <v>-158</v>
      </c>
      <c r="F75" s="3">
        <v>1515</v>
      </c>
      <c r="G75" s="3">
        <v>1525</v>
      </c>
      <c r="H75" s="3">
        <v>24</v>
      </c>
      <c r="I75" s="3">
        <v>1326</v>
      </c>
      <c r="J75" s="3">
        <v>1365</v>
      </c>
    </row>
    <row r="76" spans="1:10" x14ac:dyDescent="0.3">
      <c r="A76" s="25" t="s">
        <v>75</v>
      </c>
      <c r="C76" s="26">
        <f t="shared" ref="C76:I76" si="12">+SUM(C64:C75)</f>
        <v>4680</v>
      </c>
      <c r="D76" s="26">
        <f t="shared" si="12"/>
        <v>3096</v>
      </c>
      <c r="E76" s="26">
        <f>+SUM(E64:E75)</f>
        <v>3846</v>
      </c>
      <c r="F76" s="26">
        <f t="shared" si="12"/>
        <v>4955</v>
      </c>
      <c r="G76" s="26">
        <f t="shared" si="12"/>
        <v>5903</v>
      </c>
      <c r="H76" s="26">
        <f t="shared" si="12"/>
        <v>2485</v>
      </c>
      <c r="I76" s="26">
        <f t="shared" si="12"/>
        <v>6657</v>
      </c>
      <c r="J76" s="26">
        <f>+SUM(J64:J75)</f>
        <v>5188</v>
      </c>
    </row>
    <row r="77" spans="1:10" x14ac:dyDescent="0.3">
      <c r="A77" s="1" t="s">
        <v>76</v>
      </c>
      <c r="C77" s="3"/>
      <c r="D77" s="3"/>
      <c r="E77" s="3"/>
      <c r="F77" s="3"/>
      <c r="G77" s="3"/>
      <c r="H77" s="3"/>
      <c r="I77" s="3"/>
      <c r="J77" s="3"/>
    </row>
    <row r="78" spans="1:10" x14ac:dyDescent="0.3">
      <c r="A78" s="2" t="s">
        <v>77</v>
      </c>
      <c r="C78" s="3">
        <v>-4936</v>
      </c>
      <c r="D78" s="3">
        <v>-5367</v>
      </c>
      <c r="E78" s="3">
        <v>-5928</v>
      </c>
      <c r="F78" s="3">
        <v>-4783</v>
      </c>
      <c r="G78" s="3">
        <v>-2937</v>
      </c>
      <c r="H78" s="3">
        <v>-2426</v>
      </c>
      <c r="I78" s="3">
        <v>-9961</v>
      </c>
      <c r="J78" s="3">
        <v>-12913</v>
      </c>
    </row>
    <row r="79" spans="1:10" x14ac:dyDescent="0.3">
      <c r="A79" s="2" t="s">
        <v>78</v>
      </c>
      <c r="C79" s="3">
        <v>3655</v>
      </c>
      <c r="D79" s="3">
        <v>2924</v>
      </c>
      <c r="E79" s="3">
        <v>3623</v>
      </c>
      <c r="F79" s="3">
        <v>3613</v>
      </c>
      <c r="G79" s="3">
        <v>1715</v>
      </c>
      <c r="H79" s="3">
        <v>74</v>
      </c>
      <c r="I79" s="3">
        <v>4236</v>
      </c>
      <c r="J79" s="3">
        <v>8199</v>
      </c>
    </row>
    <row r="80" spans="1:10" x14ac:dyDescent="0.3">
      <c r="A80" s="2" t="s">
        <v>79</v>
      </c>
      <c r="C80" s="3">
        <v>2216</v>
      </c>
      <c r="D80" s="3">
        <v>2386</v>
      </c>
      <c r="E80" s="3">
        <v>2423</v>
      </c>
      <c r="F80" s="3">
        <v>2496</v>
      </c>
      <c r="G80" s="3">
        <v>2072</v>
      </c>
      <c r="H80" s="3">
        <v>2379</v>
      </c>
      <c r="I80" s="3">
        <v>2449</v>
      </c>
      <c r="J80" s="3">
        <v>3967</v>
      </c>
    </row>
    <row r="81" spans="1:10" x14ac:dyDescent="0.3">
      <c r="A81" s="2" t="s">
        <v>14</v>
      </c>
      <c r="C81" s="3">
        <v>-963</v>
      </c>
      <c r="D81" s="3">
        <v>-1143</v>
      </c>
      <c r="E81" s="3">
        <v>-1105</v>
      </c>
      <c r="F81" s="3">
        <v>-1028</v>
      </c>
      <c r="G81" s="3">
        <v>-1119</v>
      </c>
      <c r="H81" s="3">
        <v>-1086</v>
      </c>
      <c r="I81" s="3">
        <v>-695</v>
      </c>
      <c r="J81" s="3">
        <v>-758</v>
      </c>
    </row>
    <row r="82" spans="1:10" x14ac:dyDescent="0.3">
      <c r="A82" s="2" t="s">
        <v>80</v>
      </c>
      <c r="C82" s="3">
        <f>3+-150</f>
        <v>-147</v>
      </c>
      <c r="D82" s="3">
        <f>156+10</f>
        <v>166</v>
      </c>
      <c r="E82" s="3">
        <v>-21</v>
      </c>
      <c r="F82" s="3">
        <v>-22</v>
      </c>
      <c r="G82" s="3">
        <v>5</v>
      </c>
      <c r="H82" s="3">
        <v>31</v>
      </c>
      <c r="I82" s="3">
        <v>171</v>
      </c>
      <c r="J82" s="3">
        <v>-19</v>
      </c>
    </row>
    <row r="83" spans="1:10" x14ac:dyDescent="0.3">
      <c r="A83" s="27" t="s">
        <v>81</v>
      </c>
      <c r="C83" s="26">
        <f t="shared" ref="C83:I83" si="13">+SUM(C78:C82)</f>
        <v>-175</v>
      </c>
      <c r="D83" s="26">
        <f>SUM(D78:D82)</f>
        <v>-1034</v>
      </c>
      <c r="E83" s="26">
        <f>SUM(E78:E82)</f>
        <v>-1008</v>
      </c>
      <c r="F83" s="26">
        <f t="shared" si="13"/>
        <v>276</v>
      </c>
      <c r="G83" s="26">
        <f t="shared" si="13"/>
        <v>-264</v>
      </c>
      <c r="H83" s="26">
        <f t="shared" si="13"/>
        <v>-1028</v>
      </c>
      <c r="I83" s="26">
        <f t="shared" si="13"/>
        <v>-3800</v>
      </c>
      <c r="J83" s="26">
        <f>+SUM(J78:J82)</f>
        <v>-1524</v>
      </c>
    </row>
    <row r="84" spans="1:10" x14ac:dyDescent="0.3">
      <c r="A84" s="1" t="s">
        <v>82</v>
      </c>
      <c r="C84" s="3"/>
      <c r="D84" s="3"/>
      <c r="E84" s="3"/>
      <c r="F84" s="3"/>
      <c r="G84" s="3"/>
      <c r="H84" s="3"/>
      <c r="I84" s="3"/>
      <c r="J84" s="3"/>
    </row>
    <row r="85" spans="1:10" x14ac:dyDescent="0.3">
      <c r="A85" s="2" t="s">
        <v>83</v>
      </c>
      <c r="C85" s="3" t="s">
        <v>144</v>
      </c>
      <c r="D85" s="3">
        <v>981</v>
      </c>
      <c r="E85" s="3">
        <v>1482</v>
      </c>
      <c r="F85" s="3" t="s">
        <v>144</v>
      </c>
      <c r="G85" s="3" t="s">
        <v>144</v>
      </c>
      <c r="H85" s="3">
        <v>6134</v>
      </c>
      <c r="I85" s="3">
        <v>0</v>
      </c>
      <c r="J85" s="3">
        <v>0</v>
      </c>
    </row>
    <row r="86" spans="1:10" x14ac:dyDescent="0.3">
      <c r="A86" s="2" t="s">
        <v>84</v>
      </c>
      <c r="C86" s="3">
        <v>-63</v>
      </c>
      <c r="D86" s="3">
        <v>-67</v>
      </c>
      <c r="E86" s="3">
        <v>327</v>
      </c>
      <c r="F86" s="3">
        <v>13</v>
      </c>
      <c r="G86" s="3">
        <v>-325</v>
      </c>
      <c r="H86" s="3">
        <v>49</v>
      </c>
      <c r="I86" s="3">
        <v>-52</v>
      </c>
      <c r="J86" s="3">
        <v>15</v>
      </c>
    </row>
    <row r="87" spans="1:10" x14ac:dyDescent="0.3">
      <c r="A87" s="2" t="s">
        <v>85</v>
      </c>
      <c r="C87" s="3"/>
      <c r="E87" s="3"/>
      <c r="F87" s="3"/>
      <c r="G87" s="3"/>
      <c r="I87" s="3">
        <v>-197</v>
      </c>
      <c r="J87" s="3">
        <v>0</v>
      </c>
    </row>
    <row r="88" spans="1:10" x14ac:dyDescent="0.3">
      <c r="A88" s="2" t="s">
        <v>86</v>
      </c>
      <c r="C88" s="3">
        <v>514</v>
      </c>
      <c r="D88">
        <v>507</v>
      </c>
      <c r="E88" s="3">
        <v>489</v>
      </c>
      <c r="F88" s="3">
        <v>733</v>
      </c>
      <c r="G88" s="3">
        <v>700</v>
      </c>
      <c r="H88" s="3">
        <v>885</v>
      </c>
      <c r="I88" s="3">
        <v>1172</v>
      </c>
      <c r="J88" s="3">
        <v>1151</v>
      </c>
    </row>
    <row r="89" spans="1:10" x14ac:dyDescent="0.3">
      <c r="A89" s="2" t="s">
        <v>16</v>
      </c>
      <c r="C89" s="3">
        <v>-2534</v>
      </c>
      <c r="D89" s="3">
        <v>-3238</v>
      </c>
      <c r="E89" s="3">
        <v>-3223</v>
      </c>
      <c r="F89" s="3">
        <v>-4254</v>
      </c>
      <c r="G89" s="3">
        <v>-4286</v>
      </c>
      <c r="H89" s="3">
        <v>-3067</v>
      </c>
      <c r="I89" s="3">
        <v>-608</v>
      </c>
      <c r="J89" s="3">
        <v>-4014</v>
      </c>
    </row>
    <row r="90" spans="1:10" x14ac:dyDescent="0.3">
      <c r="A90" s="2" t="s">
        <v>87</v>
      </c>
      <c r="C90" s="3">
        <v>-899</v>
      </c>
      <c r="D90" s="3">
        <v>-1022</v>
      </c>
      <c r="E90" s="3">
        <v>-1133</v>
      </c>
      <c r="F90" s="3">
        <v>-1243</v>
      </c>
      <c r="G90" s="3">
        <v>-1332</v>
      </c>
      <c r="H90" s="3">
        <v>-1452</v>
      </c>
      <c r="I90" s="3">
        <v>-1638</v>
      </c>
      <c r="J90" s="3">
        <v>-1837</v>
      </c>
    </row>
    <row r="91" spans="1:10" x14ac:dyDescent="0.3">
      <c r="A91" s="2" t="s">
        <v>88</v>
      </c>
      <c r="C91" s="3">
        <f>218-7-19</f>
        <v>192</v>
      </c>
      <c r="D91" s="3">
        <f>281-106-7</f>
        <v>168</v>
      </c>
      <c r="E91" s="3">
        <f>-44+-17+-29</f>
        <v>-90</v>
      </c>
      <c r="F91" s="3">
        <v>-84</v>
      </c>
      <c r="G91" s="3">
        <v>-50</v>
      </c>
      <c r="H91" s="3">
        <v>-58</v>
      </c>
      <c r="I91" s="3">
        <v>-136</v>
      </c>
      <c r="J91" s="3">
        <v>-151</v>
      </c>
    </row>
    <row r="92" spans="1:10" x14ac:dyDescent="0.3">
      <c r="A92" s="27" t="s">
        <v>89</v>
      </c>
      <c r="C92" s="26">
        <f t="shared" ref="C92:I92" si="14">+SUM(C85:C91)</f>
        <v>-2790</v>
      </c>
      <c r="D92" s="26">
        <f>+SUM(D85:D91)</f>
        <v>-2671</v>
      </c>
      <c r="E92" s="26">
        <f>SUM(E85:E91)</f>
        <v>-2148</v>
      </c>
      <c r="F92" s="26">
        <f>+SUM(F85:F91)</f>
        <v>-4835</v>
      </c>
      <c r="G92" s="26">
        <f t="shared" si="14"/>
        <v>-5293</v>
      </c>
      <c r="H92" s="26">
        <f>+SUM(H85:H91)</f>
        <v>2491</v>
      </c>
      <c r="I92" s="26">
        <f t="shared" si="14"/>
        <v>-1459</v>
      </c>
      <c r="J92" s="26">
        <f>+SUM(J85:J91)</f>
        <v>-4836</v>
      </c>
    </row>
    <row r="93" spans="1:10" x14ac:dyDescent="0.3">
      <c r="A93" s="2" t="s">
        <v>90</v>
      </c>
      <c r="C93" s="3">
        <v>-83</v>
      </c>
      <c r="D93" s="3">
        <v>-105</v>
      </c>
      <c r="E93" s="3">
        <v>-20</v>
      </c>
      <c r="F93" s="3">
        <v>45</v>
      </c>
      <c r="G93" s="3">
        <v>-129</v>
      </c>
      <c r="H93" s="3">
        <v>-66</v>
      </c>
      <c r="I93" s="3">
        <v>143</v>
      </c>
      <c r="J93" s="3">
        <v>-143</v>
      </c>
    </row>
    <row r="94" spans="1:10" x14ac:dyDescent="0.3">
      <c r="A94" s="27" t="s">
        <v>91</v>
      </c>
      <c r="C94" s="26">
        <f t="shared" ref="C94:I94" si="15">+C76+C83+C92+C93</f>
        <v>1632</v>
      </c>
      <c r="D94" s="26">
        <f>+D76+D83+D92+D93</f>
        <v>-714</v>
      </c>
      <c r="E94" s="26">
        <f>+E76+E83+E92+E93</f>
        <v>670</v>
      </c>
      <c r="F94" s="26">
        <f t="shared" si="15"/>
        <v>441</v>
      </c>
      <c r="G94" s="26">
        <f t="shared" si="15"/>
        <v>217</v>
      </c>
      <c r="H94" s="26">
        <f t="shared" si="15"/>
        <v>3882</v>
      </c>
      <c r="I94" s="26">
        <f t="shared" si="15"/>
        <v>1541</v>
      </c>
      <c r="J94" s="26">
        <f>+J76+J83+J92+J93</f>
        <v>-1315</v>
      </c>
    </row>
    <row r="95" spans="1:10" x14ac:dyDescent="0.3">
      <c r="A95" t="s">
        <v>92</v>
      </c>
      <c r="C95" s="3">
        <v>2220</v>
      </c>
      <c r="D95" s="3">
        <v>3852</v>
      </c>
      <c r="E95" s="3">
        <v>3138</v>
      </c>
      <c r="F95" s="3">
        <v>3808</v>
      </c>
      <c r="G95" s="3">
        <v>4249</v>
      </c>
      <c r="H95" s="3">
        <v>4466</v>
      </c>
      <c r="I95" s="3">
        <v>8348</v>
      </c>
      <c r="J95" s="3">
        <f>+I96</f>
        <v>9889</v>
      </c>
    </row>
    <row r="96" spans="1:10" ht="15" thickBot="1" x14ac:dyDescent="0.35">
      <c r="A96" s="6" t="s">
        <v>93</v>
      </c>
      <c r="C96" s="7">
        <f>C95+C94</f>
        <v>3852</v>
      </c>
      <c r="D96" s="7">
        <f>D95+D94</f>
        <v>3138</v>
      </c>
      <c r="E96" s="7">
        <f>E94+E95</f>
        <v>3808</v>
      </c>
      <c r="F96" s="7">
        <f>F94+F95</f>
        <v>4249</v>
      </c>
      <c r="G96" s="7">
        <f>G94+G95</f>
        <v>4466</v>
      </c>
      <c r="H96" s="7">
        <f>H94+H95</f>
        <v>8348</v>
      </c>
      <c r="I96" s="7">
        <f>+I94+I95</f>
        <v>9889</v>
      </c>
      <c r="J96" s="7">
        <f>+J94+J95</f>
        <v>8574</v>
      </c>
    </row>
    <row r="97" spans="1:10" s="12" customFormat="1" ht="15" thickTop="1" x14ac:dyDescent="0.3">
      <c r="A97" s="12" t="s">
        <v>19</v>
      </c>
      <c r="C97" s="13">
        <f>+C96-C25</f>
        <v>0</v>
      </c>
      <c r="D97" s="13">
        <f>+D96-D25</f>
        <v>0</v>
      </c>
      <c r="E97" s="13">
        <f>+E96-E25</f>
        <v>0</v>
      </c>
      <c r="F97" s="13">
        <f>+F96-F25</f>
        <v>0</v>
      </c>
      <c r="G97" s="13">
        <f t="shared" ref="G97:I97" si="16">+G96-G25</f>
        <v>0</v>
      </c>
      <c r="H97" s="13">
        <f t="shared" si="16"/>
        <v>0</v>
      </c>
      <c r="I97" s="13">
        <f t="shared" si="16"/>
        <v>0</v>
      </c>
      <c r="J97" s="13">
        <f>+J96-J25</f>
        <v>0</v>
      </c>
    </row>
    <row r="98" spans="1:10" x14ac:dyDescent="0.3">
      <c r="A98" t="s">
        <v>94</v>
      </c>
      <c r="C98" s="3"/>
      <c r="D98" s="3"/>
      <c r="E98" s="3"/>
      <c r="F98" s="3"/>
      <c r="G98" s="3"/>
      <c r="H98" s="3"/>
      <c r="I98" s="3"/>
      <c r="J98" s="3"/>
    </row>
    <row r="99" spans="1:10" x14ac:dyDescent="0.3">
      <c r="A99" s="2" t="s">
        <v>17</v>
      </c>
      <c r="C99" s="3"/>
      <c r="D99" s="3"/>
      <c r="E99" s="3"/>
      <c r="F99" s="3"/>
      <c r="G99" s="3"/>
      <c r="H99" s="3"/>
      <c r="I99" s="3"/>
      <c r="J99" s="3"/>
    </row>
    <row r="100" spans="1:10" x14ac:dyDescent="0.3">
      <c r="A100" s="11" t="s">
        <v>95</v>
      </c>
      <c r="C100" s="3">
        <v>53</v>
      </c>
      <c r="D100" s="3">
        <v>70</v>
      </c>
      <c r="E100" s="3">
        <v>98</v>
      </c>
      <c r="F100" s="3">
        <v>125</v>
      </c>
      <c r="G100" s="3">
        <v>153</v>
      </c>
      <c r="H100" s="3">
        <v>140</v>
      </c>
      <c r="I100" s="3">
        <v>293</v>
      </c>
      <c r="J100" s="3">
        <v>290</v>
      </c>
    </row>
    <row r="101" spans="1:10" x14ac:dyDescent="0.3">
      <c r="A101" s="11" t="s">
        <v>18</v>
      </c>
      <c r="C101" s="3">
        <v>1262</v>
      </c>
      <c r="D101" s="3">
        <v>748</v>
      </c>
      <c r="E101" s="3">
        <v>703</v>
      </c>
      <c r="F101" s="3">
        <v>529</v>
      </c>
      <c r="G101" s="3">
        <v>757</v>
      </c>
      <c r="H101" s="3">
        <v>1028</v>
      </c>
      <c r="I101" s="3">
        <v>1177</v>
      </c>
      <c r="J101" s="3">
        <v>1231</v>
      </c>
    </row>
    <row r="102" spans="1:10" x14ac:dyDescent="0.3">
      <c r="A102" s="11" t="s">
        <v>96</v>
      </c>
      <c r="C102" s="3">
        <v>206</v>
      </c>
      <c r="D102" s="3">
        <v>252</v>
      </c>
      <c r="E102" s="3">
        <v>266</v>
      </c>
      <c r="F102" s="3">
        <v>294</v>
      </c>
      <c r="G102" s="3">
        <v>160</v>
      </c>
      <c r="H102" s="3">
        <v>121</v>
      </c>
      <c r="I102" s="3">
        <v>179</v>
      </c>
      <c r="J102" s="3">
        <v>160</v>
      </c>
    </row>
    <row r="103" spans="1:10" x14ac:dyDescent="0.3">
      <c r="A103" s="11" t="s">
        <v>97</v>
      </c>
      <c r="C103" s="3">
        <v>240</v>
      </c>
      <c r="D103" s="3">
        <v>271</v>
      </c>
      <c r="E103" s="3">
        <v>300</v>
      </c>
      <c r="F103" s="3">
        <v>320</v>
      </c>
      <c r="G103" s="3">
        <v>347</v>
      </c>
      <c r="H103" s="3">
        <v>385</v>
      </c>
      <c r="I103" s="3">
        <v>438</v>
      </c>
      <c r="J103" s="3">
        <v>480</v>
      </c>
    </row>
    <row r="105" spans="1:10" x14ac:dyDescent="0.3">
      <c r="A105" s="14" t="s">
        <v>100</v>
      </c>
      <c r="C105" s="14"/>
      <c r="D105" s="14"/>
      <c r="E105" s="14"/>
      <c r="F105" s="14"/>
      <c r="G105" s="14"/>
      <c r="H105" s="14"/>
      <c r="I105" s="14"/>
      <c r="J105" s="14"/>
    </row>
    <row r="106" spans="1:10" x14ac:dyDescent="0.3">
      <c r="A106" s="28" t="s">
        <v>110</v>
      </c>
      <c r="C106" s="3"/>
      <c r="D106" s="3"/>
      <c r="E106" s="3"/>
      <c r="F106" s="3"/>
      <c r="G106" s="3"/>
      <c r="H106" s="3"/>
      <c r="I106" s="3"/>
      <c r="J106" s="3"/>
    </row>
    <row r="107" spans="1:10" x14ac:dyDescent="0.3">
      <c r="A107" s="2" t="s">
        <v>101</v>
      </c>
      <c r="B107" s="3">
        <f>+SUM(B108:B110)</f>
        <v>12299</v>
      </c>
      <c r="C107" s="3">
        <f t="shared" ref="C107:I107" si="17">+SUM(C108:C110)</f>
        <v>13740</v>
      </c>
      <c r="D107" s="3">
        <f t="shared" si="17"/>
        <v>14764</v>
      </c>
      <c r="E107" s="3">
        <f t="shared" si="17"/>
        <v>15216</v>
      </c>
      <c r="F107" s="3">
        <f t="shared" si="17"/>
        <v>14855</v>
      </c>
      <c r="G107" s="3">
        <f t="shared" si="17"/>
        <v>15902</v>
      </c>
      <c r="H107" s="3">
        <f t="shared" si="17"/>
        <v>14484</v>
      </c>
      <c r="I107" s="3">
        <f t="shared" si="17"/>
        <v>17179</v>
      </c>
      <c r="J107" s="3">
        <f>+SUM(J108:J110)</f>
        <v>18353</v>
      </c>
    </row>
    <row r="108" spans="1:10" x14ac:dyDescent="0.3">
      <c r="A108" s="11" t="s">
        <v>114</v>
      </c>
      <c r="B108">
        <v>7495</v>
      </c>
      <c r="C108">
        <v>8506</v>
      </c>
      <c r="D108">
        <v>9299</v>
      </c>
      <c r="E108">
        <v>9684</v>
      </c>
      <c r="F108">
        <v>9322</v>
      </c>
      <c r="G108">
        <v>10045</v>
      </c>
      <c r="H108">
        <v>9329</v>
      </c>
      <c r="I108" s="8">
        <v>11644</v>
      </c>
      <c r="J108" s="8">
        <v>12228</v>
      </c>
    </row>
    <row r="109" spans="1:10" x14ac:dyDescent="0.3">
      <c r="A109" s="11" t="s">
        <v>115</v>
      </c>
      <c r="B109">
        <v>3937</v>
      </c>
      <c r="C109">
        <v>4410</v>
      </c>
      <c r="D109">
        <v>4746</v>
      </c>
      <c r="E109">
        <v>4886</v>
      </c>
      <c r="F109">
        <v>4938</v>
      </c>
      <c r="G109">
        <v>5260</v>
      </c>
      <c r="H109">
        <v>4639</v>
      </c>
      <c r="I109" s="8">
        <v>5028</v>
      </c>
      <c r="J109" s="8">
        <v>5492</v>
      </c>
    </row>
    <row r="110" spans="1:10" x14ac:dyDescent="0.3">
      <c r="A110" s="11" t="s">
        <v>116</v>
      </c>
      <c r="B110">
        <v>867</v>
      </c>
      <c r="C110">
        <v>824</v>
      </c>
      <c r="D110">
        <v>719</v>
      </c>
      <c r="E110">
        <v>646</v>
      </c>
      <c r="F110">
        <v>595</v>
      </c>
      <c r="G110">
        <v>597</v>
      </c>
      <c r="H110">
        <v>516</v>
      </c>
      <c r="I110">
        <v>507</v>
      </c>
      <c r="J110">
        <v>633</v>
      </c>
    </row>
    <row r="111" spans="1:10" x14ac:dyDescent="0.3">
      <c r="A111" s="2" t="s">
        <v>102</v>
      </c>
      <c r="B111" s="3">
        <f>+SUM(B112:B114)</f>
        <v>6366</v>
      </c>
      <c r="C111" s="3">
        <f t="shared" ref="C111:I111" si="18">+SUM(C112:C114)</f>
        <v>7126</v>
      </c>
      <c r="D111" s="3">
        <f t="shared" si="18"/>
        <v>7568</v>
      </c>
      <c r="E111" s="3">
        <f t="shared" si="18"/>
        <v>7970</v>
      </c>
      <c r="F111" s="3">
        <f t="shared" si="18"/>
        <v>9242</v>
      </c>
      <c r="G111" s="3">
        <f t="shared" si="18"/>
        <v>9812</v>
      </c>
      <c r="H111" s="3">
        <f t="shared" si="18"/>
        <v>9347</v>
      </c>
      <c r="I111" s="3">
        <f t="shared" si="18"/>
        <v>11456</v>
      </c>
      <c r="J111" s="3">
        <f>+SUM(J112:J114)</f>
        <v>12479</v>
      </c>
    </row>
    <row r="112" spans="1:10" x14ac:dyDescent="0.3">
      <c r="A112" s="11" t="s">
        <v>114</v>
      </c>
      <c r="B112">
        <f>3299+763</f>
        <v>4062</v>
      </c>
      <c r="C112">
        <f>3876+827</f>
        <v>4703</v>
      </c>
      <c r="D112">
        <v>5043</v>
      </c>
      <c r="E112">
        <v>5192</v>
      </c>
      <c r="F112">
        <v>5875</v>
      </c>
      <c r="G112">
        <v>6293</v>
      </c>
      <c r="H112">
        <v>5892</v>
      </c>
      <c r="I112" s="8">
        <v>6970</v>
      </c>
      <c r="J112" s="8">
        <v>7388</v>
      </c>
    </row>
    <row r="113" spans="1:10" x14ac:dyDescent="0.3">
      <c r="A113" s="11" t="s">
        <v>115</v>
      </c>
      <c r="B113">
        <f>532+1427</f>
        <v>1959</v>
      </c>
      <c r="C113">
        <f>1552+499</f>
        <v>2051</v>
      </c>
      <c r="D113">
        <v>2149</v>
      </c>
      <c r="E113">
        <v>2395</v>
      </c>
      <c r="F113">
        <v>2940</v>
      </c>
      <c r="G113">
        <v>3087</v>
      </c>
      <c r="H113">
        <v>3053</v>
      </c>
      <c r="I113" s="8">
        <v>3996</v>
      </c>
      <c r="J113" s="8">
        <v>4527</v>
      </c>
    </row>
    <row r="114" spans="1:10" x14ac:dyDescent="0.3">
      <c r="A114" s="11" t="s">
        <v>116</v>
      </c>
      <c r="B114">
        <f>253+92</f>
        <v>345</v>
      </c>
      <c r="C114">
        <f>277+95</f>
        <v>372</v>
      </c>
      <c r="D114">
        <v>376</v>
      </c>
      <c r="E114">
        <v>383</v>
      </c>
      <c r="F114">
        <v>427</v>
      </c>
      <c r="G114">
        <v>432</v>
      </c>
      <c r="H114">
        <v>402</v>
      </c>
      <c r="I114">
        <v>490</v>
      </c>
      <c r="J114">
        <v>564</v>
      </c>
    </row>
    <row r="115" spans="1:10" x14ac:dyDescent="0.3">
      <c r="A115" s="2" t="s">
        <v>103</v>
      </c>
      <c r="B115" s="3">
        <f>+SUM(B116:B118)</f>
        <v>2602</v>
      </c>
      <c r="C115" s="3">
        <f t="shared" ref="C115:I115" si="19">+SUM(C116:C118)</f>
        <v>3067</v>
      </c>
      <c r="D115" s="3">
        <f t="shared" si="19"/>
        <v>3785</v>
      </c>
      <c r="E115" s="3">
        <f t="shared" si="19"/>
        <v>4237</v>
      </c>
      <c r="F115" s="3">
        <f t="shared" si="19"/>
        <v>5134</v>
      </c>
      <c r="G115" s="3">
        <f t="shared" si="19"/>
        <v>6208</v>
      </c>
      <c r="H115" s="3">
        <f t="shared" si="19"/>
        <v>6679</v>
      </c>
      <c r="I115" s="3">
        <f t="shared" si="19"/>
        <v>8290</v>
      </c>
      <c r="J115" s="3">
        <f>+SUM(J116:J118)</f>
        <v>7547</v>
      </c>
    </row>
    <row r="116" spans="1:10" x14ac:dyDescent="0.3">
      <c r="A116" s="11" t="s">
        <v>114</v>
      </c>
      <c r="B116">
        <v>1600</v>
      </c>
      <c r="C116">
        <v>2016</v>
      </c>
      <c r="D116">
        <v>2599</v>
      </c>
      <c r="E116">
        <v>2920</v>
      </c>
      <c r="F116">
        <v>3496</v>
      </c>
      <c r="G116">
        <v>4262</v>
      </c>
      <c r="H116">
        <v>4635</v>
      </c>
      <c r="I116" s="8">
        <v>5748</v>
      </c>
      <c r="J116" s="8">
        <v>5416</v>
      </c>
    </row>
    <row r="117" spans="1:10" x14ac:dyDescent="0.3">
      <c r="A117" s="11" t="s">
        <v>115</v>
      </c>
      <c r="B117">
        <v>876</v>
      </c>
      <c r="C117">
        <v>925</v>
      </c>
      <c r="D117">
        <v>1055</v>
      </c>
      <c r="E117">
        <v>1188</v>
      </c>
      <c r="F117">
        <v>1508</v>
      </c>
      <c r="G117">
        <v>1808</v>
      </c>
      <c r="H117">
        <v>1896</v>
      </c>
      <c r="I117" s="8">
        <v>2347</v>
      </c>
      <c r="J117" s="8">
        <v>1938</v>
      </c>
    </row>
    <row r="118" spans="1:10" x14ac:dyDescent="0.3">
      <c r="A118" s="11" t="s">
        <v>116</v>
      </c>
      <c r="B118">
        <v>126</v>
      </c>
      <c r="C118">
        <v>126</v>
      </c>
      <c r="D118">
        <v>131</v>
      </c>
      <c r="E118">
        <v>129</v>
      </c>
      <c r="F118">
        <v>130</v>
      </c>
      <c r="G118">
        <v>138</v>
      </c>
      <c r="H118">
        <v>148</v>
      </c>
      <c r="I118">
        <v>195</v>
      </c>
      <c r="J118">
        <v>193</v>
      </c>
    </row>
    <row r="119" spans="1:10" x14ac:dyDescent="0.3">
      <c r="A119" s="2" t="s">
        <v>107</v>
      </c>
      <c r="B119" s="3">
        <f>+SUM(B120:B122)</f>
        <v>4720</v>
      </c>
      <c r="C119" s="3">
        <f t="shared" ref="C119:I119" si="20">+SUM(C120:C122)</f>
        <v>4653</v>
      </c>
      <c r="D119" s="3">
        <f t="shared" si="20"/>
        <v>4317</v>
      </c>
      <c r="E119" s="3">
        <f t="shared" si="20"/>
        <v>4737</v>
      </c>
      <c r="F119" s="3">
        <f t="shared" si="20"/>
        <v>5166</v>
      </c>
      <c r="G119" s="3">
        <f t="shared" si="20"/>
        <v>5254</v>
      </c>
      <c r="H119" s="3">
        <f t="shared" si="20"/>
        <v>5028</v>
      </c>
      <c r="I119" s="3">
        <f t="shared" si="20"/>
        <v>5343</v>
      </c>
      <c r="J119" s="3">
        <f>+SUM(J120:J122)</f>
        <v>5955</v>
      </c>
    </row>
    <row r="120" spans="1:10" x14ac:dyDescent="0.3">
      <c r="A120" s="11" t="s">
        <v>114</v>
      </c>
      <c r="B120">
        <f>409+2642</f>
        <v>3051</v>
      </c>
      <c r="C120">
        <f>452+2641</f>
        <v>3093</v>
      </c>
      <c r="D120">
        <v>2930</v>
      </c>
      <c r="E120">
        <v>3285</v>
      </c>
      <c r="F120">
        <v>3575</v>
      </c>
      <c r="G120">
        <v>3622</v>
      </c>
      <c r="H120">
        <v>3449</v>
      </c>
      <c r="I120" s="8">
        <v>3659</v>
      </c>
      <c r="J120" s="8">
        <v>4111</v>
      </c>
    </row>
    <row r="121" spans="1:10" x14ac:dyDescent="0.3">
      <c r="A121" s="11" t="s">
        <v>115</v>
      </c>
      <c r="B121">
        <f>276+1061</f>
        <v>1337</v>
      </c>
      <c r="C121">
        <f>1021+230</f>
        <v>1251</v>
      </c>
      <c r="D121">
        <v>1117</v>
      </c>
      <c r="E121">
        <v>1185</v>
      </c>
      <c r="F121">
        <v>1347</v>
      </c>
      <c r="G121">
        <v>1395</v>
      </c>
      <c r="H121">
        <v>1365</v>
      </c>
      <c r="I121" s="8">
        <v>1494</v>
      </c>
      <c r="J121" s="8">
        <v>1610</v>
      </c>
    </row>
    <row r="122" spans="1:10" x14ac:dyDescent="0.3">
      <c r="A122" s="11" t="s">
        <v>116</v>
      </c>
      <c r="B122">
        <f>86+246</f>
        <v>332</v>
      </c>
      <c r="C122">
        <f>73+236</f>
        <v>309</v>
      </c>
      <c r="D122">
        <v>270</v>
      </c>
      <c r="E122">
        <v>267</v>
      </c>
      <c r="F122">
        <v>244</v>
      </c>
      <c r="G122">
        <v>237</v>
      </c>
      <c r="H122">
        <v>214</v>
      </c>
      <c r="I122">
        <v>190</v>
      </c>
      <c r="J122">
        <v>234</v>
      </c>
    </row>
    <row r="123" spans="1:10" x14ac:dyDescent="0.3">
      <c r="A123" s="2" t="s">
        <v>108</v>
      </c>
      <c r="B123" s="3">
        <v>125</v>
      </c>
      <c r="C123" s="3">
        <v>115</v>
      </c>
      <c r="D123" s="3">
        <v>73</v>
      </c>
      <c r="E123" s="3">
        <v>73</v>
      </c>
      <c r="F123" s="3">
        <v>88</v>
      </c>
      <c r="G123" s="3">
        <v>42</v>
      </c>
      <c r="H123" s="3">
        <v>30</v>
      </c>
      <c r="I123" s="3">
        <v>25</v>
      </c>
      <c r="J123" s="3">
        <v>102</v>
      </c>
    </row>
    <row r="124" spans="1:10" x14ac:dyDescent="0.3">
      <c r="A124" s="4" t="s">
        <v>104</v>
      </c>
      <c r="B124" s="5">
        <f t="shared" ref="B124" si="21">+B107+B111+B115+B119+B123</f>
        <v>26112</v>
      </c>
      <c r="C124" s="5">
        <f t="shared" ref="C124:J124" si="22">+C107+C111+C115+C119+C123</f>
        <v>28701</v>
      </c>
      <c r="D124" s="5">
        <f t="shared" si="22"/>
        <v>30507</v>
      </c>
      <c r="E124" s="5">
        <f t="shared" si="22"/>
        <v>32233</v>
      </c>
      <c r="F124" s="5">
        <f t="shared" si="22"/>
        <v>34485</v>
      </c>
      <c r="G124" s="5">
        <f t="shared" si="22"/>
        <v>37218</v>
      </c>
      <c r="H124" s="5">
        <f t="shared" si="22"/>
        <v>35568</v>
      </c>
      <c r="I124" s="5">
        <f t="shared" si="22"/>
        <v>42293</v>
      </c>
      <c r="J124" s="5">
        <f t="shared" si="22"/>
        <v>44436</v>
      </c>
    </row>
    <row r="125" spans="1:10" x14ac:dyDescent="0.3">
      <c r="A125" s="2" t="s">
        <v>105</v>
      </c>
      <c r="B125">
        <v>1684</v>
      </c>
      <c r="C125" s="3">
        <v>1982</v>
      </c>
      <c r="D125" s="3">
        <v>1955</v>
      </c>
      <c r="E125" s="3">
        <v>2042</v>
      </c>
      <c r="F125" s="3">
        <f t="shared" ref="F125:G125" si="23">SUM(F126:F129)</f>
        <v>1886</v>
      </c>
      <c r="G125" s="3">
        <f t="shared" si="23"/>
        <v>1906</v>
      </c>
      <c r="H125" s="3">
        <f>SUM(H126:H129)</f>
        <v>1846</v>
      </c>
      <c r="I125" s="3">
        <f>+SUM(I126:I129)</f>
        <v>2205</v>
      </c>
      <c r="J125" s="3">
        <f>+SUM(J126:J129)</f>
        <v>2346</v>
      </c>
    </row>
    <row r="126" spans="1:10" x14ac:dyDescent="0.3">
      <c r="A126" s="11" t="s">
        <v>114</v>
      </c>
      <c r="C126" s="41" t="s">
        <v>145</v>
      </c>
      <c r="D126" s="41"/>
      <c r="E126" s="41"/>
      <c r="F126" s="3">
        <v>1611</v>
      </c>
      <c r="G126" s="3">
        <v>1658</v>
      </c>
      <c r="H126" s="3">
        <v>1642</v>
      </c>
      <c r="I126" s="3">
        <v>1986</v>
      </c>
      <c r="J126" s="3">
        <v>2094</v>
      </c>
    </row>
    <row r="127" spans="1:10" x14ac:dyDescent="0.3">
      <c r="A127" s="11" t="s">
        <v>115</v>
      </c>
      <c r="C127" s="41"/>
      <c r="D127" s="41"/>
      <c r="E127" s="41"/>
      <c r="F127" s="3">
        <v>144</v>
      </c>
      <c r="G127" s="3">
        <v>118</v>
      </c>
      <c r="H127" s="3">
        <v>89</v>
      </c>
      <c r="I127" s="3">
        <v>104</v>
      </c>
      <c r="J127" s="3">
        <v>103</v>
      </c>
    </row>
    <row r="128" spans="1:10" x14ac:dyDescent="0.3">
      <c r="A128" s="11" t="s">
        <v>116</v>
      </c>
      <c r="C128" s="41"/>
      <c r="D128" s="41"/>
      <c r="E128" s="41"/>
      <c r="F128" s="3">
        <v>28</v>
      </c>
      <c r="G128" s="3">
        <v>24</v>
      </c>
      <c r="H128" s="3">
        <v>25</v>
      </c>
      <c r="I128" s="3">
        <v>29</v>
      </c>
      <c r="J128" s="3">
        <v>26</v>
      </c>
    </row>
    <row r="129" spans="1:10" x14ac:dyDescent="0.3">
      <c r="A129" s="11" t="s">
        <v>122</v>
      </c>
      <c r="C129" s="41"/>
      <c r="D129" s="41"/>
      <c r="E129" s="41"/>
      <c r="F129" s="3">
        <v>103</v>
      </c>
      <c r="G129" s="3">
        <v>106</v>
      </c>
      <c r="H129" s="3">
        <v>90</v>
      </c>
      <c r="I129" s="3">
        <v>86</v>
      </c>
      <c r="J129" s="3">
        <v>123</v>
      </c>
    </row>
    <row r="130" spans="1:10" x14ac:dyDescent="0.3">
      <c r="A130" s="2" t="s">
        <v>109</v>
      </c>
      <c r="B130" s="3">
        <v>3</v>
      </c>
      <c r="C130" s="3">
        <v>-82</v>
      </c>
      <c r="D130" s="3">
        <v>-86</v>
      </c>
      <c r="E130" s="3">
        <v>75</v>
      </c>
      <c r="F130" s="3">
        <v>26</v>
      </c>
      <c r="G130" s="3">
        <v>-7</v>
      </c>
      <c r="H130" s="3">
        <v>-11</v>
      </c>
      <c r="I130" s="3">
        <v>40</v>
      </c>
      <c r="J130" s="3">
        <v>-72</v>
      </c>
    </row>
    <row r="131" spans="1:10" ht="15" thickBot="1" x14ac:dyDescent="0.35">
      <c r="A131" s="6" t="s">
        <v>106</v>
      </c>
      <c r="B131" s="7">
        <f>+$B$124+$B$125+$B$130</f>
        <v>27799</v>
      </c>
      <c r="C131" s="7">
        <f>+$C$124+$C$125+$C$130</f>
        <v>30601</v>
      </c>
      <c r="D131" s="7">
        <f>+$D$124+$D$125+$D$130</f>
        <v>32376</v>
      </c>
      <c r="E131" s="7">
        <f>+E124+E125+E130</f>
        <v>34350</v>
      </c>
      <c r="F131" s="7">
        <f t="shared" ref="F131:J131" si="24">+F124+F125+F130</f>
        <v>36397</v>
      </c>
      <c r="G131" s="7">
        <f t="shared" si="24"/>
        <v>39117</v>
      </c>
      <c r="H131" s="7">
        <f t="shared" si="24"/>
        <v>37403</v>
      </c>
      <c r="I131" s="7">
        <f t="shared" si="24"/>
        <v>44538</v>
      </c>
      <c r="J131" s="7">
        <f t="shared" si="24"/>
        <v>46710</v>
      </c>
    </row>
    <row r="132" spans="1:10" s="12" customFormat="1" ht="15" thickTop="1" x14ac:dyDescent="0.3">
      <c r="A132" s="12" t="s">
        <v>112</v>
      </c>
      <c r="C132" s="13">
        <f>+C131-C2</f>
        <v>0</v>
      </c>
      <c r="D132" s="13">
        <f>+D131-D2</f>
        <v>0</v>
      </c>
      <c r="E132" s="13">
        <f t="shared" ref="E132:I132" si="25">+E131-E2</f>
        <v>0</v>
      </c>
      <c r="F132" s="13">
        <f t="shared" si="25"/>
        <v>0</v>
      </c>
      <c r="G132" s="13">
        <f t="shared" si="25"/>
        <v>0</v>
      </c>
      <c r="H132" s="13">
        <f t="shared" si="25"/>
        <v>0</v>
      </c>
      <c r="I132" s="13">
        <f t="shared" si="25"/>
        <v>0</v>
      </c>
    </row>
    <row r="133" spans="1:10" x14ac:dyDescent="0.3">
      <c r="A133" s="1" t="s">
        <v>111</v>
      </c>
    </row>
    <row r="134" spans="1:10" x14ac:dyDescent="0.3">
      <c r="A134" s="2" t="s">
        <v>101</v>
      </c>
      <c r="B134">
        <v>3077</v>
      </c>
      <c r="C134" s="3">
        <v>3645</v>
      </c>
      <c r="D134" s="3">
        <v>3763</v>
      </c>
      <c r="E134" s="3">
        <v>3875</v>
      </c>
      <c r="F134" s="3">
        <v>3600</v>
      </c>
      <c r="G134" s="3">
        <v>3925</v>
      </c>
      <c r="H134" s="3">
        <v>2899</v>
      </c>
      <c r="I134" s="3">
        <v>5089</v>
      </c>
      <c r="J134" s="3">
        <v>5114</v>
      </c>
    </row>
    <row r="135" spans="1:10" x14ac:dyDescent="0.3">
      <c r="A135" s="2" t="s">
        <v>102</v>
      </c>
      <c r="B135">
        <f>855+279</f>
        <v>1134</v>
      </c>
      <c r="C135" s="3">
        <f>249+1275</f>
        <v>1524</v>
      </c>
      <c r="D135" s="3">
        <v>1787</v>
      </c>
      <c r="E135" s="3">
        <v>1507</v>
      </c>
      <c r="F135" s="3">
        <v>1587</v>
      </c>
      <c r="G135" s="3">
        <v>1995</v>
      </c>
      <c r="H135" s="3">
        <v>1541</v>
      </c>
      <c r="I135" s="3">
        <v>2435</v>
      </c>
      <c r="J135" s="3">
        <v>3293</v>
      </c>
    </row>
    <row r="136" spans="1:10" x14ac:dyDescent="0.3">
      <c r="A136" s="2" t="s">
        <v>103</v>
      </c>
      <c r="C136" s="3">
        <v>993</v>
      </c>
      <c r="D136" s="3">
        <v>1372</v>
      </c>
      <c r="E136" s="3">
        <v>1507</v>
      </c>
      <c r="F136" s="3">
        <v>1807</v>
      </c>
      <c r="G136" s="3">
        <v>2376</v>
      </c>
      <c r="H136" s="3">
        <v>2490</v>
      </c>
      <c r="I136" s="3">
        <v>3243</v>
      </c>
      <c r="J136" s="3">
        <v>2365</v>
      </c>
    </row>
    <row r="137" spans="1:10" x14ac:dyDescent="0.3">
      <c r="A137" s="2" t="s">
        <v>107</v>
      </c>
      <c r="C137" s="3">
        <f>818+100</f>
        <v>918</v>
      </c>
      <c r="D137" s="3">
        <v>1002</v>
      </c>
      <c r="E137" s="3">
        <v>980</v>
      </c>
      <c r="F137" s="3">
        <v>1189</v>
      </c>
      <c r="G137" s="3">
        <v>1323</v>
      </c>
      <c r="H137" s="3">
        <v>1184</v>
      </c>
      <c r="I137" s="3">
        <v>1530</v>
      </c>
      <c r="J137" s="3">
        <v>1896</v>
      </c>
    </row>
    <row r="138" spans="1:10" x14ac:dyDescent="0.3">
      <c r="A138" s="2" t="s">
        <v>108</v>
      </c>
      <c r="C138" s="3">
        <v>-2267</v>
      </c>
      <c r="D138" s="3">
        <v>-2596</v>
      </c>
      <c r="E138" s="3">
        <v>-2677</v>
      </c>
      <c r="F138" s="3">
        <v>-2658</v>
      </c>
      <c r="G138" s="3">
        <v>-3262</v>
      </c>
      <c r="H138" s="3">
        <v>-3468</v>
      </c>
      <c r="I138" s="3">
        <v>-3656</v>
      </c>
      <c r="J138" s="3">
        <v>-4262</v>
      </c>
    </row>
    <row r="139" spans="1:10" x14ac:dyDescent="0.3">
      <c r="A139" s="4" t="s">
        <v>104</v>
      </c>
      <c r="C139" s="5">
        <f t="shared" ref="C139:H139" si="26">+SUM(C134:C138)</f>
        <v>4813</v>
      </c>
      <c r="D139" s="5">
        <f t="shared" si="26"/>
        <v>5328</v>
      </c>
      <c r="E139" s="5">
        <f t="shared" si="26"/>
        <v>5192</v>
      </c>
      <c r="F139" s="5">
        <f t="shared" si="26"/>
        <v>5525</v>
      </c>
      <c r="G139" s="5">
        <f t="shared" si="26"/>
        <v>6357</v>
      </c>
      <c r="H139" s="5">
        <f t="shared" si="26"/>
        <v>4646</v>
      </c>
      <c r="I139" s="5">
        <f t="shared" ref="I139:J139" si="27">+SUM(I134:I138)</f>
        <v>8641</v>
      </c>
      <c r="J139" s="5">
        <f t="shared" si="27"/>
        <v>8406</v>
      </c>
    </row>
    <row r="140" spans="1:10" x14ac:dyDescent="0.3">
      <c r="A140" s="2" t="s">
        <v>105</v>
      </c>
      <c r="C140" s="3">
        <v>517</v>
      </c>
      <c r="D140" s="3">
        <v>487</v>
      </c>
      <c r="E140" s="3">
        <v>477</v>
      </c>
      <c r="F140" s="3">
        <v>310</v>
      </c>
      <c r="G140" s="3">
        <v>303</v>
      </c>
      <c r="H140" s="3">
        <v>297</v>
      </c>
      <c r="I140" s="3">
        <v>543</v>
      </c>
      <c r="J140" s="3">
        <v>669</v>
      </c>
    </row>
    <row r="141" spans="1:10" x14ac:dyDescent="0.3">
      <c r="A141" s="2" t="s">
        <v>109</v>
      </c>
      <c r="C141" s="3">
        <v>-1097</v>
      </c>
      <c r="D141" s="3">
        <v>-1173</v>
      </c>
      <c r="E141" s="3">
        <v>-724</v>
      </c>
      <c r="F141" s="3">
        <v>-1456</v>
      </c>
      <c r="G141" s="3">
        <v>-1810</v>
      </c>
      <c r="H141" s="3">
        <v>-1967</v>
      </c>
      <c r="I141" s="3">
        <v>-2261</v>
      </c>
      <c r="J141" s="3">
        <v>-2219</v>
      </c>
    </row>
    <row r="142" spans="1:10" ht="15" thickBot="1" x14ac:dyDescent="0.35">
      <c r="A142" s="6" t="s">
        <v>113</v>
      </c>
      <c r="C142" s="7">
        <f>+SUM(C139:C141)</f>
        <v>4233</v>
      </c>
      <c r="D142" s="7">
        <f t="shared" ref="D142:I142" si="28">+SUM(D139:D141)</f>
        <v>4642</v>
      </c>
      <c r="E142" s="7">
        <f t="shared" si="28"/>
        <v>4945</v>
      </c>
      <c r="F142" s="7">
        <f t="shared" si="28"/>
        <v>4379</v>
      </c>
      <c r="G142" s="7">
        <f t="shared" si="28"/>
        <v>4850</v>
      </c>
      <c r="H142" s="7">
        <f t="shared" si="28"/>
        <v>2976</v>
      </c>
      <c r="I142" s="7">
        <f t="shared" si="28"/>
        <v>6923</v>
      </c>
      <c r="J142" s="7">
        <f>+SUM(J139:J141)</f>
        <v>6856</v>
      </c>
    </row>
    <row r="143" spans="1:10" s="12" customFormat="1" ht="15" thickTop="1" x14ac:dyDescent="0.3">
      <c r="A143" s="12" t="s">
        <v>112</v>
      </c>
      <c r="C143" s="13">
        <f>+C142-C10-C8</f>
        <v>0</v>
      </c>
      <c r="D143" s="13">
        <f t="shared" ref="D143:G143" si="29">+D142-D10-D8</f>
        <v>0</v>
      </c>
      <c r="E143" s="13">
        <f t="shared" si="29"/>
        <v>0</v>
      </c>
      <c r="F143" s="13">
        <f t="shared" si="29"/>
        <v>0</v>
      </c>
      <c r="G143" s="13">
        <f t="shared" si="29"/>
        <v>0</v>
      </c>
      <c r="H143" s="13">
        <f>+H142-H10-H8</f>
        <v>0</v>
      </c>
      <c r="I143" s="13">
        <f>+I142-I10-I8</f>
        <v>0</v>
      </c>
      <c r="J143" s="13">
        <f>+J142-J10-J8</f>
        <v>0</v>
      </c>
    </row>
    <row r="144" spans="1:10" x14ac:dyDescent="0.3">
      <c r="A144" s="1" t="s">
        <v>118</v>
      </c>
    </row>
    <row r="145" spans="1:10" x14ac:dyDescent="0.3">
      <c r="A145" s="2" t="s">
        <v>101</v>
      </c>
      <c r="B145">
        <v>545</v>
      </c>
      <c r="C145">
        <v>632</v>
      </c>
      <c r="D145">
        <v>742</v>
      </c>
      <c r="E145">
        <v>819</v>
      </c>
      <c r="F145">
        <v>848</v>
      </c>
      <c r="G145">
        <v>814</v>
      </c>
      <c r="H145">
        <v>645</v>
      </c>
      <c r="I145" s="3">
        <v>617</v>
      </c>
      <c r="J145" s="3">
        <v>639</v>
      </c>
    </row>
    <row r="146" spans="1:10" x14ac:dyDescent="0.3">
      <c r="A146" s="2" t="s">
        <v>102</v>
      </c>
      <c r="B146">
        <f>384+51</f>
        <v>435</v>
      </c>
      <c r="C146">
        <f>451+47</f>
        <v>498</v>
      </c>
      <c r="D146">
        <f>589+50</f>
        <v>639</v>
      </c>
      <c r="E146">
        <v>709</v>
      </c>
      <c r="F146">
        <v>849</v>
      </c>
      <c r="G146">
        <v>929</v>
      </c>
      <c r="H146">
        <v>885</v>
      </c>
      <c r="I146" s="3">
        <v>982</v>
      </c>
      <c r="J146" s="3">
        <v>920</v>
      </c>
    </row>
    <row r="147" spans="1:10" x14ac:dyDescent="0.3">
      <c r="A147" s="2" t="s">
        <v>103</v>
      </c>
      <c r="C147">
        <v>254</v>
      </c>
      <c r="D147">
        <v>234</v>
      </c>
      <c r="E147">
        <v>225</v>
      </c>
      <c r="F147">
        <v>256</v>
      </c>
      <c r="G147">
        <v>237</v>
      </c>
      <c r="H147">
        <v>214</v>
      </c>
      <c r="I147" s="3">
        <v>288</v>
      </c>
      <c r="J147" s="3">
        <v>303</v>
      </c>
    </row>
    <row r="148" spans="1:10" x14ac:dyDescent="0.3">
      <c r="A148" s="2" t="s">
        <v>119</v>
      </c>
      <c r="C148">
        <f>205+103</f>
        <v>308</v>
      </c>
      <c r="D148">
        <f>223+109</f>
        <v>332</v>
      </c>
      <c r="E148">
        <v>340</v>
      </c>
      <c r="F148">
        <v>339</v>
      </c>
      <c r="G148">
        <v>326</v>
      </c>
      <c r="H148">
        <v>296</v>
      </c>
      <c r="I148" s="3">
        <v>304</v>
      </c>
      <c r="J148" s="3">
        <v>274</v>
      </c>
    </row>
    <row r="149" spans="1:10" x14ac:dyDescent="0.3">
      <c r="A149" s="2" t="s">
        <v>108</v>
      </c>
      <c r="C149">
        <v>484</v>
      </c>
      <c r="D149">
        <v>511</v>
      </c>
      <c r="E149">
        <v>533</v>
      </c>
      <c r="F149">
        <v>597</v>
      </c>
      <c r="G149">
        <v>665</v>
      </c>
      <c r="H149">
        <v>830</v>
      </c>
      <c r="I149" s="3">
        <v>780</v>
      </c>
      <c r="J149" s="3">
        <v>789</v>
      </c>
    </row>
    <row r="150" spans="1:10" x14ac:dyDescent="0.3">
      <c r="A150" s="4" t="s">
        <v>120</v>
      </c>
      <c r="C150" s="5">
        <f t="shared" ref="C150:J150" si="30">+SUM(C145:C149)</f>
        <v>2176</v>
      </c>
      <c r="D150" s="5">
        <f t="shared" si="30"/>
        <v>2458</v>
      </c>
      <c r="E150" s="5">
        <f t="shared" si="30"/>
        <v>2626</v>
      </c>
      <c r="F150" s="5">
        <f t="shared" si="30"/>
        <v>2889</v>
      </c>
      <c r="G150" s="5">
        <f t="shared" si="30"/>
        <v>2971</v>
      </c>
      <c r="H150" s="5">
        <f t="shared" si="30"/>
        <v>2870</v>
      </c>
      <c r="I150" s="5">
        <f t="shared" si="30"/>
        <v>2971</v>
      </c>
      <c r="J150" s="5">
        <f t="shared" si="30"/>
        <v>2925</v>
      </c>
    </row>
    <row r="151" spans="1:10" x14ac:dyDescent="0.3">
      <c r="A151" s="2" t="s">
        <v>105</v>
      </c>
      <c r="C151">
        <v>122</v>
      </c>
      <c r="D151">
        <v>125</v>
      </c>
      <c r="E151">
        <v>125</v>
      </c>
      <c r="F151">
        <v>115</v>
      </c>
      <c r="G151">
        <v>100</v>
      </c>
      <c r="H151">
        <v>80</v>
      </c>
      <c r="I151" s="3">
        <v>63</v>
      </c>
      <c r="J151" s="3">
        <v>49</v>
      </c>
    </row>
    <row r="152" spans="1:10" x14ac:dyDescent="0.3">
      <c r="A152" s="2" t="s">
        <v>109</v>
      </c>
      <c r="C152">
        <v>713</v>
      </c>
      <c r="D152">
        <v>937</v>
      </c>
      <c r="E152">
        <v>1238</v>
      </c>
      <c r="F152">
        <v>1450</v>
      </c>
      <c r="G152">
        <v>1673</v>
      </c>
      <c r="H152">
        <v>1916</v>
      </c>
      <c r="I152" s="3">
        <v>1870</v>
      </c>
      <c r="J152" s="3">
        <v>1817</v>
      </c>
    </row>
    <row r="153" spans="1:10" ht="15" thickBot="1" x14ac:dyDescent="0.35">
      <c r="A153" s="6" t="s">
        <v>121</v>
      </c>
      <c r="C153" s="7">
        <f t="shared" ref="C153:I153" si="31">+SUM(C150:C152)</f>
        <v>3011</v>
      </c>
      <c r="D153" s="7">
        <f t="shared" si="31"/>
        <v>3520</v>
      </c>
      <c r="E153" s="7">
        <f t="shared" si="31"/>
        <v>3989</v>
      </c>
      <c r="F153" s="7">
        <f>+SUM(F150:F152)</f>
        <v>4454</v>
      </c>
      <c r="G153" s="7">
        <f t="shared" si="31"/>
        <v>4744</v>
      </c>
      <c r="H153" s="7">
        <f t="shared" si="31"/>
        <v>4866</v>
      </c>
      <c r="I153" s="7">
        <f t="shared" si="31"/>
        <v>4904</v>
      </c>
      <c r="J153" s="7">
        <f>+SUM(J150:J152)</f>
        <v>4791</v>
      </c>
    </row>
    <row r="154" spans="1:10" ht="15" thickTop="1" x14ac:dyDescent="0.3">
      <c r="A154" s="12" t="s">
        <v>112</v>
      </c>
      <c r="C154" s="13">
        <f>+C153-C31</f>
        <v>0</v>
      </c>
      <c r="D154" s="13">
        <f t="shared" ref="D154:H154" si="32">+D153-D31</f>
        <v>0</v>
      </c>
      <c r="E154" s="13">
        <f t="shared" si="32"/>
        <v>0</v>
      </c>
      <c r="F154" s="13">
        <f>+F153-F31</f>
        <v>0</v>
      </c>
      <c r="G154" s="13">
        <f t="shared" si="32"/>
        <v>0</v>
      </c>
      <c r="H154" s="13">
        <f t="shared" si="32"/>
        <v>0</v>
      </c>
      <c r="I154" s="13">
        <f>+I153-I31</f>
        <v>0</v>
      </c>
      <c r="J154" s="13">
        <f>+J153-J31</f>
        <v>0</v>
      </c>
    </row>
    <row r="155" spans="1:10" x14ac:dyDescent="0.3">
      <c r="A155" s="1" t="s">
        <v>123</v>
      </c>
    </row>
    <row r="156" spans="1:10" x14ac:dyDescent="0.3">
      <c r="A156" s="2" t="s">
        <v>101</v>
      </c>
      <c r="C156" s="3">
        <v>208</v>
      </c>
      <c r="D156" s="3">
        <v>242</v>
      </c>
      <c r="E156" s="3">
        <v>223</v>
      </c>
      <c r="F156" s="3">
        <v>196</v>
      </c>
      <c r="G156" s="3">
        <v>117</v>
      </c>
      <c r="H156" s="3">
        <v>110</v>
      </c>
      <c r="I156" s="3">
        <v>98</v>
      </c>
      <c r="J156" s="3">
        <v>146</v>
      </c>
    </row>
    <row r="157" spans="1:10" x14ac:dyDescent="0.3">
      <c r="A157" s="2" t="s">
        <v>102</v>
      </c>
      <c r="C157" s="3">
        <f>216+20</f>
        <v>236</v>
      </c>
      <c r="D157" s="3">
        <v>234</v>
      </c>
      <c r="E157" s="3">
        <v>173</v>
      </c>
      <c r="F157" s="3">
        <v>240</v>
      </c>
      <c r="G157" s="3">
        <v>233</v>
      </c>
      <c r="H157" s="3">
        <v>139</v>
      </c>
      <c r="I157" s="3">
        <v>153</v>
      </c>
      <c r="J157" s="3">
        <v>197</v>
      </c>
    </row>
    <row r="158" spans="1:10" x14ac:dyDescent="0.3">
      <c r="A158" s="2" t="s">
        <v>103</v>
      </c>
      <c r="C158" s="3">
        <v>69</v>
      </c>
      <c r="D158" s="3">
        <v>44</v>
      </c>
      <c r="E158" s="3">
        <v>51</v>
      </c>
      <c r="F158" s="3">
        <v>76</v>
      </c>
      <c r="G158" s="3">
        <v>49</v>
      </c>
      <c r="H158" s="3">
        <v>28</v>
      </c>
      <c r="I158" s="3">
        <v>94</v>
      </c>
      <c r="J158" s="3">
        <v>78</v>
      </c>
    </row>
    <row r="159" spans="1:10" x14ac:dyDescent="0.3">
      <c r="A159" s="2" t="s">
        <v>119</v>
      </c>
      <c r="C159" s="3">
        <f>15+37</f>
        <v>52</v>
      </c>
      <c r="D159" s="3">
        <v>62</v>
      </c>
      <c r="E159" s="3">
        <v>59</v>
      </c>
      <c r="F159" s="3">
        <v>49</v>
      </c>
      <c r="G159" s="3">
        <v>47</v>
      </c>
      <c r="H159" s="3">
        <v>41</v>
      </c>
      <c r="I159" s="3">
        <v>54</v>
      </c>
      <c r="J159" s="3">
        <v>56</v>
      </c>
    </row>
    <row r="160" spans="1:10" x14ac:dyDescent="0.3">
      <c r="A160" s="2" t="s">
        <v>108</v>
      </c>
      <c r="C160" s="3">
        <v>225</v>
      </c>
      <c r="D160" s="3">
        <v>258</v>
      </c>
      <c r="E160" s="3">
        <v>278</v>
      </c>
      <c r="F160" s="3">
        <v>286</v>
      </c>
      <c r="G160" s="3">
        <v>278</v>
      </c>
      <c r="H160" s="3">
        <v>438</v>
      </c>
      <c r="I160" s="3">
        <v>278</v>
      </c>
      <c r="J160" s="3">
        <v>222</v>
      </c>
    </row>
    <row r="161" spans="1:10" x14ac:dyDescent="0.3">
      <c r="A161" s="4" t="s">
        <v>120</v>
      </c>
      <c r="C161" s="5">
        <f>SUM(C156:C160)</f>
        <v>790</v>
      </c>
      <c r="D161" s="5">
        <f t="shared" ref="D161:J161" si="33">+SUM(D156:D160)</f>
        <v>840</v>
      </c>
      <c r="E161" s="5">
        <f t="shared" si="33"/>
        <v>784</v>
      </c>
      <c r="F161" s="5">
        <f t="shared" si="33"/>
        <v>847</v>
      </c>
      <c r="G161" s="5">
        <f t="shared" si="33"/>
        <v>724</v>
      </c>
      <c r="H161" s="5">
        <f t="shared" si="33"/>
        <v>756</v>
      </c>
      <c r="I161" s="5">
        <f t="shared" si="33"/>
        <v>677</v>
      </c>
      <c r="J161" s="5">
        <f t="shared" si="33"/>
        <v>699</v>
      </c>
    </row>
    <row r="162" spans="1:10" x14ac:dyDescent="0.3">
      <c r="A162" s="2" t="s">
        <v>105</v>
      </c>
      <c r="C162" s="3">
        <v>69</v>
      </c>
      <c r="D162" s="3">
        <v>39</v>
      </c>
      <c r="E162" s="3">
        <v>30</v>
      </c>
      <c r="F162" s="3">
        <v>22</v>
      </c>
      <c r="G162" s="3">
        <v>18</v>
      </c>
      <c r="H162" s="3">
        <v>12</v>
      </c>
      <c r="I162" s="3">
        <v>7</v>
      </c>
      <c r="J162" s="3">
        <v>9</v>
      </c>
    </row>
    <row r="163" spans="1:10" x14ac:dyDescent="0.3">
      <c r="A163" s="2" t="s">
        <v>109</v>
      </c>
      <c r="C163" s="3">
        <v>144</v>
      </c>
      <c r="D163" s="3">
        <v>312</v>
      </c>
      <c r="E163" s="3">
        <v>387</v>
      </c>
      <c r="F163" s="3">
        <v>325</v>
      </c>
      <c r="G163" s="3">
        <v>333</v>
      </c>
      <c r="H163" s="3">
        <v>356</v>
      </c>
      <c r="I163" s="3">
        <f t="shared" ref="I163" si="34">-(SUM(I161:I162)+I81)</f>
        <v>11</v>
      </c>
      <c r="J163" s="3">
        <f>-(SUM(J161:J162)+J81)</f>
        <v>50</v>
      </c>
    </row>
    <row r="164" spans="1:10" ht="15" thickBot="1" x14ac:dyDescent="0.35">
      <c r="A164" s="6" t="s">
        <v>124</v>
      </c>
      <c r="C164" s="7">
        <f t="shared" ref="C164:I164" si="35">+SUM(C161:C163)</f>
        <v>1003</v>
      </c>
      <c r="D164" s="7">
        <f>+SUM(D161:D163)</f>
        <v>1191</v>
      </c>
      <c r="E164" s="7">
        <f t="shared" si="35"/>
        <v>1201</v>
      </c>
      <c r="F164" s="7">
        <f t="shared" si="35"/>
        <v>1194</v>
      </c>
      <c r="G164" s="7">
        <f t="shared" si="35"/>
        <v>1075</v>
      </c>
      <c r="H164" s="7">
        <f t="shared" si="35"/>
        <v>1124</v>
      </c>
      <c r="I164" s="7">
        <f t="shared" si="35"/>
        <v>695</v>
      </c>
      <c r="J164" s="7">
        <f>+SUM(J161:J163)</f>
        <v>758</v>
      </c>
    </row>
    <row r="165" spans="1:10" ht="15" thickTop="1" x14ac:dyDescent="0.3">
      <c r="A165" s="12" t="s">
        <v>112</v>
      </c>
      <c r="C165" s="13">
        <f>+C164+C81</f>
        <v>40</v>
      </c>
      <c r="D165" s="13">
        <f t="shared" ref="D165:H165" si="36">+D164+D81</f>
        <v>48</v>
      </c>
      <c r="E165" s="13">
        <f t="shared" si="36"/>
        <v>96</v>
      </c>
      <c r="F165" s="13">
        <f t="shared" si="36"/>
        <v>166</v>
      </c>
      <c r="G165" s="13">
        <f t="shared" si="36"/>
        <v>-44</v>
      </c>
      <c r="H165" s="13">
        <f t="shared" si="36"/>
        <v>38</v>
      </c>
      <c r="I165" s="13">
        <f>+I164+I81</f>
        <v>0</v>
      </c>
      <c r="J165" s="13">
        <f>+J164+J81</f>
        <v>0</v>
      </c>
    </row>
    <row r="166" spans="1:10" x14ac:dyDescent="0.3">
      <c r="A166" s="1" t="s">
        <v>125</v>
      </c>
    </row>
    <row r="167" spans="1:10" x14ac:dyDescent="0.3">
      <c r="A167" s="2" t="s">
        <v>101</v>
      </c>
      <c r="B167">
        <v>109</v>
      </c>
      <c r="C167" s="3">
        <v>121</v>
      </c>
      <c r="D167" s="3">
        <v>133</v>
      </c>
      <c r="E167" s="3">
        <v>140</v>
      </c>
      <c r="F167" s="3">
        <v>160</v>
      </c>
      <c r="G167" s="3">
        <v>149</v>
      </c>
      <c r="H167" s="3">
        <v>148</v>
      </c>
      <c r="I167" s="3">
        <v>130</v>
      </c>
      <c r="J167" s="3">
        <v>124</v>
      </c>
    </row>
    <row r="168" spans="1:10" x14ac:dyDescent="0.3">
      <c r="A168" s="2" t="s">
        <v>102</v>
      </c>
      <c r="B168">
        <f>71+11</f>
        <v>82</v>
      </c>
      <c r="C168" s="3">
        <f>75+12</f>
        <v>87</v>
      </c>
      <c r="D168" s="3">
        <f>72+12</f>
        <v>84</v>
      </c>
      <c r="E168" s="3">
        <v>106</v>
      </c>
      <c r="F168" s="3">
        <v>116</v>
      </c>
      <c r="G168" s="3">
        <v>111</v>
      </c>
      <c r="H168" s="3">
        <v>132</v>
      </c>
      <c r="I168" s="3">
        <v>136</v>
      </c>
      <c r="J168" s="3">
        <v>134</v>
      </c>
    </row>
    <row r="169" spans="1:10" x14ac:dyDescent="0.3">
      <c r="A169" s="2" t="s">
        <v>103</v>
      </c>
      <c r="C169" s="3">
        <v>46</v>
      </c>
      <c r="D169" s="3">
        <v>48</v>
      </c>
      <c r="E169" s="3">
        <v>54</v>
      </c>
      <c r="F169" s="3">
        <v>56</v>
      </c>
      <c r="G169" s="3">
        <v>50</v>
      </c>
      <c r="H169" s="3">
        <v>44</v>
      </c>
      <c r="I169" s="3">
        <v>46</v>
      </c>
      <c r="J169" s="3">
        <v>41</v>
      </c>
    </row>
    <row r="170" spans="1:10" x14ac:dyDescent="0.3">
      <c r="A170" s="2" t="s">
        <v>107</v>
      </c>
      <c r="C170" s="3">
        <f>22+27</f>
        <v>49</v>
      </c>
      <c r="D170" s="3">
        <f>18+25</f>
        <v>43</v>
      </c>
      <c r="E170" s="3">
        <v>54</v>
      </c>
      <c r="F170" s="3">
        <v>55</v>
      </c>
      <c r="G170" s="3">
        <v>53</v>
      </c>
      <c r="H170" s="3">
        <v>46</v>
      </c>
      <c r="I170" s="3">
        <v>43</v>
      </c>
      <c r="J170" s="3">
        <v>42</v>
      </c>
    </row>
    <row r="171" spans="1:10" x14ac:dyDescent="0.3">
      <c r="A171" s="2" t="s">
        <v>108</v>
      </c>
      <c r="C171" s="3">
        <v>210</v>
      </c>
      <c r="D171" s="3">
        <v>230</v>
      </c>
      <c r="E171" s="3">
        <v>233</v>
      </c>
      <c r="F171" s="3">
        <v>217</v>
      </c>
      <c r="G171" s="3">
        <v>195</v>
      </c>
      <c r="H171" s="3">
        <v>214</v>
      </c>
      <c r="I171" s="3">
        <v>222</v>
      </c>
      <c r="J171" s="3">
        <v>220</v>
      </c>
    </row>
    <row r="172" spans="1:10" x14ac:dyDescent="0.3">
      <c r="A172" s="4" t="s">
        <v>120</v>
      </c>
      <c r="C172" s="5">
        <f t="shared" ref="C172:J172" si="37">+SUM(C167:C171)</f>
        <v>513</v>
      </c>
      <c r="D172" s="5">
        <f t="shared" si="37"/>
        <v>538</v>
      </c>
      <c r="E172" s="5">
        <f t="shared" si="37"/>
        <v>587</v>
      </c>
      <c r="F172" s="5">
        <f t="shared" si="37"/>
        <v>604</v>
      </c>
      <c r="G172" s="5">
        <f t="shared" si="37"/>
        <v>558</v>
      </c>
      <c r="H172" s="5">
        <f t="shared" si="37"/>
        <v>584</v>
      </c>
      <c r="I172" s="5">
        <f t="shared" si="37"/>
        <v>577</v>
      </c>
      <c r="J172" s="5">
        <f t="shared" si="37"/>
        <v>561</v>
      </c>
    </row>
    <row r="173" spans="1:10" x14ac:dyDescent="0.3">
      <c r="A173" s="2" t="s">
        <v>105</v>
      </c>
      <c r="C173" s="3">
        <v>18</v>
      </c>
      <c r="D173" s="3">
        <v>27</v>
      </c>
      <c r="E173" s="3">
        <v>28</v>
      </c>
      <c r="F173" s="3">
        <v>33</v>
      </c>
      <c r="G173" s="3">
        <v>31</v>
      </c>
      <c r="H173" s="3">
        <v>25</v>
      </c>
      <c r="I173" s="3">
        <v>26</v>
      </c>
      <c r="J173" s="3">
        <v>22</v>
      </c>
    </row>
    <row r="174" spans="1:10" x14ac:dyDescent="0.3">
      <c r="A174" s="2" t="s">
        <v>109</v>
      </c>
      <c r="C174" s="3">
        <v>75</v>
      </c>
      <c r="D174" s="3">
        <v>84</v>
      </c>
      <c r="E174" s="3">
        <v>91</v>
      </c>
      <c r="F174" s="3">
        <v>110</v>
      </c>
      <c r="G174" s="3">
        <v>116</v>
      </c>
      <c r="H174" s="3">
        <v>112</v>
      </c>
      <c r="I174" s="3">
        <v>141</v>
      </c>
      <c r="J174" s="3">
        <v>134</v>
      </c>
    </row>
    <row r="175" spans="1:10" ht="15" thickBot="1" x14ac:dyDescent="0.35">
      <c r="A175" s="6" t="s">
        <v>126</v>
      </c>
      <c r="C175" s="7">
        <f t="shared" ref="C175:I175" si="38">+SUM(C172:C174)</f>
        <v>606</v>
      </c>
      <c r="D175" s="7">
        <f t="shared" si="38"/>
        <v>649</v>
      </c>
      <c r="E175" s="7">
        <f t="shared" si="38"/>
        <v>706</v>
      </c>
      <c r="F175" s="7">
        <f t="shared" si="38"/>
        <v>747</v>
      </c>
      <c r="G175" s="7">
        <f t="shared" si="38"/>
        <v>705</v>
      </c>
      <c r="H175" s="7">
        <f t="shared" si="38"/>
        <v>721</v>
      </c>
      <c r="I175" s="7">
        <f t="shared" si="38"/>
        <v>744</v>
      </c>
      <c r="J175" s="7">
        <f>+SUM(J172:J174)</f>
        <v>717</v>
      </c>
    </row>
    <row r="176" spans="1:10" ht="15" thickTop="1" x14ac:dyDescent="0.3">
      <c r="A176" s="12" t="s">
        <v>112</v>
      </c>
      <c r="C176" s="13">
        <f>+C175-C66</f>
        <v>0</v>
      </c>
      <c r="D176" s="13">
        <f t="shared" ref="D176:I176" si="39">+D175-D66</f>
        <v>0</v>
      </c>
      <c r="E176" s="13">
        <f t="shared" si="39"/>
        <v>0</v>
      </c>
      <c r="F176" s="13">
        <f t="shared" si="39"/>
        <v>0</v>
      </c>
      <c r="G176" s="13">
        <f t="shared" si="39"/>
        <v>0</v>
      </c>
      <c r="H176" s="13">
        <f t="shared" si="39"/>
        <v>0</v>
      </c>
      <c r="I176" s="13">
        <f t="shared" si="39"/>
        <v>0</v>
      </c>
      <c r="J176" s="13">
        <f>+J175-J66</f>
        <v>0</v>
      </c>
    </row>
    <row r="177" spans="1:10" x14ac:dyDescent="0.3">
      <c r="A177" s="14" t="s">
        <v>127</v>
      </c>
      <c r="C177" s="14"/>
      <c r="D177" s="14"/>
      <c r="E177" s="14"/>
      <c r="F177" s="14"/>
      <c r="G177" s="14"/>
      <c r="H177" s="14"/>
      <c r="I177" s="14"/>
      <c r="J177" s="14"/>
    </row>
    <row r="178" spans="1:10" x14ac:dyDescent="0.3">
      <c r="A178" s="28" t="s">
        <v>128</v>
      </c>
    </row>
    <row r="179" spans="1:10" x14ac:dyDescent="0.3">
      <c r="A179" s="33" t="s">
        <v>101</v>
      </c>
      <c r="C179" s="39">
        <f>(C107-B107)/B107</f>
        <v>0.11716399707293276</v>
      </c>
      <c r="D179" s="40">
        <f t="shared" ref="D179:I194" si="40">(D107-C107)/C107</f>
        <v>7.4526928675400297E-2</v>
      </c>
      <c r="E179" s="40">
        <f t="shared" si="40"/>
        <v>3.061500948252506E-2</v>
      </c>
      <c r="F179" s="40">
        <f t="shared" si="40"/>
        <v>-2.3725026288117772E-2</v>
      </c>
      <c r="G179" s="40">
        <f t="shared" si="40"/>
        <v>7.0481319421070346E-2</v>
      </c>
      <c r="H179" s="40">
        <f t="shared" si="40"/>
        <v>-8.9171173437303478E-2</v>
      </c>
      <c r="I179" s="40">
        <f t="shared" si="40"/>
        <v>0.18606738470035902</v>
      </c>
      <c r="J179" s="34">
        <v>7.0000000000000007E-2</v>
      </c>
    </row>
    <row r="180" spans="1:10" x14ac:dyDescent="0.3">
      <c r="A180" s="31" t="s">
        <v>114</v>
      </c>
      <c r="C180" s="39">
        <f t="shared" ref="C180:C203" si="41">(C108-B108)/B108</f>
        <v>0.13488992661774515</v>
      </c>
      <c r="D180" s="40">
        <f t="shared" si="40"/>
        <v>9.3228309428638606E-2</v>
      </c>
      <c r="E180" s="40">
        <f t="shared" si="40"/>
        <v>4.1402301322722872E-2</v>
      </c>
      <c r="F180" s="40">
        <f t="shared" si="40"/>
        <v>-3.7381247418422137E-2</v>
      </c>
      <c r="G180" s="40">
        <f t="shared" si="40"/>
        <v>7.7558463848959452E-2</v>
      </c>
      <c r="H180" s="40">
        <f t="shared" si="40"/>
        <v>-7.1279243404678949E-2</v>
      </c>
      <c r="I180" s="40">
        <f t="shared" si="40"/>
        <v>0.24815092721620752</v>
      </c>
      <c r="J180" s="30">
        <v>0.05</v>
      </c>
    </row>
    <row r="181" spans="1:10" x14ac:dyDescent="0.3">
      <c r="A181" s="31" t="s">
        <v>115</v>
      </c>
      <c r="C181" s="39">
        <f t="shared" si="41"/>
        <v>0.12014224028448058</v>
      </c>
      <c r="D181" s="40">
        <f t="shared" si="40"/>
        <v>7.6190476190476197E-2</v>
      </c>
      <c r="E181" s="40">
        <f t="shared" si="40"/>
        <v>2.9498525073746312E-2</v>
      </c>
      <c r="F181" s="40">
        <f t="shared" si="40"/>
        <v>1.0642652476463364E-2</v>
      </c>
      <c r="G181" s="40">
        <f t="shared" si="40"/>
        <v>6.5208586472255969E-2</v>
      </c>
      <c r="H181" s="40">
        <f t="shared" si="40"/>
        <v>-0.11806083650190113</v>
      </c>
      <c r="I181" s="40">
        <f t="shared" si="40"/>
        <v>8.3854278939426596E-2</v>
      </c>
      <c r="J181" s="30">
        <v>0.09</v>
      </c>
    </row>
    <row r="182" spans="1:10" x14ac:dyDescent="0.3">
      <c r="A182" s="31" t="s">
        <v>116</v>
      </c>
      <c r="C182" s="39">
        <f t="shared" si="41"/>
        <v>-4.9596309111880045E-2</v>
      </c>
      <c r="D182" s="40">
        <f t="shared" si="40"/>
        <v>-0.12742718446601942</v>
      </c>
      <c r="E182" s="40">
        <f t="shared" si="40"/>
        <v>-0.10152990264255911</v>
      </c>
      <c r="F182" s="40">
        <f t="shared" si="40"/>
        <v>-7.8947368421052627E-2</v>
      </c>
      <c r="G182" s="40">
        <f t="shared" si="40"/>
        <v>3.3613445378151263E-3</v>
      </c>
      <c r="H182" s="40">
        <f t="shared" si="40"/>
        <v>-0.135678391959799</v>
      </c>
      <c r="I182" s="40">
        <f t="shared" si="40"/>
        <v>-1.7441860465116279E-2</v>
      </c>
      <c r="J182" s="30">
        <v>0.25</v>
      </c>
    </row>
    <row r="183" spans="1:10" x14ac:dyDescent="0.3">
      <c r="A183" s="33" t="s">
        <v>102</v>
      </c>
      <c r="C183" s="39">
        <f t="shared" si="41"/>
        <v>0.1193842287150487</v>
      </c>
      <c r="D183" s="40">
        <f t="shared" si="40"/>
        <v>6.2026382262138649E-2</v>
      </c>
      <c r="E183" s="40">
        <f t="shared" si="40"/>
        <v>5.3118393234672302E-2</v>
      </c>
      <c r="F183" s="40">
        <f t="shared" si="40"/>
        <v>0.15959849435382686</v>
      </c>
      <c r="G183" s="40">
        <f t="shared" si="40"/>
        <v>6.1674962129409219E-2</v>
      </c>
      <c r="H183" s="40">
        <f t="shared" si="40"/>
        <v>-4.7390949857317573E-2</v>
      </c>
      <c r="I183" s="40">
        <f t="shared" si="40"/>
        <v>0.22563389322777361</v>
      </c>
      <c r="J183" s="34">
        <v>0.12</v>
      </c>
    </row>
    <row r="184" spans="1:10" x14ac:dyDescent="0.3">
      <c r="A184" s="31" t="s">
        <v>114</v>
      </c>
      <c r="C184" s="40">
        <f t="shared" si="41"/>
        <v>0.15780403741999016</v>
      </c>
      <c r="D184" s="40">
        <f t="shared" si="40"/>
        <v>7.2294280246651077E-2</v>
      </c>
      <c r="E184" s="40">
        <f t="shared" si="40"/>
        <v>2.9545905215149711E-2</v>
      </c>
      <c r="F184" s="40">
        <f t="shared" si="40"/>
        <v>0.13154853620955315</v>
      </c>
      <c r="G184" s="40">
        <f t="shared" si="40"/>
        <v>7.114893617021277E-2</v>
      </c>
      <c r="H184" s="40">
        <f t="shared" si="40"/>
        <v>-6.3721595423486418E-2</v>
      </c>
      <c r="I184" s="40">
        <f t="shared" si="40"/>
        <v>0.18295994568906992</v>
      </c>
      <c r="J184" s="30">
        <v>0.09</v>
      </c>
    </row>
    <row r="185" spans="1:10" x14ac:dyDescent="0.3">
      <c r="A185" s="31" t="s">
        <v>115</v>
      </c>
      <c r="C185" s="39">
        <f t="shared" si="41"/>
        <v>4.6962736089841757E-2</v>
      </c>
      <c r="D185" s="40">
        <f t="shared" si="40"/>
        <v>4.778156996587031E-2</v>
      </c>
      <c r="E185" s="40">
        <f t="shared" si="40"/>
        <v>0.11447184737087017</v>
      </c>
      <c r="F185" s="40">
        <f t="shared" si="40"/>
        <v>0.22755741127348644</v>
      </c>
      <c r="G185" s="40">
        <f t="shared" si="40"/>
        <v>0.05</v>
      </c>
      <c r="H185" s="40">
        <f t="shared" si="40"/>
        <v>-1.101392938127632E-2</v>
      </c>
      <c r="I185" s="40">
        <f t="shared" si="40"/>
        <v>0.30887651490337376</v>
      </c>
      <c r="J185" s="30">
        <v>0.16</v>
      </c>
    </row>
    <row r="186" spans="1:10" x14ac:dyDescent="0.3">
      <c r="A186" s="31" t="s">
        <v>116</v>
      </c>
      <c r="C186" s="39">
        <f t="shared" si="41"/>
        <v>7.8260869565217397E-2</v>
      </c>
      <c r="D186" s="40">
        <f t="shared" si="40"/>
        <v>1.0752688172043012E-2</v>
      </c>
      <c r="E186" s="40">
        <f t="shared" si="40"/>
        <v>1.8617021276595744E-2</v>
      </c>
      <c r="F186" s="40">
        <f t="shared" si="40"/>
        <v>0.11488250652741515</v>
      </c>
      <c r="G186" s="40">
        <f t="shared" si="40"/>
        <v>1.1709601873536301E-2</v>
      </c>
      <c r="H186" s="40">
        <f t="shared" si="40"/>
        <v>-6.9444444444444448E-2</v>
      </c>
      <c r="I186" s="40">
        <f t="shared" si="40"/>
        <v>0.21890547263681592</v>
      </c>
      <c r="J186" s="30">
        <v>0.17</v>
      </c>
    </row>
    <row r="187" spans="1:10" x14ac:dyDescent="0.3">
      <c r="A187" s="33" t="s">
        <v>103</v>
      </c>
      <c r="C187" s="39">
        <f t="shared" si="41"/>
        <v>0.17870868562644121</v>
      </c>
      <c r="D187" s="40">
        <f t="shared" si="40"/>
        <v>0.23410498858819692</v>
      </c>
      <c r="E187" s="40">
        <f t="shared" si="40"/>
        <v>0.11941875825627477</v>
      </c>
      <c r="F187" s="40">
        <f t="shared" si="40"/>
        <v>0.21170639603493038</v>
      </c>
      <c r="G187" s="40">
        <f t="shared" si="40"/>
        <v>0.20919361121932217</v>
      </c>
      <c r="H187" s="40">
        <f t="shared" si="40"/>
        <v>7.5869845360824736E-2</v>
      </c>
      <c r="I187" s="40">
        <f t="shared" si="40"/>
        <v>0.24120377301991316</v>
      </c>
      <c r="J187" s="34">
        <v>-0.13</v>
      </c>
    </row>
    <row r="188" spans="1:10" x14ac:dyDescent="0.3">
      <c r="A188" s="31" t="s">
        <v>114</v>
      </c>
      <c r="C188" s="39">
        <f t="shared" si="41"/>
        <v>0.26</v>
      </c>
      <c r="D188" s="40">
        <f t="shared" si="40"/>
        <v>0.28918650793650796</v>
      </c>
      <c r="E188" s="40">
        <f t="shared" si="40"/>
        <v>0.12350904193920739</v>
      </c>
      <c r="F188" s="40">
        <f t="shared" si="40"/>
        <v>0.19726027397260273</v>
      </c>
      <c r="G188" s="40">
        <f t="shared" si="40"/>
        <v>0.21910755148741418</v>
      </c>
      <c r="H188" s="40">
        <f t="shared" si="40"/>
        <v>8.7517597372125763E-2</v>
      </c>
      <c r="I188" s="40">
        <f t="shared" si="40"/>
        <v>0.24012944983818771</v>
      </c>
      <c r="J188" s="30">
        <v>-0.1</v>
      </c>
    </row>
    <row r="189" spans="1:10" x14ac:dyDescent="0.3">
      <c r="A189" s="31" t="s">
        <v>115</v>
      </c>
      <c r="C189" s="39">
        <f t="shared" si="41"/>
        <v>5.5936073059360727E-2</v>
      </c>
      <c r="D189" s="40">
        <f t="shared" si="40"/>
        <v>0.14054054054054055</v>
      </c>
      <c r="E189" s="40">
        <f t="shared" si="40"/>
        <v>0.12606635071090047</v>
      </c>
      <c r="F189" s="40">
        <f t="shared" si="40"/>
        <v>0.26936026936026936</v>
      </c>
      <c r="G189" s="40">
        <f t="shared" si="40"/>
        <v>0.19893899204244031</v>
      </c>
      <c r="H189" s="40">
        <f t="shared" si="40"/>
        <v>4.8672566371681415E-2</v>
      </c>
      <c r="I189" s="40">
        <f t="shared" si="40"/>
        <v>0.2378691983122363</v>
      </c>
      <c r="J189" s="30">
        <v>-0.21</v>
      </c>
    </row>
    <row r="190" spans="1:10" x14ac:dyDescent="0.3">
      <c r="A190" s="31" t="s">
        <v>116</v>
      </c>
      <c r="C190" s="39">
        <f t="shared" si="41"/>
        <v>0</v>
      </c>
      <c r="D190" s="40">
        <f t="shared" si="40"/>
        <v>3.968253968253968E-2</v>
      </c>
      <c r="E190" s="40">
        <f t="shared" si="40"/>
        <v>-1.5267175572519083E-2</v>
      </c>
      <c r="F190" s="40">
        <f t="shared" si="40"/>
        <v>7.7519379844961239E-3</v>
      </c>
      <c r="G190" s="40">
        <f t="shared" si="40"/>
        <v>6.1538461538461542E-2</v>
      </c>
      <c r="H190" s="40">
        <f t="shared" si="40"/>
        <v>7.2463768115942032E-2</v>
      </c>
      <c r="I190" s="40">
        <f t="shared" si="40"/>
        <v>0.31756756756756754</v>
      </c>
      <c r="J190" s="30">
        <v>-0.06</v>
      </c>
    </row>
    <row r="191" spans="1:10" x14ac:dyDescent="0.3">
      <c r="A191" s="33" t="s">
        <v>107</v>
      </c>
      <c r="C191" s="39">
        <f t="shared" si="41"/>
        <v>-1.4194915254237288E-2</v>
      </c>
      <c r="D191" s="40">
        <f t="shared" si="40"/>
        <v>-7.2211476466795613E-2</v>
      </c>
      <c r="E191" s="40">
        <f t="shared" si="40"/>
        <v>9.7289784572619872E-2</v>
      </c>
      <c r="F191" s="40">
        <f t="shared" si="40"/>
        <v>9.0563647878404055E-2</v>
      </c>
      <c r="G191" s="40">
        <f t="shared" si="40"/>
        <v>1.7034456058846303E-2</v>
      </c>
      <c r="H191" s="40">
        <f t="shared" si="40"/>
        <v>-4.3014845831747243E-2</v>
      </c>
      <c r="I191" s="40">
        <f t="shared" si="40"/>
        <v>6.2649164677804292E-2</v>
      </c>
      <c r="J191" s="34">
        <v>0.16</v>
      </c>
    </row>
    <row r="192" spans="1:10" x14ac:dyDescent="0.3">
      <c r="A192" s="31" t="s">
        <v>114</v>
      </c>
      <c r="C192" s="39">
        <f t="shared" si="41"/>
        <v>1.376597836774828E-2</v>
      </c>
      <c r="D192" s="40">
        <f t="shared" si="40"/>
        <v>-5.2699644358228256E-2</v>
      </c>
      <c r="E192" s="40">
        <f t="shared" si="40"/>
        <v>0.12116040955631399</v>
      </c>
      <c r="F192" s="40">
        <f t="shared" si="40"/>
        <v>8.8280060882800604E-2</v>
      </c>
      <c r="G192" s="40">
        <f t="shared" si="40"/>
        <v>1.3146853146853148E-2</v>
      </c>
      <c r="H192" s="40">
        <f t="shared" si="40"/>
        <v>-4.7763666482606291E-2</v>
      </c>
      <c r="I192" s="40">
        <f t="shared" si="40"/>
        <v>6.0887213685126125E-2</v>
      </c>
      <c r="J192" s="30">
        <v>0.17</v>
      </c>
    </row>
    <row r="193" spans="1:10" x14ac:dyDescent="0.3">
      <c r="A193" s="31" t="s">
        <v>115</v>
      </c>
      <c r="C193" s="39">
        <f t="shared" si="41"/>
        <v>-6.4323111443530298E-2</v>
      </c>
      <c r="D193" s="40">
        <f>(D121-C121)/C121</f>
        <v>-0.10711430855315747</v>
      </c>
      <c r="E193" s="40">
        <f t="shared" si="40"/>
        <v>6.087735004476276E-2</v>
      </c>
      <c r="F193" s="40">
        <f t="shared" si="40"/>
        <v>0.13670886075949368</v>
      </c>
      <c r="G193" s="40">
        <f t="shared" si="40"/>
        <v>3.5634743875278395E-2</v>
      </c>
      <c r="H193" s="40">
        <f t="shared" si="40"/>
        <v>-2.1505376344086023E-2</v>
      </c>
      <c r="I193" s="40">
        <f t="shared" si="40"/>
        <v>9.4505494505494503E-2</v>
      </c>
      <c r="J193" s="30">
        <v>0.12</v>
      </c>
    </row>
    <row r="194" spans="1:10" x14ac:dyDescent="0.3">
      <c r="A194" s="31" t="s">
        <v>116</v>
      </c>
      <c r="C194" s="39">
        <f t="shared" si="41"/>
        <v>-6.9277108433734941E-2</v>
      </c>
      <c r="D194" s="40">
        <f t="shared" si="40"/>
        <v>-0.12621359223300971</v>
      </c>
      <c r="E194" s="40">
        <f t="shared" si="40"/>
        <v>-1.1111111111111112E-2</v>
      </c>
      <c r="F194" s="40">
        <f t="shared" si="40"/>
        <v>-8.6142322097378279E-2</v>
      </c>
      <c r="G194" s="40">
        <f t="shared" si="40"/>
        <v>-2.8688524590163935E-2</v>
      </c>
      <c r="H194" s="40">
        <f t="shared" si="40"/>
        <v>-9.7046413502109699E-2</v>
      </c>
      <c r="I194" s="40">
        <f t="shared" si="40"/>
        <v>-0.11214953271028037</v>
      </c>
      <c r="J194" s="30">
        <v>0.28000000000000003</v>
      </c>
    </row>
    <row r="195" spans="1:10" x14ac:dyDescent="0.3">
      <c r="A195" s="33" t="s">
        <v>108</v>
      </c>
      <c r="C195" s="39">
        <f t="shared" si="41"/>
        <v>-0.08</v>
      </c>
      <c r="D195" s="40">
        <f t="shared" ref="D195:I203" si="42">(D123-C123)/C123</f>
        <v>-0.36521739130434783</v>
      </c>
      <c r="E195" s="40">
        <f t="shared" si="42"/>
        <v>0</v>
      </c>
      <c r="F195" s="40">
        <f t="shared" si="42"/>
        <v>0.20547945205479451</v>
      </c>
      <c r="G195" s="40">
        <f t="shared" si="42"/>
        <v>-0.52272727272727271</v>
      </c>
      <c r="H195" s="40">
        <f t="shared" si="42"/>
        <v>-0.2857142857142857</v>
      </c>
      <c r="I195" s="40">
        <f t="shared" si="42"/>
        <v>-0.16666666666666666</v>
      </c>
      <c r="J195" s="34">
        <v>3.02</v>
      </c>
    </row>
    <row r="196" spans="1:10" x14ac:dyDescent="0.3">
      <c r="A196" s="35" t="s">
        <v>104</v>
      </c>
      <c r="C196" s="39">
        <f t="shared" si="41"/>
        <v>9.914981617647059E-2</v>
      </c>
      <c r="D196" s="40">
        <f t="shared" si="42"/>
        <v>6.2924636772237905E-2</v>
      </c>
      <c r="E196" s="40">
        <f t="shared" si="42"/>
        <v>5.6577179008096501E-2</v>
      </c>
      <c r="F196" s="40">
        <f t="shared" si="42"/>
        <v>6.9866286104303038E-2</v>
      </c>
      <c r="G196" s="40">
        <f t="shared" si="42"/>
        <v>7.9251848629839056E-2</v>
      </c>
      <c r="H196" s="40">
        <f t="shared" si="42"/>
        <v>-4.4333387070772209E-2</v>
      </c>
      <c r="I196" s="40">
        <f t="shared" si="42"/>
        <v>0.18907444894286998</v>
      </c>
      <c r="J196" s="37">
        <v>0.06</v>
      </c>
    </row>
    <row r="197" spans="1:10" x14ac:dyDescent="0.3">
      <c r="A197" s="33" t="s">
        <v>105</v>
      </c>
      <c r="C197" s="39">
        <f t="shared" si="41"/>
        <v>0.17695961995249407</v>
      </c>
      <c r="D197" s="40">
        <f t="shared" si="42"/>
        <v>-1.3622603430877902E-2</v>
      </c>
      <c r="E197" s="40">
        <f t="shared" si="42"/>
        <v>4.4501278772378514E-2</v>
      </c>
      <c r="F197" s="40">
        <f t="shared" si="42"/>
        <v>-7.6395690499510283E-2</v>
      </c>
      <c r="G197" s="40">
        <f t="shared" si="42"/>
        <v>1.0604453870625663E-2</v>
      </c>
      <c r="H197" s="40">
        <f t="shared" si="42"/>
        <v>-3.1479538300104928E-2</v>
      </c>
      <c r="I197" s="40">
        <f t="shared" si="42"/>
        <v>0.19447453954496208</v>
      </c>
      <c r="J197" s="34">
        <v>7.0000000000000007E-2</v>
      </c>
    </row>
    <row r="198" spans="1:10" x14ac:dyDescent="0.3">
      <c r="A198" s="31" t="s">
        <v>114</v>
      </c>
      <c r="C198" s="39"/>
      <c r="D198" s="40"/>
      <c r="E198" s="40"/>
      <c r="F198" s="40"/>
      <c r="G198" s="40">
        <f t="shared" si="42"/>
        <v>2.9174425822470516E-2</v>
      </c>
      <c r="H198" s="40">
        <f t="shared" si="42"/>
        <v>-9.6501809408926411E-3</v>
      </c>
      <c r="I198" s="40">
        <f t="shared" si="42"/>
        <v>0.20950060901339829</v>
      </c>
      <c r="J198" s="30">
        <v>0.06</v>
      </c>
    </row>
    <row r="199" spans="1:10" x14ac:dyDescent="0.3">
      <c r="A199" s="31" t="s">
        <v>115</v>
      </c>
      <c r="C199" s="39"/>
      <c r="D199" s="40"/>
      <c r="E199" s="40"/>
      <c r="F199" s="40"/>
      <c r="G199" s="40">
        <f t="shared" si="42"/>
        <v>-0.18055555555555555</v>
      </c>
      <c r="H199" s="40">
        <f t="shared" si="42"/>
        <v>-0.24576271186440679</v>
      </c>
      <c r="I199" s="40">
        <f t="shared" si="42"/>
        <v>0.16853932584269662</v>
      </c>
      <c r="J199" s="30">
        <v>-0.03</v>
      </c>
    </row>
    <row r="200" spans="1:10" x14ac:dyDescent="0.3">
      <c r="A200" s="31" t="s">
        <v>116</v>
      </c>
      <c r="C200" s="39"/>
      <c r="D200" s="40"/>
      <c r="E200" s="40"/>
      <c r="F200" s="40"/>
      <c r="G200" s="40">
        <f t="shared" si="42"/>
        <v>-0.14285714285714285</v>
      </c>
      <c r="H200" s="40">
        <f t="shared" si="42"/>
        <v>4.1666666666666664E-2</v>
      </c>
      <c r="I200" s="40">
        <f t="shared" si="42"/>
        <v>0.16</v>
      </c>
      <c r="J200" s="30">
        <v>-0.16</v>
      </c>
    </row>
    <row r="201" spans="1:10" x14ac:dyDescent="0.3">
      <c r="A201" s="31" t="s">
        <v>122</v>
      </c>
      <c r="C201" s="39"/>
      <c r="D201" s="40"/>
      <c r="E201" s="40"/>
      <c r="F201" s="40"/>
      <c r="G201" s="40">
        <f t="shared" si="42"/>
        <v>2.9126213592233011E-2</v>
      </c>
      <c r="H201" s="40">
        <f t="shared" si="42"/>
        <v>-0.15094339622641509</v>
      </c>
      <c r="I201" s="40">
        <f t="shared" si="42"/>
        <v>-4.4444444444444446E-2</v>
      </c>
      <c r="J201" s="30">
        <v>0.42</v>
      </c>
    </row>
    <row r="202" spans="1:10" x14ac:dyDescent="0.3">
      <c r="A202" s="29" t="s">
        <v>109</v>
      </c>
      <c r="C202" s="39">
        <f t="shared" si="41"/>
        <v>-28.333333333333332</v>
      </c>
      <c r="D202" s="40">
        <f t="shared" si="42"/>
        <v>4.878048780487805E-2</v>
      </c>
      <c r="E202" s="40">
        <f t="shared" si="42"/>
        <v>-1.8720930232558139</v>
      </c>
      <c r="F202" s="40">
        <f t="shared" si="42"/>
        <v>-0.65333333333333332</v>
      </c>
      <c r="G202" s="40">
        <f t="shared" si="42"/>
        <v>-1.2692307692307692</v>
      </c>
      <c r="H202" s="40">
        <f t="shared" si="42"/>
        <v>0.5714285714285714</v>
      </c>
      <c r="I202" s="40">
        <f t="shared" si="42"/>
        <v>-4.6363636363636367</v>
      </c>
      <c r="J202" s="30">
        <v>0</v>
      </c>
    </row>
    <row r="203" spans="1:10" ht="15" thickBot="1" x14ac:dyDescent="0.35">
      <c r="A203" s="32" t="s">
        <v>106</v>
      </c>
      <c r="C203" s="39">
        <f t="shared" si="41"/>
        <v>0.10079499262563402</v>
      </c>
      <c r="D203" s="40">
        <f t="shared" si="42"/>
        <v>5.8004640371229696E-2</v>
      </c>
      <c r="E203" s="40">
        <f t="shared" si="42"/>
        <v>6.0971089696071165E-2</v>
      </c>
      <c r="F203" s="40">
        <f t="shared" si="42"/>
        <v>5.9592430858806403E-2</v>
      </c>
      <c r="G203" s="40">
        <f t="shared" si="42"/>
        <v>7.4731433909388134E-2</v>
      </c>
      <c r="H203" s="40">
        <f t="shared" si="42"/>
        <v>-4.3817266150267146E-2</v>
      </c>
      <c r="I203" s="40">
        <f t="shared" si="42"/>
        <v>0.1907600994572628</v>
      </c>
      <c r="J203" s="36">
        <v>0.06</v>
      </c>
    </row>
    <row r="204" spans="1:10"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0"/>
  <sheetViews>
    <sheetView tabSelected="1" zoomScale="69" zoomScaleNormal="100" workbookViewId="0">
      <selection activeCell="B3" sqref="B3"/>
    </sheetView>
  </sheetViews>
  <sheetFormatPr defaultRowHeight="14.4" x14ac:dyDescent="0.3"/>
  <cols>
    <col min="1" max="1" width="48.77734375" customWidth="1"/>
    <col min="2" max="2" width="11.77734375" customWidth="1"/>
    <col min="3" max="4" width="12.5546875" bestFit="1" customWidth="1"/>
    <col min="5" max="14" width="11.77734375" customWidth="1"/>
    <col min="15" max="15" width="14.33203125" bestFit="1" customWidth="1"/>
  </cols>
  <sheetData>
    <row r="1" spans="1:16" ht="60" customHeight="1" x14ac:dyDescent="0.3">
      <c r="A1" s="44" t="s">
        <v>146</v>
      </c>
      <c r="B1" s="45">
        <v>2014</v>
      </c>
      <c r="C1" s="46">
        <f t="shared" ref="C1:H1" si="0">+D1-1</f>
        <v>2015</v>
      </c>
      <c r="D1" s="46">
        <f t="shared" si="0"/>
        <v>2016</v>
      </c>
      <c r="E1" s="46">
        <f t="shared" si="0"/>
        <v>2017</v>
      </c>
      <c r="F1" s="46">
        <f t="shared" si="0"/>
        <v>2018</v>
      </c>
      <c r="G1" s="46">
        <f t="shared" si="0"/>
        <v>2019</v>
      </c>
      <c r="H1" s="46">
        <f t="shared" si="0"/>
        <v>2020</v>
      </c>
      <c r="I1" s="46">
        <f>+J1-1</f>
        <v>2021</v>
      </c>
      <c r="J1" s="46">
        <v>2022</v>
      </c>
      <c r="K1" s="47">
        <f>+J1+1</f>
        <v>2023</v>
      </c>
      <c r="L1" s="47">
        <f t="shared" ref="L1:O1" si="1">+K1+1</f>
        <v>2024</v>
      </c>
      <c r="M1" s="47">
        <f t="shared" si="1"/>
        <v>2025</v>
      </c>
      <c r="N1" s="47">
        <f t="shared" si="1"/>
        <v>2026</v>
      </c>
      <c r="O1" s="47">
        <f t="shared" si="1"/>
        <v>2027</v>
      </c>
    </row>
    <row r="2" spans="1:16" x14ac:dyDescent="0.3">
      <c r="A2" s="48" t="s">
        <v>129</v>
      </c>
      <c r="B2" s="49"/>
      <c r="C2" s="48"/>
      <c r="D2" s="48"/>
      <c r="E2" s="48"/>
      <c r="F2" s="48"/>
      <c r="G2" s="48"/>
      <c r="H2" s="48"/>
      <c r="I2" s="48"/>
      <c r="J2" s="48"/>
      <c r="K2" s="47"/>
      <c r="L2" s="47"/>
      <c r="M2" s="47"/>
      <c r="N2" s="47"/>
      <c r="O2" s="47"/>
    </row>
    <row r="3" spans="1:16" ht="15" thickBot="1" x14ac:dyDescent="0.35">
      <c r="A3" s="50" t="s">
        <v>140</v>
      </c>
      <c r="B3" s="70">
        <v>27799</v>
      </c>
      <c r="C3" s="52">
        <f>Historicals!C131</f>
        <v>30601</v>
      </c>
      <c r="D3" s="52">
        <f>Historicals!D131</f>
        <v>32376</v>
      </c>
      <c r="E3" s="52">
        <f>Historicals!E131</f>
        <v>34350</v>
      </c>
      <c r="F3" s="52">
        <f>Historicals!F131</f>
        <v>36397</v>
      </c>
      <c r="G3" s="52">
        <f>Historicals!G131</f>
        <v>39117</v>
      </c>
      <c r="H3" s="52">
        <f>Historicals!H131</f>
        <v>37403</v>
      </c>
      <c r="I3" s="52">
        <f>Historicals!I131</f>
        <v>44538</v>
      </c>
      <c r="J3" s="52">
        <f>Historicals!J131</f>
        <v>46710</v>
      </c>
      <c r="K3" s="52">
        <f>(J3*K4)+J3</f>
        <v>49920.172574606615</v>
      </c>
      <c r="L3" s="52">
        <f t="shared" ref="L3:O3" si="2">(K3*L4)+K3</f>
        <v>53350.966171665736</v>
      </c>
      <c r="M3" s="52">
        <f t="shared" si="2"/>
        <v>57017.543102366799</v>
      </c>
      <c r="N3" s="52">
        <f t="shared" si="2"/>
        <v>60936.10771676775</v>
      </c>
      <c r="O3" s="52">
        <f t="shared" si="2"/>
        <v>65123.978018537018</v>
      </c>
    </row>
    <row r="4" spans="1:16" ht="15" thickTop="1" x14ac:dyDescent="0.3">
      <c r="A4" s="53" t="s">
        <v>130</v>
      </c>
      <c r="B4" s="51"/>
      <c r="C4" s="54">
        <f>(C3-B3)/B3</f>
        <v>0.10079499262563402</v>
      </c>
      <c r="D4" s="54">
        <f>(D3-C3)/C3</f>
        <v>5.8004640371229696E-2</v>
      </c>
      <c r="E4" s="54">
        <f t="shared" ref="E4:J4" si="3">(E3-D3)/D3</f>
        <v>6.0971089696071165E-2</v>
      </c>
      <c r="F4" s="54">
        <f t="shared" si="3"/>
        <v>5.9592430858806403E-2</v>
      </c>
      <c r="G4" s="54">
        <f t="shared" si="3"/>
        <v>7.4731433909388134E-2</v>
      </c>
      <c r="H4" s="54">
        <f t="shared" si="3"/>
        <v>-4.3817266150267146E-2</v>
      </c>
      <c r="I4" s="54">
        <f t="shared" si="3"/>
        <v>0.1907600994572628</v>
      </c>
      <c r="J4" s="54">
        <f t="shared" si="3"/>
        <v>4.8767344739323724E-2</v>
      </c>
      <c r="K4" s="55">
        <f>AVERAGE($C$4:$J$4)</f>
        <v>6.8725595688431104E-2</v>
      </c>
      <c r="L4" s="55">
        <f t="shared" ref="L4:O4" si="4">AVERAGE($C$4:$J$4)</f>
        <v>6.8725595688431104E-2</v>
      </c>
      <c r="M4" s="55">
        <f t="shared" si="4"/>
        <v>6.8725595688431104E-2</v>
      </c>
      <c r="N4" s="55">
        <f t="shared" si="4"/>
        <v>6.8725595688431104E-2</v>
      </c>
      <c r="O4" s="55">
        <f t="shared" si="4"/>
        <v>6.8725595688431104E-2</v>
      </c>
      <c r="P4" s="42"/>
    </row>
    <row r="5" spans="1:16" x14ac:dyDescent="0.3">
      <c r="A5" s="50" t="s">
        <v>131</v>
      </c>
      <c r="B5" s="51">
        <f>B8+B11</f>
        <v>4095</v>
      </c>
      <c r="C5" s="51">
        <f>C8+C11</f>
        <v>4839</v>
      </c>
      <c r="D5" s="51">
        <f t="shared" ref="D5:J5" si="5">D8+D11</f>
        <v>5291</v>
      </c>
      <c r="E5" s="51">
        <f t="shared" si="5"/>
        <v>5651</v>
      </c>
      <c r="F5" s="51">
        <f t="shared" si="5"/>
        <v>5126</v>
      </c>
      <c r="G5" s="51">
        <f t="shared" si="5"/>
        <v>5555</v>
      </c>
      <c r="H5" s="51">
        <f t="shared" si="5"/>
        <v>3697</v>
      </c>
      <c r="I5" s="51">
        <f t="shared" si="5"/>
        <v>7667</v>
      </c>
      <c r="J5" s="51">
        <f t="shared" si="5"/>
        <v>7573</v>
      </c>
      <c r="K5" s="56">
        <f>(J5*K6)+J5</f>
        <v>8577.3972663382683</v>
      </c>
      <c r="L5" s="56">
        <f t="shared" ref="L5:N5" si="6">(K5*L6)+K5</f>
        <v>9715.006452474212</v>
      </c>
      <c r="M5" s="56">
        <f t="shared" si="6"/>
        <v>11003.495284287726</v>
      </c>
      <c r="N5" s="56">
        <f t="shared" si="6"/>
        <v>12462.874735456962</v>
      </c>
      <c r="O5" s="56">
        <f>(N5*O6)+N5</f>
        <v>14115.8098094051</v>
      </c>
    </row>
    <row r="6" spans="1:16" x14ac:dyDescent="0.3">
      <c r="A6" s="53" t="s">
        <v>130</v>
      </c>
      <c r="B6" s="51"/>
      <c r="C6" s="54">
        <f>(C5-B5)/B5</f>
        <v>0.18168498168498168</v>
      </c>
      <c r="D6" s="54">
        <f>(D5-C5)/C5</f>
        <v>9.340772886960115E-2</v>
      </c>
      <c r="E6" s="54">
        <f t="shared" ref="E6:J6" si="7">(E5-D5)/D5</f>
        <v>6.8040068040068041E-2</v>
      </c>
      <c r="F6" s="54">
        <f t="shared" si="7"/>
        <v>-9.2903910812245624E-2</v>
      </c>
      <c r="G6" s="54">
        <f t="shared" si="7"/>
        <v>8.3690987124463517E-2</v>
      </c>
      <c r="H6" s="54">
        <f t="shared" si="7"/>
        <v>-0.3344734473447345</v>
      </c>
      <c r="I6" s="54">
        <f t="shared" si="7"/>
        <v>1.0738436570192047</v>
      </c>
      <c r="J6" s="54">
        <f t="shared" si="7"/>
        <v>-1.2260336507108387E-2</v>
      </c>
      <c r="K6" s="55">
        <f>AVERAGE($C$6:$J$6)</f>
        <v>0.13262871600927884</v>
      </c>
      <c r="L6" s="55">
        <f t="shared" ref="L6:N6" si="8">AVERAGE($C$6:$J$6)</f>
        <v>0.13262871600927884</v>
      </c>
      <c r="M6" s="55">
        <f t="shared" si="8"/>
        <v>0.13262871600927884</v>
      </c>
      <c r="N6" s="55">
        <f t="shared" si="8"/>
        <v>0.13262871600927884</v>
      </c>
      <c r="O6" s="55">
        <f>AVERAGE($C$6:$J$6)</f>
        <v>0.13262871600927884</v>
      </c>
    </row>
    <row r="7" spans="1:16" x14ac:dyDescent="0.3">
      <c r="A7" s="53" t="s">
        <v>132</v>
      </c>
      <c r="B7" s="51"/>
      <c r="C7" s="54">
        <f t="shared" ref="C7:J7" si="9">(C5/C3)</f>
        <v>0.15813208718669325</v>
      </c>
      <c r="D7" s="54">
        <f t="shared" si="9"/>
        <v>0.16342352359772672</v>
      </c>
      <c r="E7" s="54">
        <f t="shared" si="9"/>
        <v>0.16451237263464338</v>
      </c>
      <c r="F7" s="54">
        <f t="shared" si="9"/>
        <v>0.14083578316894249</v>
      </c>
      <c r="G7" s="54">
        <f t="shared" si="9"/>
        <v>0.14200986783240024</v>
      </c>
      <c r="H7" s="54">
        <f t="shared" si="9"/>
        <v>9.8842338849824879E-2</v>
      </c>
      <c r="I7" s="54">
        <f t="shared" si="9"/>
        <v>0.17214513449189456</v>
      </c>
      <c r="J7" s="54">
        <f t="shared" si="9"/>
        <v>0.16212802397773496</v>
      </c>
      <c r="K7" s="54">
        <f>K5/K3</f>
        <v>0.17182226791221905</v>
      </c>
      <c r="L7" s="54">
        <f t="shared" ref="L7:O7" si="10">L5/L3</f>
        <v>0.18209616712871776</v>
      </c>
      <c r="M7" s="54">
        <f t="shared" si="10"/>
        <v>0.19298438139525817</v>
      </c>
      <c r="N7" s="54">
        <f t="shared" si="10"/>
        <v>0.20452364291767131</v>
      </c>
      <c r="O7" s="54">
        <f t="shared" si="10"/>
        <v>0.21675288025843797</v>
      </c>
    </row>
    <row r="8" spans="1:16" x14ac:dyDescent="0.3">
      <c r="A8" s="50" t="s">
        <v>133</v>
      </c>
      <c r="B8" s="51">
        <v>518</v>
      </c>
      <c r="C8" s="51">
        <f>Historicals!C175</f>
        <v>606</v>
      </c>
      <c r="D8" s="51">
        <f>Historicals!D175</f>
        <v>649</v>
      </c>
      <c r="E8" s="51">
        <f>Historicals!E175</f>
        <v>706</v>
      </c>
      <c r="F8" s="51">
        <f>Historicals!F175</f>
        <v>747</v>
      </c>
      <c r="G8" s="51">
        <f>Historicals!G175</f>
        <v>705</v>
      </c>
      <c r="H8" s="51">
        <f>Historicals!H175</f>
        <v>721</v>
      </c>
      <c r="I8" s="51">
        <f>Historicals!I175</f>
        <v>744</v>
      </c>
      <c r="J8" s="51">
        <f>Historicals!J175</f>
        <v>717</v>
      </c>
      <c r="K8" s="56">
        <f>(J8*K9)+J8</f>
        <v>748.26319852756262</v>
      </c>
      <c r="L8" s="56">
        <f t="shared" ref="L8:O8" si="11">(K8*L9)+K8</f>
        <v>780.88955965229934</v>
      </c>
      <c r="M8" s="56">
        <f t="shared" si="11"/>
        <v>814.9385210630536</v>
      </c>
      <c r="N8" s="56">
        <f t="shared" si="11"/>
        <v>850.47211209757597</v>
      </c>
      <c r="O8" s="56">
        <f t="shared" si="11"/>
        <v>887.55506674564015</v>
      </c>
    </row>
    <row r="9" spans="1:16" x14ac:dyDescent="0.3">
      <c r="A9" s="53" t="s">
        <v>130</v>
      </c>
      <c r="B9" s="51"/>
      <c r="C9" s="54">
        <f t="shared" ref="C9:J9" si="12">(C8-B8)/B8</f>
        <v>0.16988416988416988</v>
      </c>
      <c r="D9" s="54">
        <f t="shared" si="12"/>
        <v>7.0957095709570955E-2</v>
      </c>
      <c r="E9" s="54">
        <f t="shared" si="12"/>
        <v>8.7827426810477657E-2</v>
      </c>
      <c r="F9" s="54">
        <f t="shared" si="12"/>
        <v>5.8073654390934842E-2</v>
      </c>
      <c r="G9" s="54">
        <f t="shared" si="12"/>
        <v>-5.6224899598393573E-2</v>
      </c>
      <c r="H9" s="54">
        <f t="shared" si="12"/>
        <v>2.2695035460992909E-2</v>
      </c>
      <c r="I9" s="54">
        <f t="shared" si="12"/>
        <v>3.1900138696255201E-2</v>
      </c>
      <c r="J9" s="54">
        <f t="shared" si="12"/>
        <v>-3.6290322580645164E-2</v>
      </c>
      <c r="K9" s="55">
        <f>AVERAGE($C$9:$J$9)</f>
        <v>4.3602787346670328E-2</v>
      </c>
      <c r="L9" s="55">
        <f t="shared" ref="L9:O9" si="13">AVERAGE($C$9:$J$9)</f>
        <v>4.3602787346670328E-2</v>
      </c>
      <c r="M9" s="55">
        <f t="shared" si="13"/>
        <v>4.3602787346670328E-2</v>
      </c>
      <c r="N9" s="55">
        <f t="shared" si="13"/>
        <v>4.3602787346670328E-2</v>
      </c>
      <c r="O9" s="55">
        <f t="shared" si="13"/>
        <v>4.3602787346670328E-2</v>
      </c>
    </row>
    <row r="10" spans="1:16" x14ac:dyDescent="0.3">
      <c r="A10" s="53" t="s">
        <v>134</v>
      </c>
      <c r="B10" s="51"/>
      <c r="C10" s="54">
        <f>C8/C3</f>
        <v>1.9803274402797295E-2</v>
      </c>
      <c r="D10" s="54">
        <f t="shared" ref="D10:J10" si="14">D8/D3</f>
        <v>2.0045712873733631E-2</v>
      </c>
      <c r="E10" s="54">
        <f t="shared" si="14"/>
        <v>2.0553129548762736E-2</v>
      </c>
      <c r="F10" s="54">
        <f t="shared" si="14"/>
        <v>2.0523669533203285E-2</v>
      </c>
      <c r="G10" s="54">
        <f t="shared" si="14"/>
        <v>1.8022854513382928E-2</v>
      </c>
      <c r="H10" s="54">
        <f t="shared" si="14"/>
        <v>1.9276528620698875E-2</v>
      </c>
      <c r="I10" s="54">
        <f t="shared" si="14"/>
        <v>1.6704836319547355E-2</v>
      </c>
      <c r="J10" s="54">
        <f t="shared" si="14"/>
        <v>1.5350032113037893E-2</v>
      </c>
      <c r="K10" s="54">
        <f>K8/K3</f>
        <v>1.4989194947378628E-2</v>
      </c>
      <c r="L10" s="54">
        <f t="shared" ref="L10:O10" si="15">L8/L3</f>
        <v>1.4636840074079548E-2</v>
      </c>
      <c r="M10" s="54">
        <f t="shared" si="15"/>
        <v>1.429276809770545E-2</v>
      </c>
      <c r="N10" s="54">
        <f t="shared" si="15"/>
        <v>1.3956784310061079E-2</v>
      </c>
      <c r="O10" s="54">
        <f t="shared" si="15"/>
        <v>1.3628698580006962E-2</v>
      </c>
    </row>
    <row r="11" spans="1:16" x14ac:dyDescent="0.3">
      <c r="A11" s="50" t="s">
        <v>135</v>
      </c>
      <c r="B11" s="51">
        <f>3544+33</f>
        <v>3577</v>
      </c>
      <c r="C11" s="51">
        <f>Historicals!C142</f>
        <v>4233</v>
      </c>
      <c r="D11" s="51">
        <f>Historicals!D142</f>
        <v>4642</v>
      </c>
      <c r="E11" s="51">
        <f>Historicals!E142</f>
        <v>4945</v>
      </c>
      <c r="F11" s="51">
        <f>Historicals!F142</f>
        <v>4379</v>
      </c>
      <c r="G11" s="51">
        <f>Historicals!G142</f>
        <v>4850</v>
      </c>
      <c r="H11" s="51">
        <f>Historicals!H142</f>
        <v>2976</v>
      </c>
      <c r="I11" s="51">
        <f>Historicals!I142</f>
        <v>6923</v>
      </c>
      <c r="J11" s="51">
        <f>Historicals!J142</f>
        <v>6856</v>
      </c>
      <c r="K11" s="56">
        <f>(J11*K12)+J11</f>
        <v>7943.1870062938106</v>
      </c>
      <c r="L11" s="56">
        <f t="shared" ref="L11:O11" si="16">(K11*L12)+K11</f>
        <v>9202.7741856701905</v>
      </c>
      <c r="M11" s="56">
        <f t="shared" si="16"/>
        <v>10662.099815267147</v>
      </c>
      <c r="N11" s="56">
        <f t="shared" si="16"/>
        <v>12352.837326784953</v>
      </c>
      <c r="O11" s="56">
        <f t="shared" si="16"/>
        <v>14311.682751601431</v>
      </c>
    </row>
    <row r="12" spans="1:16" x14ac:dyDescent="0.3">
      <c r="A12" s="53" t="s">
        <v>130</v>
      </c>
      <c r="B12" s="51"/>
      <c r="C12" s="54">
        <f t="shared" ref="C12:J12" si="17">(C11-B11)/B11</f>
        <v>0.18339390550740844</v>
      </c>
      <c r="D12" s="54">
        <f t="shared" si="17"/>
        <v>9.6621781242617527E-2</v>
      </c>
      <c r="E12" s="54">
        <f t="shared" si="17"/>
        <v>6.527358897027144E-2</v>
      </c>
      <c r="F12" s="54">
        <f t="shared" si="17"/>
        <v>-0.11445904954499495</v>
      </c>
      <c r="G12" s="54">
        <f t="shared" si="17"/>
        <v>0.10755880337976707</v>
      </c>
      <c r="H12" s="54">
        <f t="shared" si="17"/>
        <v>-0.38639175257731961</v>
      </c>
      <c r="I12" s="54">
        <f t="shared" si="17"/>
        <v>1.32627688172043</v>
      </c>
      <c r="J12" s="54">
        <f t="shared" si="17"/>
        <v>-9.6778853098367767E-3</v>
      </c>
      <c r="K12" s="55">
        <f>AVERAGE($C$12:$J$12)</f>
        <v>0.15857453417354292</v>
      </c>
      <c r="L12" s="55">
        <f t="shared" ref="L12:O12" si="18">AVERAGE($C$12:$J$12)</f>
        <v>0.15857453417354292</v>
      </c>
      <c r="M12" s="55">
        <f t="shared" si="18"/>
        <v>0.15857453417354292</v>
      </c>
      <c r="N12" s="55">
        <f t="shared" si="18"/>
        <v>0.15857453417354292</v>
      </c>
      <c r="O12" s="55">
        <f t="shared" si="18"/>
        <v>0.15857453417354292</v>
      </c>
    </row>
    <row r="13" spans="1:16" x14ac:dyDescent="0.3">
      <c r="A13" s="53" t="s">
        <v>132</v>
      </c>
      <c r="B13" s="51"/>
      <c r="C13" s="54">
        <f>C11/C3</f>
        <v>0.13832881278389594</v>
      </c>
      <c r="D13" s="54">
        <f t="shared" ref="D13:J13" si="19">D11/D3</f>
        <v>0.14337781072399308</v>
      </c>
      <c r="E13" s="54">
        <f t="shared" si="19"/>
        <v>0.14395924308588065</v>
      </c>
      <c r="F13" s="54">
        <f t="shared" si="19"/>
        <v>0.12031211363573921</v>
      </c>
      <c r="G13" s="54">
        <f t="shared" si="19"/>
        <v>0.12398701331901731</v>
      </c>
      <c r="H13" s="54">
        <f t="shared" si="19"/>
        <v>7.9565810229126011E-2</v>
      </c>
      <c r="I13" s="54">
        <f t="shared" si="19"/>
        <v>0.1554402981723472</v>
      </c>
      <c r="J13" s="54">
        <f t="shared" si="19"/>
        <v>0.14677799186469706</v>
      </c>
      <c r="K13" s="54">
        <f>K11/K3</f>
        <v>0.15911777937911917</v>
      </c>
      <c r="L13" s="54">
        <f t="shared" ref="L13:O13" si="20">L11/L3</f>
        <v>0.1724949864274006</v>
      </c>
      <c r="M13" s="54">
        <f t="shared" si="20"/>
        <v>0.18699683001291165</v>
      </c>
      <c r="N13" s="54">
        <f t="shared" si="20"/>
        <v>0.20271785956860239</v>
      </c>
      <c r="O13" s="54">
        <f t="shared" si="20"/>
        <v>0.21976057340243751</v>
      </c>
    </row>
    <row r="14" spans="1:16" ht="15" thickBot="1" x14ac:dyDescent="0.35">
      <c r="A14" s="50" t="s">
        <v>136</v>
      </c>
      <c r="B14" s="51">
        <v>2834</v>
      </c>
      <c r="C14" s="52">
        <f t="shared" ref="C14:I14" si="21">+SUM(C11:C13)</f>
        <v>4233.3217227182913</v>
      </c>
      <c r="D14" s="52">
        <f t="shared" si="21"/>
        <v>4642.2399995919668</v>
      </c>
      <c r="E14" s="52">
        <f t="shared" si="21"/>
        <v>4945.2092328320559</v>
      </c>
      <c r="F14" s="52">
        <f>+SUM(F11:F13)</f>
        <v>4379.0058530640908</v>
      </c>
      <c r="G14" s="52">
        <f t="shared" si="21"/>
        <v>4850.2315458166986</v>
      </c>
      <c r="H14" s="52">
        <f t="shared" si="21"/>
        <v>2975.693174057652</v>
      </c>
      <c r="I14" s="52">
        <f t="shared" si="21"/>
        <v>6924.4817171798923</v>
      </c>
      <c r="J14" s="52">
        <f>+SUM(J11:J13)</f>
        <v>6856.1371001065554</v>
      </c>
      <c r="K14" s="57">
        <f>(J14*K15)+J14</f>
        <v>8209.706577438963</v>
      </c>
      <c r="L14" s="57">
        <f t="shared" ref="L14:O14" si="22">(K14*L15)+K14</f>
        <v>9830.5038396325363</v>
      </c>
      <c r="M14" s="57">
        <f t="shared" si="22"/>
        <v>11771.286199996777</v>
      </c>
      <c r="N14" s="57">
        <f t="shared" si="22"/>
        <v>14095.22655833824</v>
      </c>
      <c r="O14" s="57">
        <f t="shared" si="22"/>
        <v>16877.969692975272</v>
      </c>
    </row>
    <row r="15" spans="1:16" ht="15" thickTop="1" x14ac:dyDescent="0.3">
      <c r="A15" s="53" t="s">
        <v>130</v>
      </c>
      <c r="B15" s="51"/>
      <c r="C15" s="54">
        <f t="shared" ref="C15:J15" si="23">(C14-B14)/B14</f>
        <v>0.49376207576509928</v>
      </c>
      <c r="D15" s="54">
        <f t="shared" si="23"/>
        <v>9.659513348092566E-2</v>
      </c>
      <c r="E15" s="54">
        <f t="shared" si="23"/>
        <v>6.5263586817294841E-2</v>
      </c>
      <c r="F15" s="54">
        <f t="shared" si="23"/>
        <v>-0.1144953333842475</v>
      </c>
      <c r="G15" s="54">
        <f t="shared" si="23"/>
        <v>0.10761019933848234</v>
      </c>
      <c r="H15" s="54">
        <f t="shared" si="23"/>
        <v>-0.3864843057597584</v>
      </c>
      <c r="I15" s="54">
        <f t="shared" si="23"/>
        <v>1.3270146860395813</v>
      </c>
      <c r="J15" s="54">
        <f t="shared" si="23"/>
        <v>-9.8699974763123942E-3</v>
      </c>
      <c r="K15" s="55">
        <f>AVERAGE($C$15:$J$15)</f>
        <v>0.19742450560263314</v>
      </c>
      <c r="L15" s="55">
        <f t="shared" ref="L15:O15" si="24">AVERAGE($C$15:$J$15)</f>
        <v>0.19742450560263314</v>
      </c>
      <c r="M15" s="55">
        <f t="shared" si="24"/>
        <v>0.19742450560263314</v>
      </c>
      <c r="N15" s="55">
        <f t="shared" si="24"/>
        <v>0.19742450560263314</v>
      </c>
      <c r="O15" s="55">
        <f t="shared" si="24"/>
        <v>0.19742450560263314</v>
      </c>
    </row>
    <row r="16" spans="1:16" x14ac:dyDescent="0.3">
      <c r="A16" s="53" t="s">
        <v>134</v>
      </c>
      <c r="B16" s="51"/>
      <c r="C16" s="54">
        <f>C14/C3</f>
        <v>0.13833932625464171</v>
      </c>
      <c r="D16" s="54">
        <f t="shared" ref="D16:J16" si="25">D14/D3</f>
        <v>0.14338522360983341</v>
      </c>
      <c r="E16" s="54">
        <f t="shared" si="25"/>
        <v>0.14396533428914282</v>
      </c>
      <c r="F16" s="54">
        <f t="shared" si="25"/>
        <v>0.12031227444745696</v>
      </c>
      <c r="G16" s="54">
        <f t="shared" si="25"/>
        <v>0.12399293263329751</v>
      </c>
      <c r="H16" s="54">
        <f t="shared" si="25"/>
        <v>7.9557606984938425E-2</v>
      </c>
      <c r="I16" s="54">
        <f t="shared" si="25"/>
        <v>0.15547356677847887</v>
      </c>
      <c r="J16" s="54">
        <f t="shared" si="25"/>
        <v>0.14678092699864173</v>
      </c>
      <c r="K16" s="54">
        <f>K14/K3</f>
        <v>0.16445669463921436</v>
      </c>
      <c r="L16" s="54">
        <f t="shared" ref="L16:O16" si="26">L14/L3</f>
        <v>0.18426102740110145</v>
      </c>
      <c r="M16" s="54">
        <f t="shared" si="26"/>
        <v>0.20645025301884939</v>
      </c>
      <c r="N16" s="54">
        <f t="shared" si="26"/>
        <v>0.23131156692601923</v>
      </c>
      <c r="O16" s="54">
        <f t="shared" si="26"/>
        <v>0.25916674942938978</v>
      </c>
    </row>
    <row r="17" spans="1:16" x14ac:dyDescent="0.3">
      <c r="A17" s="58" t="str">
        <f>+Historicals!A107</f>
        <v>North America</v>
      </c>
      <c r="B17" s="59"/>
      <c r="C17" s="58"/>
      <c r="D17" s="58"/>
      <c r="E17" s="58"/>
      <c r="F17" s="58"/>
      <c r="G17" s="58"/>
      <c r="H17" s="58"/>
      <c r="I17" s="58"/>
      <c r="J17" s="58"/>
      <c r="K17" s="47"/>
      <c r="L17" s="47"/>
      <c r="M17" s="47"/>
      <c r="N17" s="47"/>
      <c r="O17" s="47"/>
    </row>
    <row r="18" spans="1:16" ht="15" thickBot="1" x14ac:dyDescent="0.35">
      <c r="A18" s="60" t="s">
        <v>137</v>
      </c>
      <c r="B18" s="51">
        <f>Historicals!B107</f>
        <v>12299</v>
      </c>
      <c r="C18" s="60">
        <f>+Historicals!C107</f>
        <v>13740</v>
      </c>
      <c r="D18" s="60">
        <f>+Historicals!D107</f>
        <v>14764</v>
      </c>
      <c r="E18" s="60">
        <f>+Historicals!E107</f>
        <v>15216</v>
      </c>
      <c r="F18" s="60">
        <f>+Historicals!F107</f>
        <v>14855</v>
      </c>
      <c r="G18" s="60">
        <f>+Historicals!G107</f>
        <v>15902</v>
      </c>
      <c r="H18" s="60">
        <f>+Historicals!H107</f>
        <v>14484</v>
      </c>
      <c r="I18" s="60">
        <f>+Historicals!I107</f>
        <v>17179</v>
      </c>
      <c r="J18" s="60">
        <f>+Historicals!J107</f>
        <v>18353</v>
      </c>
      <c r="K18" s="52">
        <f>(J18*K19)+J18</f>
        <v>19349.333190453639</v>
      </c>
      <c r="L18" s="52">
        <f t="shared" ref="L18:O18" si="27">(K18*L19)+K18</f>
        <v>20399.754531422153</v>
      </c>
      <c r="M18" s="52">
        <f t="shared" si="27"/>
        <v>21507.200317765688</v>
      </c>
      <c r="N18" s="52">
        <f t="shared" si="27"/>
        <v>22674.766247604133</v>
      </c>
      <c r="O18" s="52">
        <f t="shared" si="27"/>
        <v>23905.716075875582</v>
      </c>
    </row>
    <row r="19" spans="1:16" ht="15" thickTop="1" x14ac:dyDescent="0.3">
      <c r="A19" s="61" t="s">
        <v>130</v>
      </c>
      <c r="B19" s="51"/>
      <c r="C19" s="62">
        <f>+IFERROR(C18/B18-1,"nm")</f>
        <v>0.11716399707293279</v>
      </c>
      <c r="D19" s="62">
        <f t="shared" ref="D19:I19" si="28">+IFERROR(D18/C18-1,"nm")</f>
        <v>7.4526928675400228E-2</v>
      </c>
      <c r="E19" s="62">
        <f t="shared" si="28"/>
        <v>3.0615009482525046E-2</v>
      </c>
      <c r="F19" s="62">
        <f t="shared" si="28"/>
        <v>-2.372502628811779E-2</v>
      </c>
      <c r="G19" s="62">
        <f t="shared" si="28"/>
        <v>7.0481319421070276E-2</v>
      </c>
      <c r="H19" s="62">
        <f t="shared" si="28"/>
        <v>-8.9171173437303519E-2</v>
      </c>
      <c r="I19" s="62">
        <f t="shared" si="28"/>
        <v>0.18606738470035911</v>
      </c>
      <c r="J19" s="62">
        <f>+IFERROR(J18/I18-1,"nm")</f>
        <v>6.8339251411607238E-2</v>
      </c>
      <c r="K19" s="62">
        <f>AVERAGE(($C$19:$J$19))</f>
        <v>5.4287211379809172E-2</v>
      </c>
      <c r="L19" s="62">
        <f t="shared" ref="L19:O19" si="29">AVERAGE(($C$19:$J$19))</f>
        <v>5.4287211379809172E-2</v>
      </c>
      <c r="M19" s="62">
        <f t="shared" si="29"/>
        <v>5.4287211379809172E-2</v>
      </c>
      <c r="N19" s="62">
        <f t="shared" si="29"/>
        <v>5.4287211379809172E-2</v>
      </c>
      <c r="O19" s="62">
        <f t="shared" si="29"/>
        <v>5.4287211379809172E-2</v>
      </c>
    </row>
    <row r="20" spans="1:16" ht="15" thickBot="1" x14ac:dyDescent="0.35">
      <c r="A20" s="63" t="s">
        <v>114</v>
      </c>
      <c r="B20" s="51">
        <f>Historicals!B108</f>
        <v>7495</v>
      </c>
      <c r="C20" s="64">
        <f>+Historicals!C108</f>
        <v>8506</v>
      </c>
      <c r="D20" s="64">
        <f>+Historicals!D108</f>
        <v>9299</v>
      </c>
      <c r="E20" s="64">
        <f>+Historicals!E108</f>
        <v>9684</v>
      </c>
      <c r="F20" s="64">
        <f>+Historicals!F108</f>
        <v>9322</v>
      </c>
      <c r="G20" s="64">
        <f>+Historicals!G108</f>
        <v>10045</v>
      </c>
      <c r="H20" s="64">
        <f>+Historicals!H108</f>
        <v>9329</v>
      </c>
      <c r="I20" s="64">
        <f>+Historicals!I108</f>
        <v>11644</v>
      </c>
      <c r="J20" s="64">
        <f>+Historicals!J108</f>
        <v>12228</v>
      </c>
      <c r="K20" s="52">
        <f>(J20*K21)+J20</f>
        <v>13048.382670170538</v>
      </c>
      <c r="L20" s="52">
        <f t="shared" ref="L20:O20" si="30">(K20*L21)+K20</f>
        <v>13923.805226300854</v>
      </c>
      <c r="M20" s="52">
        <f t="shared" si="30"/>
        <v>14857.960322022738</v>
      </c>
      <c r="N20" s="52">
        <f t="shared" si="30"/>
        <v>15854.788352957392</v>
      </c>
      <c r="O20" s="52">
        <f t="shared" si="30"/>
        <v>16918.494077850093</v>
      </c>
    </row>
    <row r="21" spans="1:16" ht="15" thickTop="1" x14ac:dyDescent="0.3">
      <c r="A21" s="61" t="s">
        <v>130</v>
      </c>
      <c r="B21" s="51"/>
      <c r="C21" s="62">
        <f>+IFERROR(C20/B20-1,"nm")</f>
        <v>0.13488992661774524</v>
      </c>
      <c r="D21" s="62">
        <f t="shared" ref="C21:D21" si="31">+IFERROR(D20/C20-1,"nm")</f>
        <v>9.3228309428638578E-2</v>
      </c>
      <c r="E21" s="62">
        <f t="shared" ref="E21" si="32">+IFERROR(E20/D20-1,"nm")</f>
        <v>4.1402301322722934E-2</v>
      </c>
      <c r="F21" s="62">
        <f t="shared" ref="F21" si="33">+IFERROR(F20/E20-1,"nm")</f>
        <v>-3.7381247418422192E-2</v>
      </c>
      <c r="G21" s="62">
        <f t="shared" ref="G21" si="34">+IFERROR(G20/F20-1,"nm")</f>
        <v>7.755846384895948E-2</v>
      </c>
      <c r="H21" s="62">
        <f t="shared" ref="H21" si="35">+IFERROR(H20/G20-1,"nm")</f>
        <v>-7.1279243404678949E-2</v>
      </c>
      <c r="I21" s="62">
        <f t="shared" ref="I21" si="36">+IFERROR(I20/H20-1,"nm")</f>
        <v>0.24815092721620746</v>
      </c>
      <c r="J21" s="62">
        <f>+IFERROR(J20/I20-1,"nm")</f>
        <v>5.0154586052902683E-2</v>
      </c>
      <c r="K21" s="65">
        <f>AVERAGE($C$21:$J$21)</f>
        <v>6.7090502958009404E-2</v>
      </c>
      <c r="L21" s="65">
        <f t="shared" ref="L21:P21" si="37">AVERAGE($C$21:$J$21)</f>
        <v>6.7090502958009404E-2</v>
      </c>
      <c r="M21" s="65">
        <f t="shared" si="37"/>
        <v>6.7090502958009404E-2</v>
      </c>
      <c r="N21" s="65">
        <f t="shared" si="37"/>
        <v>6.7090502958009404E-2</v>
      </c>
      <c r="O21" s="65">
        <f t="shared" si="37"/>
        <v>6.7090502958009404E-2</v>
      </c>
      <c r="P21" s="43"/>
    </row>
    <row r="22" spans="1:16" x14ac:dyDescent="0.3">
      <c r="A22" s="61" t="s">
        <v>138</v>
      </c>
      <c r="B22" s="51"/>
      <c r="C22" s="62">
        <f>+Historicals!C180</f>
        <v>0.13488992661774515</v>
      </c>
      <c r="D22" s="62">
        <f>+Historicals!D180</f>
        <v>9.3228309428638606E-2</v>
      </c>
      <c r="E22" s="62">
        <f>+Historicals!E180</f>
        <v>4.1402301322722872E-2</v>
      </c>
      <c r="F22" s="62">
        <f>+Historicals!F180</f>
        <v>-3.7381247418422137E-2</v>
      </c>
      <c r="G22" s="62">
        <f>+Historicals!G180</f>
        <v>7.7558463848959452E-2</v>
      </c>
      <c r="H22" s="62">
        <f>+Historicals!H180</f>
        <v>-7.1279243404678949E-2</v>
      </c>
      <c r="I22" s="62">
        <f>+Historicals!I180</f>
        <v>0.24815092721620752</v>
      </c>
      <c r="J22" s="62">
        <f>+Historicals!J180</f>
        <v>0.05</v>
      </c>
      <c r="K22" s="51"/>
      <c r="L22" s="51"/>
      <c r="M22" s="51"/>
      <c r="N22" s="51"/>
      <c r="O22" s="51"/>
    </row>
    <row r="23" spans="1:16" x14ac:dyDescent="0.3">
      <c r="A23" s="61" t="s">
        <v>139</v>
      </c>
      <c r="B23" s="51"/>
      <c r="C23" s="66">
        <f t="shared" ref="C23:I23" si="38">+IFERROR(C21-C22,"nm")</f>
        <v>8.3266726846886741E-17</v>
      </c>
      <c r="D23" s="66">
        <f t="shared" si="38"/>
        <v>-2.7755575615628914E-17</v>
      </c>
      <c r="E23" s="66">
        <f>+IFERROR(E21-E22,"nm")</f>
        <v>6.2450045135165055E-17</v>
      </c>
      <c r="F23" s="66">
        <f t="shared" si="38"/>
        <v>-5.5511151231257827E-17</v>
      </c>
      <c r="G23" s="66">
        <f t="shared" si="38"/>
        <v>2.7755575615628914E-17</v>
      </c>
      <c r="H23" s="66">
        <f t="shared" si="38"/>
        <v>0</v>
      </c>
      <c r="I23" s="66">
        <f t="shared" si="38"/>
        <v>-5.5511151231257827E-17</v>
      </c>
      <c r="J23" s="66">
        <f>+IFERROR(J21-J22,"nm")</f>
        <v>1.5458605290268046E-4</v>
      </c>
      <c r="K23" s="51"/>
      <c r="L23" s="51"/>
      <c r="M23" s="51"/>
      <c r="N23" s="51"/>
      <c r="O23" s="51"/>
    </row>
    <row r="24" spans="1:16" ht="15" thickBot="1" x14ac:dyDescent="0.35">
      <c r="A24" s="63" t="s">
        <v>115</v>
      </c>
      <c r="B24" s="51">
        <f>Historicals!B109</f>
        <v>3937</v>
      </c>
      <c r="C24" s="64">
        <f>+Historicals!C109</f>
        <v>4410</v>
      </c>
      <c r="D24" s="64">
        <f>+Historicals!D109</f>
        <v>4746</v>
      </c>
      <c r="E24" s="64">
        <f>+Historicals!E109</f>
        <v>4886</v>
      </c>
      <c r="F24" s="64">
        <f>+Historicals!F109</f>
        <v>4938</v>
      </c>
      <c r="G24" s="64">
        <f>+Historicals!G109</f>
        <v>5260</v>
      </c>
      <c r="H24" s="64">
        <f>+Historicals!H109</f>
        <v>4639</v>
      </c>
      <c r="I24" s="64">
        <f>+Historicals!I109</f>
        <v>5028</v>
      </c>
      <c r="J24" s="64">
        <f>+Historicals!J109</f>
        <v>5492</v>
      </c>
      <c r="K24" s="52">
        <f>(J24*K25)+J24</f>
        <v>5738.9746475069342</v>
      </c>
      <c r="L24" s="52">
        <f t="shared" ref="L24:O24" si="39">(K24*L25)+K24</f>
        <v>5997.0557182679058</v>
      </c>
      <c r="M24" s="52">
        <f t="shared" si="39"/>
        <v>6266.7426669384549</v>
      </c>
      <c r="N24" s="52">
        <f t="shared" si="39"/>
        <v>6548.5574085960998</v>
      </c>
      <c r="O24" s="52">
        <f t="shared" si="39"/>
        <v>6843.0453287830887</v>
      </c>
    </row>
    <row r="25" spans="1:16" ht="15" thickTop="1" x14ac:dyDescent="0.3">
      <c r="A25" s="61" t="s">
        <v>130</v>
      </c>
      <c r="B25" s="51"/>
      <c r="C25" s="62">
        <f t="shared" ref="C25:D25" si="40">+IFERROR(C24/B24-1,"nm")</f>
        <v>0.12014224028448051</v>
      </c>
      <c r="D25" s="62">
        <f t="shared" si="40"/>
        <v>7.6190476190476142E-2</v>
      </c>
      <c r="E25" s="62">
        <f t="shared" ref="E25" si="41">+IFERROR(E24/D24-1,"nm")</f>
        <v>2.9498525073746285E-2</v>
      </c>
      <c r="F25" s="62">
        <f t="shared" ref="F25" si="42">+IFERROR(F24/E24-1,"nm")</f>
        <v>1.0642652476463343E-2</v>
      </c>
      <c r="G25" s="62">
        <f t="shared" ref="G25" si="43">+IFERROR(G24/F24-1,"nm")</f>
        <v>6.5208586472256025E-2</v>
      </c>
      <c r="H25" s="62">
        <f t="shared" ref="H25" si="44">+IFERROR(H24/G24-1,"nm")</f>
        <v>-0.11806083650190113</v>
      </c>
      <c r="I25" s="62">
        <f t="shared" ref="I25" si="45">+IFERROR(I24/H24-1,"nm")</f>
        <v>8.3854278939426541E-2</v>
      </c>
      <c r="J25" s="62">
        <f>+IFERROR(J24/I24-1,"nm")</f>
        <v>9.2283214001591007E-2</v>
      </c>
      <c r="K25" s="65">
        <f>AVERAGE($C$25:$J$25)</f>
        <v>4.4969892117067339E-2</v>
      </c>
      <c r="L25" s="65">
        <f t="shared" ref="L25:O25" si="46">AVERAGE($C$25:$J$25)</f>
        <v>4.4969892117067339E-2</v>
      </c>
      <c r="M25" s="65">
        <f t="shared" si="46"/>
        <v>4.4969892117067339E-2</v>
      </c>
      <c r="N25" s="65">
        <f t="shared" si="46"/>
        <v>4.4969892117067339E-2</v>
      </c>
      <c r="O25" s="65">
        <f t="shared" si="46"/>
        <v>4.4969892117067339E-2</v>
      </c>
    </row>
    <row r="26" spans="1:16" x14ac:dyDescent="0.3">
      <c r="A26" s="61" t="s">
        <v>138</v>
      </c>
      <c r="B26" s="51"/>
      <c r="C26" s="62">
        <f>+Historicals!C184</f>
        <v>0.15780403741999016</v>
      </c>
      <c r="D26" s="62">
        <f>+Historicals!D184</f>
        <v>7.2294280246651077E-2</v>
      </c>
      <c r="E26" s="62">
        <f>+Historicals!E184</f>
        <v>2.9545905215149711E-2</v>
      </c>
      <c r="F26" s="62">
        <f>+Historicals!F184</f>
        <v>0.13154853620955315</v>
      </c>
      <c r="G26" s="62">
        <f>+Historicals!G184</f>
        <v>7.114893617021277E-2</v>
      </c>
      <c r="H26" s="62">
        <f>+Historicals!H184</f>
        <v>-6.3721595423486418E-2</v>
      </c>
      <c r="I26" s="62">
        <f>+Historicals!I184</f>
        <v>0.18295994568906992</v>
      </c>
      <c r="J26" s="62">
        <f>+Historicals!J184</f>
        <v>0.09</v>
      </c>
      <c r="K26" s="51"/>
      <c r="L26" s="51"/>
      <c r="M26" s="51"/>
      <c r="N26" s="51"/>
      <c r="O26" s="51"/>
    </row>
    <row r="27" spans="1:16" x14ac:dyDescent="0.3">
      <c r="A27" s="61" t="s">
        <v>139</v>
      </c>
      <c r="B27" s="51"/>
      <c r="C27" s="62">
        <f>+IFERROR(C25-C26,"nm")</f>
        <v>-3.7661797135509656E-2</v>
      </c>
      <c r="D27" s="62">
        <f t="shared" ref="D27" si="47">+IFERROR(D25-D26,"nm")</f>
        <v>3.8961959438250648E-3</v>
      </c>
      <c r="E27" s="62">
        <f t="shared" ref="E27" si="48">+IFERROR(E25-E26,"nm")</f>
        <v>-4.7380141403426806E-5</v>
      </c>
      <c r="F27" s="62">
        <f>+IFERROR(F25-F26,"nm")</f>
        <v>-0.1209058837330898</v>
      </c>
      <c r="G27" s="62">
        <f t="shared" ref="G27" si="49">+IFERROR(G25-G26,"nm")</f>
        <v>-5.9403496979567455E-3</v>
      </c>
      <c r="H27" s="62">
        <f t="shared" ref="H27" si="50">+IFERROR(H25-H26,"nm")</f>
        <v>-5.4339241078414716E-2</v>
      </c>
      <c r="I27" s="62">
        <f>+IFERROR(I25-I26,"nm")</f>
        <v>-9.9105666749643384E-2</v>
      </c>
      <c r="J27" s="62">
        <f>+IFERROR(J25-J26,"nm")</f>
        <v>2.2832140015910107E-3</v>
      </c>
      <c r="K27" s="51"/>
      <c r="L27" s="51"/>
      <c r="M27" s="51"/>
      <c r="N27" s="51"/>
      <c r="O27" s="51"/>
    </row>
    <row r="28" spans="1:16" ht="15" thickBot="1" x14ac:dyDescent="0.35">
      <c r="A28" s="63" t="s">
        <v>116</v>
      </c>
      <c r="B28" s="51">
        <f>Historicals!B110</f>
        <v>867</v>
      </c>
      <c r="C28" s="64">
        <f>+Historicals!C110</f>
        <v>824</v>
      </c>
      <c r="D28" s="64">
        <f>+Historicals!D110</f>
        <v>719</v>
      </c>
      <c r="E28" s="64">
        <f>+Historicals!E110</f>
        <v>646</v>
      </c>
      <c r="F28" s="64">
        <f>+Historicals!F110</f>
        <v>595</v>
      </c>
      <c r="G28" s="64">
        <f>+Historicals!G110</f>
        <v>597</v>
      </c>
      <c r="H28" s="64">
        <f>+Historicals!H110</f>
        <v>516</v>
      </c>
      <c r="I28" s="64">
        <f>+Historicals!I110</f>
        <v>507</v>
      </c>
      <c r="J28" s="64">
        <f>+Historicals!J110</f>
        <v>633</v>
      </c>
      <c r="K28" s="52">
        <f>(J28*K29)+J28</f>
        <v>612.5272795946056</v>
      </c>
      <c r="L28" s="52">
        <f t="shared" ref="L28:O28" si="51">(K28*L29)+K28</f>
        <v>592.71669549378851</v>
      </c>
      <c r="M28" s="52">
        <f t="shared" si="51"/>
        <v>573.54683263999129</v>
      </c>
      <c r="N28" s="52">
        <f t="shared" si="51"/>
        <v>554.99696858937818</v>
      </c>
      <c r="O28" s="52">
        <f t="shared" si="51"/>
        <v>537.04705111106568</v>
      </c>
    </row>
    <row r="29" spans="1:16" ht="15" thickTop="1" x14ac:dyDescent="0.3">
      <c r="A29" s="61" t="s">
        <v>130</v>
      </c>
      <c r="B29" s="51"/>
      <c r="C29" s="62">
        <f t="shared" ref="C29:D29" si="52">+IFERROR(C28/B28-1,"nm")</f>
        <v>-4.9596309111880066E-2</v>
      </c>
      <c r="D29" s="62">
        <f t="shared" si="52"/>
        <v>-0.12742718446601942</v>
      </c>
      <c r="E29" s="62">
        <f t="shared" ref="E29" si="53">+IFERROR(E28/D28-1,"nm")</f>
        <v>-0.10152990264255912</v>
      </c>
      <c r="F29" s="62">
        <f t="shared" ref="F29" si="54">+IFERROR(F28/E28-1,"nm")</f>
        <v>-7.8947368421052655E-2</v>
      </c>
      <c r="G29" s="62">
        <f t="shared" ref="G29" si="55">+IFERROR(G28/F28-1,"nm")</f>
        <v>3.3613445378151141E-3</v>
      </c>
      <c r="H29" s="62">
        <f t="shared" ref="H29" si="56">+IFERROR(H28/G28-1,"nm")</f>
        <v>-0.13567839195979903</v>
      </c>
      <c r="I29" s="62">
        <f t="shared" ref="I29" si="57">+IFERROR(I28/H28-1,"nm")</f>
        <v>-1.744186046511631E-2</v>
      </c>
      <c r="J29" s="62">
        <f>+IFERROR(J28/I28-1,"nm")</f>
        <v>0.24852071005917153</v>
      </c>
      <c r="K29" s="65">
        <f>AVERAGE($C$29:$J$29)</f>
        <v>-3.2342370308679994E-2</v>
      </c>
      <c r="L29" s="65">
        <f t="shared" ref="L29:O29" si="58">AVERAGE($C$29:$J$29)</f>
        <v>-3.2342370308679994E-2</v>
      </c>
      <c r="M29" s="65">
        <f t="shared" si="58"/>
        <v>-3.2342370308679994E-2</v>
      </c>
      <c r="N29" s="65">
        <f t="shared" si="58"/>
        <v>-3.2342370308679994E-2</v>
      </c>
      <c r="O29" s="65">
        <f t="shared" si="58"/>
        <v>-3.2342370308679994E-2</v>
      </c>
    </row>
    <row r="30" spans="1:16" x14ac:dyDescent="0.3">
      <c r="A30" s="61" t="s">
        <v>138</v>
      </c>
      <c r="B30" s="51"/>
      <c r="C30" s="62">
        <f>+Historicals!C182</f>
        <v>-4.9596309111880045E-2</v>
      </c>
      <c r="D30" s="62">
        <f>+Historicals!D182</f>
        <v>-0.12742718446601942</v>
      </c>
      <c r="E30" s="62">
        <f>+Historicals!E182</f>
        <v>-0.10152990264255911</v>
      </c>
      <c r="F30" s="62">
        <f>+Historicals!F182</f>
        <v>-7.8947368421052627E-2</v>
      </c>
      <c r="G30" s="62">
        <f>+Historicals!G182</f>
        <v>3.3613445378151263E-3</v>
      </c>
      <c r="H30" s="62">
        <f>+Historicals!H182</f>
        <v>-0.135678391959799</v>
      </c>
      <c r="I30" s="62">
        <f>+Historicals!I182</f>
        <v>-1.7441860465116279E-2</v>
      </c>
      <c r="J30" s="62">
        <f>+Historicals!J182</f>
        <v>0.25</v>
      </c>
      <c r="K30" s="51"/>
      <c r="L30" s="51"/>
      <c r="M30" s="51"/>
      <c r="N30" s="51"/>
      <c r="O30" s="51"/>
    </row>
    <row r="31" spans="1:16" x14ac:dyDescent="0.3">
      <c r="A31" s="61" t="s">
        <v>139</v>
      </c>
      <c r="B31" s="51"/>
      <c r="C31" s="62">
        <f t="shared" ref="C31" si="59">+IFERROR(C29-C30,"nm")</f>
        <v>-2.0816681711721685E-17</v>
      </c>
      <c r="D31" s="62">
        <f t="shared" ref="D31" si="60">+IFERROR(D29-D30,"nm")</f>
        <v>0</v>
      </c>
      <c r="E31" s="62">
        <f t="shared" ref="E31" si="61">+IFERROR(E29-E30,"nm")</f>
        <v>-1.3877787807814457E-17</v>
      </c>
      <c r="F31" s="62">
        <f t="shared" ref="F31" si="62">+IFERROR(F29-F30,"nm")</f>
        <v>-2.7755575615628914E-17</v>
      </c>
      <c r="G31" s="62">
        <f t="shared" ref="G31" si="63">+IFERROR(G29-G30,"nm")</f>
        <v>-1.214306433183765E-17</v>
      </c>
      <c r="H31" s="62">
        <f t="shared" ref="H31" si="64">+IFERROR(H29-H30,"nm")</f>
        <v>-2.7755575615628914E-17</v>
      </c>
      <c r="I31" s="62">
        <f t="shared" ref="I31" si="65">+IFERROR(I29-I30,"nm")</f>
        <v>-3.1225022567582528E-17</v>
      </c>
      <c r="J31" s="62">
        <f>+IFERROR(J29-J30,"nm")</f>
        <v>-1.4792899408284654E-3</v>
      </c>
      <c r="K31" s="51"/>
      <c r="L31" s="51"/>
      <c r="M31" s="51"/>
      <c r="N31" s="51"/>
      <c r="O31" s="51"/>
    </row>
    <row r="32" spans="1:16" ht="15" thickBot="1" x14ac:dyDescent="0.35">
      <c r="A32" s="60" t="s">
        <v>131</v>
      </c>
      <c r="B32" s="51">
        <f>B38+B35</f>
        <v>3186</v>
      </c>
      <c r="C32" s="67">
        <f>+C38+C35</f>
        <v>3766</v>
      </c>
      <c r="D32" s="67">
        <f t="shared" ref="C32:I32" si="66">+D38+D35</f>
        <v>3896</v>
      </c>
      <c r="E32" s="67">
        <f t="shared" si="66"/>
        <v>4015</v>
      </c>
      <c r="F32" s="67">
        <f t="shared" si="66"/>
        <v>3760</v>
      </c>
      <c r="G32" s="67">
        <f t="shared" si="66"/>
        <v>4074</v>
      </c>
      <c r="H32" s="67">
        <f t="shared" si="66"/>
        <v>3047</v>
      </c>
      <c r="I32" s="67">
        <f t="shared" si="66"/>
        <v>5219</v>
      </c>
      <c r="J32" s="67">
        <f>+J38+J35</f>
        <v>5238</v>
      </c>
      <c r="K32" s="52">
        <f>(J32*K33)+J32</f>
        <v>5716.9465014206417</v>
      </c>
      <c r="L32" s="52">
        <f t="shared" ref="L32:O32" si="67">(K32*L33)+K32</f>
        <v>6174.935144533013</v>
      </c>
      <c r="M32" s="52">
        <f t="shared" si="67"/>
        <v>6704.8040181650395</v>
      </c>
      <c r="N32" s="52">
        <f t="shared" si="67"/>
        <v>7326.4587662978729</v>
      </c>
      <c r="O32" s="52">
        <f t="shared" si="67"/>
        <v>8148.8282344854415</v>
      </c>
    </row>
    <row r="33" spans="1:15" ht="15" thickTop="1" x14ac:dyDescent="0.3">
      <c r="A33" s="68" t="s">
        <v>130</v>
      </c>
      <c r="B33" s="51"/>
      <c r="C33" s="62">
        <f>+IFERROR(C32/B32-1,"nm")</f>
        <v>0.18204645323289381</v>
      </c>
      <c r="D33" s="62">
        <f t="shared" ref="D33" si="68">+IFERROR(D32/C32-1,"nm")</f>
        <v>3.4519383961763239E-2</v>
      </c>
      <c r="E33" s="62">
        <f t="shared" ref="E33" si="69">+IFERROR(E32/D32-1,"nm")</f>
        <v>3.0544147843942548E-2</v>
      </c>
      <c r="F33" s="62">
        <f t="shared" ref="F33" si="70">+IFERROR(F32/E32-1,"nm")</f>
        <v>-6.3511830635118338E-2</v>
      </c>
      <c r="G33" s="62">
        <f t="shared" ref="G33" si="71">+IFERROR(G32/F32-1,"nm")</f>
        <v>8.3510638297872308E-2</v>
      </c>
      <c r="H33" s="62">
        <f t="shared" ref="H33" si="72">+IFERROR(H32/G32-1,"nm")</f>
        <v>-0.25208640157093765</v>
      </c>
      <c r="I33" s="62">
        <f t="shared" ref="I33" si="73">+IFERROR(I32/H32-1,"nm")</f>
        <v>0.71283229405973092</v>
      </c>
      <c r="J33" s="62">
        <f>+IFERROR(J32/I32-1,"nm")</f>
        <v>3.6405441655489312E-3</v>
      </c>
      <c r="K33" s="65">
        <f>AVERAGE(C33:J33)</f>
        <v>9.1436903669461972E-2</v>
      </c>
      <c r="L33" s="65">
        <f t="shared" ref="L33:O33" si="74">AVERAGE(D33:K33)</f>
        <v>8.0110709974032995E-2</v>
      </c>
      <c r="M33" s="65">
        <f t="shared" si="74"/>
        <v>8.5809625725566718E-2</v>
      </c>
      <c r="N33" s="65">
        <f t="shared" si="74"/>
        <v>9.271781046076974E-2</v>
      </c>
      <c r="O33" s="65">
        <f t="shared" si="74"/>
        <v>0.11224651559775575</v>
      </c>
    </row>
    <row r="34" spans="1:15" x14ac:dyDescent="0.3">
      <c r="A34" s="68" t="s">
        <v>132</v>
      </c>
      <c r="B34" s="51"/>
      <c r="C34" s="62">
        <f>+IFERROR(C32/C$18,"nm")</f>
        <v>0.27409024745269289</v>
      </c>
      <c r="D34" s="62">
        <f t="shared" ref="C34:J34" si="75">+IFERROR(D32/D$18,"nm")</f>
        <v>0.26388512598211866</v>
      </c>
      <c r="E34" s="62">
        <f t="shared" si="75"/>
        <v>0.26386698212407994</v>
      </c>
      <c r="F34" s="62">
        <f t="shared" si="75"/>
        <v>0.25311342982160889</v>
      </c>
      <c r="G34" s="62">
        <f t="shared" si="75"/>
        <v>0.25619418941013711</v>
      </c>
      <c r="H34" s="62">
        <f t="shared" si="75"/>
        <v>0.2103700635183651</v>
      </c>
      <c r="I34" s="62">
        <f t="shared" si="75"/>
        <v>0.30380115256999823</v>
      </c>
      <c r="J34" s="62">
        <f t="shared" si="75"/>
        <v>0.28540293140086087</v>
      </c>
      <c r="K34" s="51"/>
      <c r="L34" s="51"/>
      <c r="M34" s="51"/>
      <c r="N34" s="51"/>
      <c r="O34" s="51"/>
    </row>
    <row r="35" spans="1:15" ht="15" thickBot="1" x14ac:dyDescent="0.35">
      <c r="A35" s="60" t="s">
        <v>133</v>
      </c>
      <c r="B35" s="51">
        <f>Historicals!B167</f>
        <v>109</v>
      </c>
      <c r="C35" s="60">
        <f>+Historicals!C167</f>
        <v>121</v>
      </c>
      <c r="D35" s="60">
        <f>+Historicals!D167</f>
        <v>133</v>
      </c>
      <c r="E35" s="60">
        <f>+Historicals!E167</f>
        <v>140</v>
      </c>
      <c r="F35" s="60">
        <f>+Historicals!F167</f>
        <v>160</v>
      </c>
      <c r="G35" s="60">
        <f>+Historicals!G167</f>
        <v>149</v>
      </c>
      <c r="H35" s="60">
        <f>+Historicals!H167</f>
        <v>148</v>
      </c>
      <c r="I35" s="60">
        <f>+Historicals!I167</f>
        <v>130</v>
      </c>
      <c r="J35" s="60">
        <f>+Historicals!J167</f>
        <v>124</v>
      </c>
      <c r="K35" s="52">
        <f>(J35*K36)+J35</f>
        <v>126.50351569280583</v>
      </c>
      <c r="L35" s="52">
        <f t="shared" ref="L35:O35" si="76">(K35*L36)+K35</f>
        <v>129.05757647290301</v>
      </c>
      <c r="M35" s="52">
        <f t="shared" si="76"/>
        <v>131.66320282754336</v>
      </c>
      <c r="N35" s="52">
        <f t="shared" si="76"/>
        <v>134.32143584725168</v>
      </c>
      <c r="O35" s="52">
        <f t="shared" si="76"/>
        <v>137.03333764179851</v>
      </c>
    </row>
    <row r="36" spans="1:15" ht="15" thickTop="1" x14ac:dyDescent="0.3">
      <c r="A36" s="68" t="s">
        <v>130</v>
      </c>
      <c r="B36" s="51"/>
      <c r="C36" s="62">
        <f>+IFERROR(C35/B35-1,"nm")</f>
        <v>0.11009174311926606</v>
      </c>
      <c r="D36" s="62">
        <f t="shared" ref="D36" si="77">+IFERROR(D35/C35-1,"nm")</f>
        <v>9.9173553719008156E-2</v>
      </c>
      <c r="E36" s="62">
        <f t="shared" ref="E36" si="78">+IFERROR(E35/D35-1,"nm")</f>
        <v>5.2631578947368363E-2</v>
      </c>
      <c r="F36" s="62">
        <f t="shared" ref="F36" si="79">+IFERROR(F35/E35-1,"nm")</f>
        <v>0.14285714285714279</v>
      </c>
      <c r="G36" s="62">
        <f t="shared" ref="G36" si="80">+IFERROR(G35/F35-1,"nm")</f>
        <v>-6.8749999999999978E-2</v>
      </c>
      <c r="H36" s="62">
        <f t="shared" ref="H36" si="81">+IFERROR(H35/G35-1,"nm")</f>
        <v>-6.7114093959731447E-3</v>
      </c>
      <c r="I36" s="62">
        <f t="shared" ref="I36" si="82">+IFERROR(I35/H35-1,"nm")</f>
        <v>-0.1216216216216216</v>
      </c>
      <c r="J36" s="62">
        <f>+IFERROR(J35/I35-1,"nm")</f>
        <v>-4.6153846153846101E-2</v>
      </c>
      <c r="K36" s="62">
        <f>AVERAGE($C$36:$J$36)</f>
        <v>2.0189642683918069E-2</v>
      </c>
      <c r="L36" s="62">
        <f t="shared" ref="L36:O36" si="83">AVERAGE($C$36:$J$36)</f>
        <v>2.0189642683918069E-2</v>
      </c>
      <c r="M36" s="62">
        <f t="shared" si="83"/>
        <v>2.0189642683918069E-2</v>
      </c>
      <c r="N36" s="62">
        <f t="shared" si="83"/>
        <v>2.0189642683918069E-2</v>
      </c>
      <c r="O36" s="62">
        <f t="shared" si="83"/>
        <v>2.0189642683918069E-2</v>
      </c>
    </row>
    <row r="37" spans="1:15" x14ac:dyDescent="0.3">
      <c r="A37" s="68" t="s">
        <v>134</v>
      </c>
      <c r="B37" s="51"/>
      <c r="C37" s="62">
        <f t="shared" ref="C37:J37" si="84">+IFERROR(C35/C$18,"nm")</f>
        <v>8.8064046579330417E-3</v>
      </c>
      <c r="D37" s="62">
        <f t="shared" si="84"/>
        <v>9.0083988079111346E-3</v>
      </c>
      <c r="E37" s="62">
        <f t="shared" si="84"/>
        <v>9.2008412197686646E-3</v>
      </c>
      <c r="F37" s="62">
        <f t="shared" si="84"/>
        <v>1.0770784247728038E-2</v>
      </c>
      <c r="G37" s="62">
        <f t="shared" si="84"/>
        <v>9.3698905798012821E-3</v>
      </c>
      <c r="H37" s="62">
        <f t="shared" si="84"/>
        <v>1.0218171775752554E-2</v>
      </c>
      <c r="I37" s="62">
        <f t="shared" si="84"/>
        <v>7.5673787764130628E-3</v>
      </c>
      <c r="J37" s="62">
        <f t="shared" si="84"/>
        <v>6.7563886013185855E-3</v>
      </c>
      <c r="K37" s="51"/>
      <c r="L37" s="51"/>
      <c r="M37" s="51"/>
      <c r="N37" s="51"/>
      <c r="O37" s="51"/>
    </row>
    <row r="38" spans="1:15" ht="15" thickBot="1" x14ac:dyDescent="0.35">
      <c r="A38" s="60" t="s">
        <v>135</v>
      </c>
      <c r="B38" s="51">
        <f>Historicals!B134</f>
        <v>3077</v>
      </c>
      <c r="C38" s="60">
        <f>+Historicals!C134</f>
        <v>3645</v>
      </c>
      <c r="D38" s="60">
        <f>+Historicals!D134</f>
        <v>3763</v>
      </c>
      <c r="E38" s="60">
        <f>+Historicals!E134</f>
        <v>3875</v>
      </c>
      <c r="F38" s="60">
        <f>+Historicals!F134</f>
        <v>3600</v>
      </c>
      <c r="G38" s="60">
        <f>+Historicals!G134</f>
        <v>3925</v>
      </c>
      <c r="H38" s="60">
        <f>+Historicals!H134</f>
        <v>2899</v>
      </c>
      <c r="I38" s="60">
        <f>+Historicals!I134</f>
        <v>5089</v>
      </c>
      <c r="J38" s="60">
        <f>+Historicals!J134</f>
        <v>5114</v>
      </c>
      <c r="K38" s="52">
        <f>(J38*K39)+J38</f>
        <v>5603.0174359573575</v>
      </c>
      <c r="L38" s="52">
        <f t="shared" ref="L38:O38" si="85">(K38*L39)+K38</f>
        <v>6138.7963214005013</v>
      </c>
      <c r="M38" s="52">
        <f t="shared" si="85"/>
        <v>6725.8081393425691</v>
      </c>
      <c r="N38" s="52">
        <f t="shared" si="85"/>
        <v>7368.9519506531742</v>
      </c>
      <c r="O38" s="52">
        <f t="shared" si="85"/>
        <v>8073.5952804539929</v>
      </c>
    </row>
    <row r="39" spans="1:15" ht="15" thickTop="1" x14ac:dyDescent="0.3">
      <c r="A39" s="68" t="s">
        <v>130</v>
      </c>
      <c r="B39" s="51"/>
      <c r="C39" s="62">
        <f>+IFERROR(C38/B38-1,"nm")</f>
        <v>0.1845953851153721</v>
      </c>
      <c r="D39" s="62">
        <f t="shared" ref="D39" si="86">+IFERROR(D38/C38-1,"nm")</f>
        <v>3.2373113854595292E-2</v>
      </c>
      <c r="E39" s="62">
        <f t="shared" ref="E39" si="87">+IFERROR(E38/D38-1,"nm")</f>
        <v>2.9763486579856391E-2</v>
      </c>
      <c r="F39" s="62">
        <f t="shared" ref="F39" si="88">+IFERROR(F38/E38-1,"nm")</f>
        <v>-7.096774193548383E-2</v>
      </c>
      <c r="G39" s="62">
        <f t="shared" ref="G39" si="89">+IFERROR(G38/F38-1,"nm")</f>
        <v>9.0277777777777679E-2</v>
      </c>
      <c r="H39" s="62">
        <f t="shared" ref="H39" si="90">+IFERROR(H38/G38-1,"nm")</f>
        <v>-0.26140127388535028</v>
      </c>
      <c r="I39" s="62">
        <f t="shared" ref="I39" si="91">+IFERROR(I38/H38-1,"nm")</f>
        <v>0.75543290789927564</v>
      </c>
      <c r="J39" s="62">
        <f>+IFERROR(J38/I38-1,"nm")</f>
        <v>4.9125564943997002E-3</v>
      </c>
      <c r="K39" s="65">
        <f>AVERAGE($C$39:$J$39)</f>
        <v>9.5623276487555336E-2</v>
      </c>
      <c r="L39" s="65">
        <f t="shared" ref="L39:O39" si="92">AVERAGE($C$39:$J$39)</f>
        <v>9.5623276487555336E-2</v>
      </c>
      <c r="M39" s="65">
        <f t="shared" si="92"/>
        <v>9.5623276487555336E-2</v>
      </c>
      <c r="N39" s="65">
        <f t="shared" si="92"/>
        <v>9.5623276487555336E-2</v>
      </c>
      <c r="O39" s="65">
        <f t="shared" si="92"/>
        <v>9.5623276487555336E-2</v>
      </c>
    </row>
    <row r="40" spans="1:15" x14ac:dyDescent="0.3">
      <c r="A40" s="68" t="s">
        <v>132</v>
      </c>
      <c r="B40" s="51"/>
      <c r="C40" s="62">
        <f t="shared" ref="C40:J40" si="93">+IFERROR(C38/C$18,"nm")</f>
        <v>0.26528384279475981</v>
      </c>
      <c r="D40" s="62">
        <f t="shared" si="93"/>
        <v>0.25487672717420751</v>
      </c>
      <c r="E40" s="62">
        <f t="shared" si="93"/>
        <v>0.25466614090431128</v>
      </c>
      <c r="F40" s="62">
        <f t="shared" si="93"/>
        <v>0.24234264557388085</v>
      </c>
      <c r="G40" s="62">
        <f t="shared" si="93"/>
        <v>0.2468242988303358</v>
      </c>
      <c r="H40" s="62">
        <f t="shared" si="93"/>
        <v>0.20015189174261253</v>
      </c>
      <c r="I40" s="62">
        <f t="shared" si="93"/>
        <v>0.29623377379358518</v>
      </c>
      <c r="J40" s="62">
        <f t="shared" si="93"/>
        <v>0.27864654279954232</v>
      </c>
      <c r="K40" s="51"/>
      <c r="L40" s="51"/>
      <c r="M40" s="51"/>
      <c r="N40" s="51"/>
      <c r="O40" s="51"/>
    </row>
    <row r="41" spans="1:15" ht="15" thickBot="1" x14ac:dyDescent="0.35">
      <c r="A41" s="60" t="s">
        <v>136</v>
      </c>
      <c r="B41" s="51">
        <f>Historicals!B145</f>
        <v>545</v>
      </c>
      <c r="C41" s="69">
        <f>Historicals!C145</f>
        <v>632</v>
      </c>
      <c r="D41" s="69">
        <f>Historicals!D145</f>
        <v>742</v>
      </c>
      <c r="E41" s="69">
        <f>Historicals!E145</f>
        <v>819</v>
      </c>
      <c r="F41" s="69">
        <f>Historicals!F145</f>
        <v>848</v>
      </c>
      <c r="G41" s="69">
        <f>Historicals!G145</f>
        <v>814</v>
      </c>
      <c r="H41" s="69">
        <f>Historicals!H145</f>
        <v>645</v>
      </c>
      <c r="I41" s="69">
        <f>Historicals!I145</f>
        <v>617</v>
      </c>
      <c r="J41" s="69">
        <f>Historicals!J145</f>
        <v>639</v>
      </c>
      <c r="K41" s="52">
        <f>(J41*K42)+J41</f>
        <v>656.36488752146863</v>
      </c>
      <c r="L41" s="52">
        <f t="shared" ref="L41:O41" si="94">(K41*L42)+K41</f>
        <v>674.20166756036019</v>
      </c>
      <c r="M41" s="52">
        <f t="shared" si="94"/>
        <v>692.52316384200685</v>
      </c>
      <c r="N41" s="52">
        <f t="shared" si="94"/>
        <v>711.34254857773146</v>
      </c>
      <c r="O41" s="52">
        <f t="shared" si="94"/>
        <v>730.67335193498832</v>
      </c>
    </row>
    <row r="42" spans="1:15" ht="15" thickTop="1" x14ac:dyDescent="0.3">
      <c r="A42" s="68" t="s">
        <v>130</v>
      </c>
      <c r="B42" s="51"/>
      <c r="C42" s="62">
        <f>+IFERROR(C41/B41-1,"nm")</f>
        <v>0.15963302752293584</v>
      </c>
      <c r="D42" s="62">
        <f t="shared" ref="D42" si="95">+IFERROR(D41/C41-1,"nm")</f>
        <v>0.17405063291139244</v>
      </c>
      <c r="E42" s="62">
        <f t="shared" ref="E42" si="96">+IFERROR(E41/D41-1,"nm")</f>
        <v>0.10377358490566047</v>
      </c>
      <c r="F42" s="62">
        <f t="shared" ref="F42" si="97">+IFERROR(F41/E41-1,"nm")</f>
        <v>3.5409035409035505E-2</v>
      </c>
      <c r="G42" s="62">
        <f t="shared" ref="G42" si="98">+IFERROR(G41/F41-1,"nm")</f>
        <v>-4.0094339622641528E-2</v>
      </c>
      <c r="H42" s="62">
        <f t="shared" ref="H42" si="99">+IFERROR(H41/G41-1,"nm")</f>
        <v>-0.20761670761670759</v>
      </c>
      <c r="I42" s="62">
        <f t="shared" ref="I42" si="100">+IFERROR(I41/H41-1,"nm")</f>
        <v>-4.3410852713178349E-2</v>
      </c>
      <c r="J42" s="62">
        <f>+IFERROR(J41/I41-1,"nm")</f>
        <v>3.5656401944894611E-2</v>
      </c>
      <c r="K42" s="65">
        <f>AVERAGE($C$42:$J$42)</f>
        <v>2.7175097842673926E-2</v>
      </c>
      <c r="L42" s="65">
        <f t="shared" ref="L42:O42" si="101">AVERAGE($C$42:$J$42)</f>
        <v>2.7175097842673926E-2</v>
      </c>
      <c r="M42" s="65">
        <f t="shared" si="101"/>
        <v>2.7175097842673926E-2</v>
      </c>
      <c r="N42" s="65">
        <f t="shared" si="101"/>
        <v>2.7175097842673926E-2</v>
      </c>
      <c r="O42" s="65">
        <f t="shared" si="101"/>
        <v>2.7175097842673926E-2</v>
      </c>
    </row>
    <row r="43" spans="1:15" x14ac:dyDescent="0.3">
      <c r="A43" s="68" t="s">
        <v>134</v>
      </c>
      <c r="B43" s="51"/>
      <c r="C43" s="62">
        <f t="shared" ref="C43:J43" si="102">+IFERROR(C41/C$18,"nm")</f>
        <v>4.599708879184862E-2</v>
      </c>
      <c r="D43" s="62">
        <f t="shared" si="102"/>
        <v>5.0257382823083174E-2</v>
      </c>
      <c r="E43" s="62">
        <f t="shared" si="102"/>
        <v>5.3824921135646686E-2</v>
      </c>
      <c r="F43" s="62">
        <f t="shared" si="102"/>
        <v>5.7085156512958597E-2</v>
      </c>
      <c r="G43" s="62">
        <f t="shared" si="102"/>
        <v>5.1188529744686205E-2</v>
      </c>
      <c r="H43" s="62">
        <f t="shared" si="102"/>
        <v>4.4531897265948632E-2</v>
      </c>
      <c r="I43" s="62">
        <f t="shared" si="102"/>
        <v>3.5915943884975841E-2</v>
      </c>
      <c r="J43" s="62">
        <f t="shared" si="102"/>
        <v>3.4817196098730456E-2</v>
      </c>
      <c r="K43" s="51"/>
      <c r="L43" s="51"/>
      <c r="M43" s="51"/>
      <c r="N43" s="51"/>
      <c r="O43" s="51"/>
    </row>
    <row r="44" spans="1:15" x14ac:dyDescent="0.3">
      <c r="A44" s="58" t="str">
        <f>+Historicals!A111</f>
        <v>Europe, Middle East &amp; Africa</v>
      </c>
      <c r="B44" s="59"/>
      <c r="C44" s="58"/>
      <c r="D44" s="58"/>
      <c r="E44" s="58"/>
      <c r="F44" s="58"/>
      <c r="G44" s="58"/>
      <c r="H44" s="58"/>
      <c r="I44" s="58"/>
      <c r="J44" s="58"/>
      <c r="K44" s="47"/>
      <c r="L44" s="47"/>
      <c r="M44" s="47"/>
      <c r="N44" s="47"/>
      <c r="O44" s="47"/>
    </row>
    <row r="45" spans="1:15" ht="15" thickBot="1" x14ac:dyDescent="0.35">
      <c r="A45" s="60" t="s">
        <v>137</v>
      </c>
      <c r="B45" s="70">
        <f>Historicals!B111</f>
        <v>6366</v>
      </c>
      <c r="C45" s="70">
        <f>Historicals!C111</f>
        <v>7126</v>
      </c>
      <c r="D45" s="70">
        <f>Historicals!D111</f>
        <v>7568</v>
      </c>
      <c r="E45" s="70">
        <f>Historicals!E111</f>
        <v>7970</v>
      </c>
      <c r="F45" s="70">
        <f>Historicals!F111</f>
        <v>9242</v>
      </c>
      <c r="G45" s="70">
        <f>Historicals!G111</f>
        <v>9812</v>
      </c>
      <c r="H45" s="70">
        <f>Historicals!H111</f>
        <v>9347</v>
      </c>
      <c r="I45" s="70">
        <f>Historicals!I111</f>
        <v>11456</v>
      </c>
      <c r="J45" s="70">
        <f>Historicals!J111</f>
        <v>12479</v>
      </c>
      <c r="K45" s="52">
        <f>(J45*K46)+J45</f>
        <v>13607.325579991473</v>
      </c>
      <c r="L45" s="52">
        <f t="shared" ref="L45:O45" si="103">(K45*L46)+K45</f>
        <v>14837.672044225523</v>
      </c>
      <c r="M45" s="52">
        <f t="shared" si="103"/>
        <v>16179.263911764912</v>
      </c>
      <c r="N45" s="52">
        <f t="shared" si="103"/>
        <v>17642.159763762451</v>
      </c>
      <c r="O45" s="52">
        <f t="shared" si="103"/>
        <v>19237.327657644131</v>
      </c>
    </row>
    <row r="46" spans="1:15" ht="15" thickTop="1" x14ac:dyDescent="0.3">
      <c r="A46" s="61" t="s">
        <v>130</v>
      </c>
      <c r="B46" s="51"/>
      <c r="C46" s="66">
        <f>+IFERROR(C45/B45-1,"nm")</f>
        <v>0.11938422871504861</v>
      </c>
      <c r="D46" s="66">
        <f t="shared" ref="D46" si="104">+IFERROR(D45/C45-1,"nm")</f>
        <v>6.2026382262138746E-2</v>
      </c>
      <c r="E46" s="66">
        <f t="shared" ref="E46" si="105">+IFERROR(E45/D45-1,"nm")</f>
        <v>5.3118393234672379E-2</v>
      </c>
      <c r="F46" s="66">
        <f t="shared" ref="F46" si="106">+IFERROR(F45/E45-1,"nm")</f>
        <v>0.15959849435382689</v>
      </c>
      <c r="G46" s="66">
        <f t="shared" ref="G46" si="107">+IFERROR(G45/F45-1,"nm")</f>
        <v>6.1674962129409261E-2</v>
      </c>
      <c r="H46" s="66">
        <f t="shared" ref="H46" si="108">+IFERROR(H45/G45-1,"nm")</f>
        <v>-4.7390949857317621E-2</v>
      </c>
      <c r="I46" s="66">
        <f t="shared" ref="I46" si="109">+IFERROR(I45/H45-1,"nm")</f>
        <v>0.22563389322777372</v>
      </c>
      <c r="J46" s="66">
        <f>+IFERROR(J45/I45-1,"nm")</f>
        <v>8.9298184357541999E-2</v>
      </c>
      <c r="K46" s="55">
        <f>AVERAGE($C$46:$J$46)</f>
        <v>9.0417948552886748E-2</v>
      </c>
      <c r="L46" s="55">
        <f t="shared" ref="L46:O46" si="110">AVERAGE($C$46:$J$46)</f>
        <v>9.0417948552886748E-2</v>
      </c>
      <c r="M46" s="55">
        <f t="shared" si="110"/>
        <v>9.0417948552886748E-2</v>
      </c>
      <c r="N46" s="55">
        <f t="shared" si="110"/>
        <v>9.0417948552886748E-2</v>
      </c>
      <c r="O46" s="55">
        <f t="shared" si="110"/>
        <v>9.0417948552886748E-2</v>
      </c>
    </row>
    <row r="47" spans="1:15" ht="15" thickBot="1" x14ac:dyDescent="0.35">
      <c r="A47" s="63" t="s">
        <v>114</v>
      </c>
      <c r="B47" s="70">
        <f>Historicals!B112</f>
        <v>4062</v>
      </c>
      <c r="C47" s="70">
        <f>Historicals!C112</f>
        <v>4703</v>
      </c>
      <c r="D47" s="70">
        <f>Historicals!D112</f>
        <v>5043</v>
      </c>
      <c r="E47" s="70">
        <f>Historicals!E112</f>
        <v>5192</v>
      </c>
      <c r="F47" s="70">
        <f>Historicals!F112</f>
        <v>5875</v>
      </c>
      <c r="G47" s="70">
        <f>Historicals!G112</f>
        <v>6293</v>
      </c>
      <c r="H47" s="70">
        <f>Historicals!H112</f>
        <v>5892</v>
      </c>
      <c r="I47" s="70">
        <f>Historicals!I112</f>
        <v>6970</v>
      </c>
      <c r="J47" s="70">
        <f>Historicals!J112</f>
        <v>7388</v>
      </c>
      <c r="K47" s="52">
        <f>(J47*K48)+J47</f>
        <v>7980.4726727616744</v>
      </c>
      <c r="L47" s="52">
        <f t="shared" ref="L47:O47" si="111">(K47*L48)+K47</f>
        <v>8620.4580509875286</v>
      </c>
      <c r="M47" s="52">
        <f t="shared" si="111"/>
        <v>9311.7663647258178</v>
      </c>
      <c r="N47" s="52">
        <f t="shared" si="111"/>
        <v>10058.513401304237</v>
      </c>
      <c r="O47" s="52">
        <f t="shared" si="111"/>
        <v>10865.145009165612</v>
      </c>
    </row>
    <row r="48" spans="1:15" ht="15" thickTop="1" x14ac:dyDescent="0.3">
      <c r="A48" s="61" t="s">
        <v>130</v>
      </c>
      <c r="B48" s="51"/>
      <c r="C48" s="66">
        <f>+IFERROR(C47/B47-1,"nm")</f>
        <v>0.15780403741999005</v>
      </c>
      <c r="D48" s="66">
        <f t="shared" ref="D48" si="112">+IFERROR(D47/C47-1,"nm")</f>
        <v>7.2294280246651077E-2</v>
      </c>
      <c r="E48" s="66">
        <f t="shared" ref="E48" si="113">+IFERROR(E47/D47-1,"nm")</f>
        <v>2.9545905215149659E-2</v>
      </c>
      <c r="F48" s="66">
        <f t="shared" ref="F48" si="114">+IFERROR(F47/E47-1,"nm")</f>
        <v>0.1315485362095532</v>
      </c>
      <c r="G48" s="66">
        <f t="shared" ref="G48" si="115">+IFERROR(G47/F47-1,"nm")</f>
        <v>7.1148936170212673E-2</v>
      </c>
      <c r="H48" s="66">
        <f t="shared" ref="H48" si="116">+IFERROR(H47/G47-1,"nm")</f>
        <v>-6.3721595423486432E-2</v>
      </c>
      <c r="I48" s="66">
        <f t="shared" ref="I48" si="117">+IFERROR(I47/H47-1,"nm")</f>
        <v>0.18295994568907004</v>
      </c>
      <c r="J48" s="66">
        <f>+IFERROR(J47/I47-1,"nm")</f>
        <v>5.9971305595408975E-2</v>
      </c>
      <c r="K48" s="55">
        <f>AVERAGE($C$48:$J$48)</f>
        <v>8.0193918890318655E-2</v>
      </c>
      <c r="L48" s="55">
        <f t="shared" ref="L48:O48" si="118">AVERAGE($C$48:$J$48)</f>
        <v>8.0193918890318655E-2</v>
      </c>
      <c r="M48" s="55">
        <f t="shared" si="118"/>
        <v>8.0193918890318655E-2</v>
      </c>
      <c r="N48" s="55">
        <f t="shared" si="118"/>
        <v>8.0193918890318655E-2</v>
      </c>
      <c r="O48" s="55">
        <f t="shared" si="118"/>
        <v>8.0193918890318655E-2</v>
      </c>
    </row>
    <row r="49" spans="1:15" x14ac:dyDescent="0.3">
      <c r="A49" s="61" t="s">
        <v>138</v>
      </c>
      <c r="B49" s="51"/>
      <c r="C49" s="71">
        <f>Historicals!C184</f>
        <v>0.15780403741999016</v>
      </c>
      <c r="D49" s="71">
        <f>Historicals!D184</f>
        <v>7.2294280246651077E-2</v>
      </c>
      <c r="E49" s="71">
        <f>Historicals!E184</f>
        <v>2.9545905215149711E-2</v>
      </c>
      <c r="F49" s="71">
        <f>Historicals!F184</f>
        <v>0.13154853620955315</v>
      </c>
      <c r="G49" s="71">
        <f>Historicals!G184</f>
        <v>7.114893617021277E-2</v>
      </c>
      <c r="H49" s="71">
        <f>Historicals!H184</f>
        <v>-6.3721595423486418E-2</v>
      </c>
      <c r="I49" s="71">
        <f>Historicals!I184</f>
        <v>0.18295994568906992</v>
      </c>
      <c r="J49" s="71">
        <f>Historicals!J184</f>
        <v>0.09</v>
      </c>
      <c r="K49" s="51"/>
      <c r="L49" s="51"/>
      <c r="M49" s="51"/>
      <c r="N49" s="51"/>
      <c r="O49" s="51"/>
    </row>
    <row r="50" spans="1:15" x14ac:dyDescent="0.3">
      <c r="A50" s="61" t="s">
        <v>139</v>
      </c>
      <c r="B50" s="51"/>
      <c r="C50" s="66">
        <f t="shared" ref="C50:I50" si="119">+IFERROR(C48-C49,"nm")</f>
        <v>-1.1102230246251565E-16</v>
      </c>
      <c r="D50" s="66">
        <f t="shared" si="119"/>
        <v>0</v>
      </c>
      <c r="E50" s="66">
        <f>+IFERROR(E48-E49,"nm")</f>
        <v>-5.2041704279304213E-17</v>
      </c>
      <c r="F50" s="66">
        <f t="shared" si="119"/>
        <v>5.5511151231257827E-17</v>
      </c>
      <c r="G50" s="66">
        <f t="shared" si="119"/>
        <v>-9.7144514654701197E-17</v>
      </c>
      <c r="H50" s="66">
        <f t="shared" si="119"/>
        <v>-1.3877787807814457E-17</v>
      </c>
      <c r="I50" s="66">
        <f t="shared" si="119"/>
        <v>1.1102230246251565E-16</v>
      </c>
      <c r="J50" s="66">
        <f>+IFERROR(J48-J49,"nm")</f>
        <v>-3.0028694404591022E-2</v>
      </c>
      <c r="K50" s="51"/>
      <c r="L50" s="51"/>
      <c r="M50" s="51"/>
      <c r="N50" s="51"/>
      <c r="O50" s="51"/>
    </row>
    <row r="51" spans="1:15" ht="15" thickBot="1" x14ac:dyDescent="0.35">
      <c r="A51" s="63" t="s">
        <v>115</v>
      </c>
      <c r="B51" s="70">
        <f>Historicals!B113</f>
        <v>1959</v>
      </c>
      <c r="C51" s="70">
        <f>Historicals!C113</f>
        <v>2051</v>
      </c>
      <c r="D51" s="70">
        <f>Historicals!D113</f>
        <v>2149</v>
      </c>
      <c r="E51" s="70">
        <f>Historicals!E113</f>
        <v>2395</v>
      </c>
      <c r="F51" s="70">
        <f>Historicals!F113</f>
        <v>2940</v>
      </c>
      <c r="G51" s="70">
        <f>Historicals!G113</f>
        <v>3087</v>
      </c>
      <c r="H51" s="70">
        <f>Historicals!H113</f>
        <v>3053</v>
      </c>
      <c r="I51" s="70">
        <f>Historicals!I113</f>
        <v>3996</v>
      </c>
      <c r="J51" s="70">
        <f>Historicals!J113</f>
        <v>4527</v>
      </c>
      <c r="K51" s="52">
        <f>(J51*K52)+J51</f>
        <v>5046.2010828583198</v>
      </c>
      <c r="L51" s="52">
        <f t="shared" ref="L51:O51" si="120">(K51*L52)+K51</f>
        <v>5624.9492751580465</v>
      </c>
      <c r="M51" s="52">
        <f t="shared" si="120"/>
        <v>6270.0740276840406</v>
      </c>
      <c r="N51" s="52">
        <f t="shared" si="120"/>
        <v>6989.1880601062585</v>
      </c>
      <c r="O51" s="52">
        <f t="shared" si="120"/>
        <v>7790.7771939935146</v>
      </c>
    </row>
    <row r="52" spans="1:15" ht="15" thickTop="1" x14ac:dyDescent="0.3">
      <c r="A52" s="61" t="s">
        <v>130</v>
      </c>
      <c r="B52" s="51"/>
      <c r="C52" s="66">
        <f>+IFERROR(C51/B51-1,"nm")</f>
        <v>4.6962736089841695E-2</v>
      </c>
      <c r="D52" s="66">
        <f t="shared" ref="D52" si="121">+IFERROR(D51/C51-1,"nm")</f>
        <v>4.7781569965870352E-2</v>
      </c>
      <c r="E52" s="66">
        <f t="shared" ref="E52" si="122">+IFERROR(E51/D51-1,"nm")</f>
        <v>0.11447184737087013</v>
      </c>
      <c r="F52" s="66">
        <f t="shared" ref="F52" si="123">+IFERROR(F51/E51-1,"nm")</f>
        <v>0.22755741127348639</v>
      </c>
      <c r="G52" s="66">
        <f t="shared" ref="G52" si="124">+IFERROR(G51/F51-1,"nm")</f>
        <v>5.0000000000000044E-2</v>
      </c>
      <c r="H52" s="66">
        <f t="shared" ref="H52" si="125">+IFERROR(H51/G51-1,"nm")</f>
        <v>-1.1013929381276322E-2</v>
      </c>
      <c r="I52" s="66">
        <f t="shared" ref="I52" si="126">+IFERROR(I51/H51-1,"nm")</f>
        <v>0.30887651490337364</v>
      </c>
      <c r="J52" s="66">
        <f>+IFERROR(J51/I51-1,"nm")</f>
        <v>0.13288288288288297</v>
      </c>
      <c r="K52" s="55">
        <f>AVERAGE($C$52:$J$52)</f>
        <v>0.11468987913813111</v>
      </c>
      <c r="L52" s="55">
        <f t="shared" ref="L52:O52" si="127">AVERAGE($C$52:$J$52)</f>
        <v>0.11468987913813111</v>
      </c>
      <c r="M52" s="55">
        <f t="shared" si="127"/>
        <v>0.11468987913813111</v>
      </c>
      <c r="N52" s="55">
        <f t="shared" si="127"/>
        <v>0.11468987913813111</v>
      </c>
      <c r="O52" s="55">
        <f t="shared" si="127"/>
        <v>0.11468987913813111</v>
      </c>
    </row>
    <row r="53" spans="1:15" x14ac:dyDescent="0.3">
      <c r="A53" s="61" t="s">
        <v>138</v>
      </c>
      <c r="B53" s="51"/>
      <c r="C53" s="55">
        <f>Historicals!C185</f>
        <v>4.6962736089841757E-2</v>
      </c>
      <c r="D53" s="55">
        <f>Historicals!D185</f>
        <v>4.778156996587031E-2</v>
      </c>
      <c r="E53" s="55">
        <f>Historicals!E185</f>
        <v>0.11447184737087017</v>
      </c>
      <c r="F53" s="55">
        <f>Historicals!F185</f>
        <v>0.22755741127348644</v>
      </c>
      <c r="G53" s="55">
        <f>Historicals!G185</f>
        <v>0.05</v>
      </c>
      <c r="H53" s="55">
        <f>Historicals!H185</f>
        <v>-1.101392938127632E-2</v>
      </c>
      <c r="I53" s="55">
        <f>Historicals!I185</f>
        <v>0.30887651490337376</v>
      </c>
      <c r="J53" s="55">
        <f>Historicals!J185</f>
        <v>0.16</v>
      </c>
      <c r="K53" s="51"/>
      <c r="L53" s="51"/>
      <c r="M53" s="51"/>
      <c r="N53" s="51"/>
      <c r="O53" s="51"/>
    </row>
    <row r="54" spans="1:15" x14ac:dyDescent="0.3">
      <c r="A54" s="61" t="s">
        <v>139</v>
      </c>
      <c r="B54" s="51"/>
      <c r="C54" s="66">
        <f t="shared" ref="C54:I54" si="128">+IFERROR(C52-C53,"nm")</f>
        <v>-6.2450045135165055E-17</v>
      </c>
      <c r="D54" s="66">
        <f t="shared" si="128"/>
        <v>4.163336342344337E-17</v>
      </c>
      <c r="E54" s="66">
        <f>+IFERROR(E52-E53,"nm")</f>
        <v>-4.163336342344337E-17</v>
      </c>
      <c r="F54" s="66">
        <f t="shared" si="128"/>
        <v>-5.5511151231257827E-17</v>
      </c>
      <c r="G54" s="66">
        <f t="shared" si="128"/>
        <v>4.163336342344337E-17</v>
      </c>
      <c r="H54" s="66">
        <f t="shared" si="128"/>
        <v>-1.7347234759768071E-18</v>
      </c>
      <c r="I54" s="66">
        <f t="shared" si="128"/>
        <v>-1.1102230246251565E-16</v>
      </c>
      <c r="J54" s="66">
        <f>+IFERROR(J52-J53,"nm")</f>
        <v>-2.7117117117117034E-2</v>
      </c>
      <c r="K54" s="51"/>
      <c r="L54" s="51"/>
      <c r="M54" s="51"/>
      <c r="N54" s="51"/>
      <c r="O54" s="51"/>
    </row>
    <row r="55" spans="1:15" ht="15" thickBot="1" x14ac:dyDescent="0.35">
      <c r="A55" s="63" t="s">
        <v>116</v>
      </c>
      <c r="B55" s="70">
        <f>Historicals!B114</f>
        <v>345</v>
      </c>
      <c r="C55" s="70">
        <f>Historicals!C114</f>
        <v>372</v>
      </c>
      <c r="D55" s="70">
        <f>Historicals!D114</f>
        <v>376</v>
      </c>
      <c r="E55" s="70">
        <f>Historicals!E114</f>
        <v>383</v>
      </c>
      <c r="F55" s="70">
        <f>Historicals!F114</f>
        <v>427</v>
      </c>
      <c r="G55" s="70">
        <f>Historicals!G114</f>
        <v>432</v>
      </c>
      <c r="H55" s="70">
        <f>Historicals!H114</f>
        <v>402</v>
      </c>
      <c r="I55" s="70">
        <f>Historicals!I114</f>
        <v>490</v>
      </c>
      <c r="J55" s="70">
        <f>Historicals!J114</f>
        <v>564</v>
      </c>
      <c r="K55" s="52">
        <f>(J55*K56)+J55</f>
        <v>601.69664072581634</v>
      </c>
      <c r="L55" s="52">
        <f t="shared" ref="L55:O55" si="129">(K55*L56)+K55</f>
        <v>641.91285010768104</v>
      </c>
      <c r="M55" s="52">
        <f t="shared" si="129"/>
        <v>684.817031114408</v>
      </c>
      <c r="N55" s="52">
        <f t="shared" si="129"/>
        <v>730.58884243504633</v>
      </c>
      <c r="O55" s="52">
        <f t="shared" si="129"/>
        <v>779.41995078888317</v>
      </c>
    </row>
    <row r="56" spans="1:15" ht="15" thickTop="1" x14ac:dyDescent="0.3">
      <c r="A56" s="61" t="s">
        <v>130</v>
      </c>
      <c r="B56" s="51"/>
      <c r="C56" s="62">
        <f t="shared" ref="C56" si="130">+IFERROR(C55/B55-1,"nm")</f>
        <v>7.8260869565217384E-2</v>
      </c>
      <c r="D56" s="62">
        <f t="shared" ref="D56" si="131">+IFERROR(D55/C55-1,"nm")</f>
        <v>1.0752688172043001E-2</v>
      </c>
      <c r="E56" s="62">
        <f t="shared" ref="E56" si="132">+IFERROR(E55/D55-1,"nm")</f>
        <v>1.8617021276595702E-2</v>
      </c>
      <c r="F56" s="62">
        <f t="shared" ref="F56" si="133">+IFERROR(F55/E55-1,"nm")</f>
        <v>0.11488250652741505</v>
      </c>
      <c r="G56" s="62">
        <f t="shared" ref="G56" si="134">+IFERROR(G55/F55-1,"nm")</f>
        <v>1.1709601873536313E-2</v>
      </c>
      <c r="H56" s="62">
        <f t="shared" ref="H56" si="135">+IFERROR(H55/G55-1,"nm")</f>
        <v>-6.944444444444442E-2</v>
      </c>
      <c r="I56" s="62">
        <f t="shared" ref="I56" si="136">+IFERROR(I55/H55-1,"nm")</f>
        <v>0.21890547263681581</v>
      </c>
      <c r="J56" s="62">
        <f>+IFERROR(J55/I55-1,"nm")</f>
        <v>0.15102040816326534</v>
      </c>
      <c r="K56" s="65">
        <f>AVERAGE($C$56:$J$56)</f>
        <v>6.6838015471305523E-2</v>
      </c>
      <c r="L56" s="65">
        <f t="shared" ref="L56:O56" si="137">AVERAGE($C$56:$J$56)</f>
        <v>6.6838015471305523E-2</v>
      </c>
      <c r="M56" s="65">
        <f t="shared" si="137"/>
        <v>6.6838015471305523E-2</v>
      </c>
      <c r="N56" s="65">
        <f t="shared" si="137"/>
        <v>6.6838015471305523E-2</v>
      </c>
      <c r="O56" s="65">
        <f t="shared" si="137"/>
        <v>6.6838015471305523E-2</v>
      </c>
    </row>
    <row r="57" spans="1:15" x14ac:dyDescent="0.3">
      <c r="A57" s="61" t="s">
        <v>138</v>
      </c>
      <c r="B57" s="51"/>
      <c r="C57" s="55">
        <f>Historicals!C186</f>
        <v>7.8260869565217397E-2</v>
      </c>
      <c r="D57" s="55">
        <f>Historicals!D186</f>
        <v>1.0752688172043012E-2</v>
      </c>
      <c r="E57" s="55">
        <f>Historicals!E186</f>
        <v>1.8617021276595744E-2</v>
      </c>
      <c r="F57" s="55">
        <f>Historicals!F186</f>
        <v>0.11488250652741515</v>
      </c>
      <c r="G57" s="55">
        <f>Historicals!G186</f>
        <v>1.1709601873536301E-2</v>
      </c>
      <c r="H57" s="55">
        <f>Historicals!H186</f>
        <v>-6.9444444444444448E-2</v>
      </c>
      <c r="I57" s="55">
        <f>Historicals!I186</f>
        <v>0.21890547263681592</v>
      </c>
      <c r="J57" s="55">
        <f>Historicals!J186</f>
        <v>0.17</v>
      </c>
      <c r="K57" s="51"/>
      <c r="L57" s="51"/>
      <c r="M57" s="51"/>
      <c r="N57" s="51"/>
      <c r="O57" s="51"/>
    </row>
    <row r="58" spans="1:15" x14ac:dyDescent="0.3">
      <c r="A58" s="61" t="s">
        <v>139</v>
      </c>
      <c r="B58" s="51"/>
      <c r="C58" s="66">
        <f t="shared" ref="C58:J58" si="138">+IFERROR(C56-C57,"nm")</f>
        <v>-1.3877787807814457E-17</v>
      </c>
      <c r="D58" s="66">
        <f t="shared" si="138"/>
        <v>-1.0408340855860843E-17</v>
      </c>
      <c r="E58" s="66">
        <f t="shared" si="138"/>
        <v>-4.163336342344337E-17</v>
      </c>
      <c r="F58" s="66">
        <f t="shared" si="138"/>
        <v>-9.7144514654701197E-17</v>
      </c>
      <c r="G58" s="66">
        <f t="shared" si="138"/>
        <v>1.214306433183765E-17</v>
      </c>
      <c r="H58" s="66">
        <f t="shared" si="138"/>
        <v>2.7755575615628914E-17</v>
      </c>
      <c r="I58" s="66">
        <f t="shared" si="138"/>
        <v>-1.1102230246251565E-16</v>
      </c>
      <c r="J58" s="66">
        <f t="shared" si="138"/>
        <v>-1.8979591836734672E-2</v>
      </c>
      <c r="K58" s="51"/>
      <c r="L58" s="51"/>
      <c r="M58" s="51"/>
      <c r="N58" s="51"/>
      <c r="O58" s="51"/>
    </row>
    <row r="59" spans="1:15" ht="15" thickBot="1" x14ac:dyDescent="0.35">
      <c r="A59" s="60" t="s">
        <v>131</v>
      </c>
      <c r="B59" s="70">
        <f>B65+B62</f>
        <v>1216</v>
      </c>
      <c r="C59" s="60">
        <f>C65+C62</f>
        <v>1611</v>
      </c>
      <c r="D59" s="60">
        <f t="shared" ref="D59:J59" si="139">D65+D62</f>
        <v>1871</v>
      </c>
      <c r="E59" s="60">
        <f t="shared" si="139"/>
        <v>1613</v>
      </c>
      <c r="F59" s="60">
        <f t="shared" si="139"/>
        <v>1703</v>
      </c>
      <c r="G59" s="60">
        <f t="shared" si="139"/>
        <v>2106</v>
      </c>
      <c r="H59" s="60">
        <f t="shared" si="139"/>
        <v>1673</v>
      </c>
      <c r="I59" s="60">
        <f t="shared" si="139"/>
        <v>2571</v>
      </c>
      <c r="J59" s="60">
        <f t="shared" si="139"/>
        <v>3427</v>
      </c>
      <c r="K59" s="52">
        <f>(J59*K60)+J59</f>
        <v>4264.4368443179901</v>
      </c>
      <c r="L59" s="52">
        <f t="shared" ref="L59:O59" si="140">(K59*L60)+K59</f>
        <v>5306.5134517586166</v>
      </c>
      <c r="M59" s="52">
        <f t="shared" si="140"/>
        <v>6603.2364979715439</v>
      </c>
      <c r="N59" s="52">
        <f t="shared" si="140"/>
        <v>8216.8325105617587</v>
      </c>
      <c r="O59" s="52">
        <f t="shared" si="140"/>
        <v>10224.733966043028</v>
      </c>
    </row>
    <row r="60" spans="1:15" ht="15" thickTop="1" x14ac:dyDescent="0.3">
      <c r="A60" s="68" t="s">
        <v>130</v>
      </c>
      <c r="B60" s="51"/>
      <c r="C60" s="62">
        <f>+IFERROR(C59/B59-1,"nm")</f>
        <v>0.32483552631578938</v>
      </c>
      <c r="D60" s="62">
        <f>+IFERROR(D59/C59-1,"nm")</f>
        <v>0.16139044072004971</v>
      </c>
      <c r="E60" s="62">
        <f t="shared" ref="D60:J60" si="141">+IFERROR(E59/C59-1,"nm")</f>
        <v>1.2414649286158763E-3</v>
      </c>
      <c r="F60" s="62">
        <f t="shared" si="141"/>
        <v>-8.9791555318011751E-2</v>
      </c>
      <c r="G60" s="62">
        <f t="shared" si="141"/>
        <v>0.30564166150030991</v>
      </c>
      <c r="H60" s="62">
        <f t="shared" si="141"/>
        <v>-1.7615971814445075E-2</v>
      </c>
      <c r="I60" s="62">
        <f t="shared" si="141"/>
        <v>0.22079772079772075</v>
      </c>
      <c r="J60" s="62">
        <f t="shared" si="141"/>
        <v>1.0484160191273162</v>
      </c>
      <c r="K60" s="65">
        <f>AVERAGE($C$60:$J$60)</f>
        <v>0.24436441328216812</v>
      </c>
      <c r="L60" s="65">
        <f t="shared" ref="L60:O60" si="142">AVERAGE($C$60:$J$60)</f>
        <v>0.24436441328216812</v>
      </c>
      <c r="M60" s="65">
        <f t="shared" si="142"/>
        <v>0.24436441328216812</v>
      </c>
      <c r="N60" s="65">
        <f t="shared" si="142"/>
        <v>0.24436441328216812</v>
      </c>
      <c r="O60" s="65">
        <f t="shared" si="142"/>
        <v>0.24436441328216812</v>
      </c>
    </row>
    <row r="61" spans="1:15" x14ac:dyDescent="0.3">
      <c r="A61" s="68" t="s">
        <v>132</v>
      </c>
      <c r="B61" s="51"/>
      <c r="C61" s="62">
        <f>+IFERROR(C59/C$45,"nm")</f>
        <v>0.22607353353915241</v>
      </c>
      <c r="D61" s="62">
        <f t="shared" ref="D61:J61" si="143">+IFERROR(D59/D$45,"nm")</f>
        <v>0.24722515856236787</v>
      </c>
      <c r="E61" s="62">
        <f t="shared" si="143"/>
        <v>0.20238393977415309</v>
      </c>
      <c r="F61" s="62">
        <f t="shared" si="143"/>
        <v>0.18426747457260334</v>
      </c>
      <c r="G61" s="62">
        <f t="shared" si="143"/>
        <v>0.21463514064410924</v>
      </c>
      <c r="H61" s="62">
        <f t="shared" si="143"/>
        <v>0.17898791055953783</v>
      </c>
      <c r="I61" s="62">
        <f t="shared" si="143"/>
        <v>0.22442388268156424</v>
      </c>
      <c r="J61" s="62">
        <f t="shared" si="143"/>
        <v>0.27462136389133746</v>
      </c>
      <c r="K61" s="51"/>
      <c r="L61" s="51"/>
      <c r="M61" s="51"/>
      <c r="N61" s="51"/>
      <c r="O61" s="51"/>
    </row>
    <row r="62" spans="1:15" ht="15" thickBot="1" x14ac:dyDescent="0.35">
      <c r="A62" s="60" t="s">
        <v>133</v>
      </c>
      <c r="B62" s="70">
        <f>Historicals!B168</f>
        <v>82</v>
      </c>
      <c r="C62" s="60">
        <f>Historicals!C168</f>
        <v>87</v>
      </c>
      <c r="D62" s="60">
        <f>Historicals!D168</f>
        <v>84</v>
      </c>
      <c r="E62" s="60">
        <f>Historicals!E168</f>
        <v>106</v>
      </c>
      <c r="F62" s="60">
        <f>Historicals!F168</f>
        <v>116</v>
      </c>
      <c r="G62" s="60">
        <f>Historicals!G168</f>
        <v>111</v>
      </c>
      <c r="H62" s="60">
        <f>Historicals!H168</f>
        <v>132</v>
      </c>
      <c r="I62" s="60">
        <f>Historicals!I168</f>
        <v>136</v>
      </c>
      <c r="J62" s="60">
        <f>Historicals!J168</f>
        <v>134</v>
      </c>
      <c r="K62" s="52">
        <f>(J62*K63)+J62</f>
        <v>151.60950318300121</v>
      </c>
      <c r="L62" s="52">
        <f t="shared" ref="L62:O62" si="144">(K62*L63)+K62</f>
        <v>171.53314518952578</v>
      </c>
      <c r="M62" s="52">
        <f t="shared" si="144"/>
        <v>194.07503672837029</v>
      </c>
      <c r="N62" s="52">
        <f t="shared" si="144"/>
        <v>219.57925297470845</v>
      </c>
      <c r="O62" s="52">
        <f t="shared" si="144"/>
        <v>248.43508546858274</v>
      </c>
    </row>
    <row r="63" spans="1:15" ht="15" thickTop="1" x14ac:dyDescent="0.3">
      <c r="A63" s="68" t="s">
        <v>130</v>
      </c>
      <c r="B63" s="51"/>
      <c r="C63" s="62">
        <f>+IFERROR(C62/B62-1,"nm")</f>
        <v>6.0975609756097615E-2</v>
      </c>
      <c r="D63" s="62">
        <f>+IFERROR(D62/C62-1,"nm")</f>
        <v>-3.4482758620689613E-2</v>
      </c>
      <c r="E63" s="62">
        <f t="shared" ref="D63:J63" si="145">+IFERROR(E62/C62-1,"nm")</f>
        <v>0.21839080459770122</v>
      </c>
      <c r="F63" s="62">
        <f t="shared" si="145"/>
        <v>0.38095238095238093</v>
      </c>
      <c r="G63" s="62">
        <f t="shared" si="145"/>
        <v>4.7169811320754818E-2</v>
      </c>
      <c r="H63" s="62">
        <f t="shared" si="145"/>
        <v>0.13793103448275867</v>
      </c>
      <c r="I63" s="62">
        <f t="shared" si="145"/>
        <v>0.22522522522522515</v>
      </c>
      <c r="J63" s="62">
        <f t="shared" si="145"/>
        <v>1.5151515151515138E-2</v>
      </c>
      <c r="K63" s="65">
        <f>AVERAGE($C$63:$J$63)</f>
        <v>0.13141420285821798</v>
      </c>
      <c r="L63" s="65">
        <f t="shared" ref="L63:O63" si="146">AVERAGE($C$63:$J$63)</f>
        <v>0.13141420285821798</v>
      </c>
      <c r="M63" s="65">
        <f t="shared" si="146"/>
        <v>0.13141420285821798</v>
      </c>
      <c r="N63" s="65">
        <f t="shared" si="146"/>
        <v>0.13141420285821798</v>
      </c>
      <c r="O63" s="65">
        <f t="shared" si="146"/>
        <v>0.13141420285821798</v>
      </c>
    </row>
    <row r="64" spans="1:15" x14ac:dyDescent="0.3">
      <c r="A64" s="68" t="s">
        <v>134</v>
      </c>
      <c r="B64" s="51"/>
      <c r="C64" s="62">
        <f>+IFERROR(C62/C$45,"nm")</f>
        <v>1.2208812798203761E-2</v>
      </c>
      <c r="D64" s="62">
        <f t="shared" ref="D64:J64" si="147">+IFERROR(D62/D$45,"nm")</f>
        <v>1.1099365750528542E-2</v>
      </c>
      <c r="E64" s="62">
        <f t="shared" si="147"/>
        <v>1.3299874529485571E-2</v>
      </c>
      <c r="F64" s="62">
        <f t="shared" si="147"/>
        <v>1.2551395801774508E-2</v>
      </c>
      <c r="G64" s="62">
        <f t="shared" si="147"/>
        <v>1.1312678353037097E-2</v>
      </c>
      <c r="H64" s="62">
        <f t="shared" si="147"/>
        <v>1.4122178239007167E-2</v>
      </c>
      <c r="I64" s="62">
        <f t="shared" si="147"/>
        <v>1.1871508379888268E-2</v>
      </c>
      <c r="J64" s="62">
        <f t="shared" si="147"/>
        <v>1.0738039907043834E-2</v>
      </c>
      <c r="K64" s="51"/>
      <c r="L64" s="51"/>
      <c r="M64" s="51"/>
      <c r="N64" s="51"/>
      <c r="O64" s="51"/>
    </row>
    <row r="65" spans="1:15" ht="15" thickBot="1" x14ac:dyDescent="0.35">
      <c r="A65" s="60" t="s">
        <v>135</v>
      </c>
      <c r="B65" s="70">
        <f>Historicals!B135</f>
        <v>1134</v>
      </c>
      <c r="C65" s="60">
        <f>Historicals!C135</f>
        <v>1524</v>
      </c>
      <c r="D65" s="60">
        <f>Historicals!D135</f>
        <v>1787</v>
      </c>
      <c r="E65" s="60">
        <f>Historicals!E135</f>
        <v>1507</v>
      </c>
      <c r="F65" s="60">
        <f>Historicals!F135</f>
        <v>1587</v>
      </c>
      <c r="G65" s="60">
        <f>Historicals!G135</f>
        <v>1995</v>
      </c>
      <c r="H65" s="60">
        <f>Historicals!H135</f>
        <v>1541</v>
      </c>
      <c r="I65" s="60">
        <f>Historicals!I135</f>
        <v>2435</v>
      </c>
      <c r="J65" s="60">
        <f>Historicals!J135</f>
        <v>3293</v>
      </c>
      <c r="K65" s="52">
        <f>(J65*K66)+J65</f>
        <v>4135.0717006698069</v>
      </c>
      <c r="L65" s="52">
        <f t="shared" ref="L65:O65" si="148">(K65*L66)+K65</f>
        <v>5192.4743303007253</v>
      </c>
      <c r="M65" s="52">
        <f t="shared" si="148"/>
        <v>6520.2713816219066</v>
      </c>
      <c r="N65" s="52">
        <f t="shared" si="148"/>
        <v>8187.6069452875709</v>
      </c>
      <c r="O65" s="52">
        <f t="shared" si="148"/>
        <v>10281.306339406681</v>
      </c>
    </row>
    <row r="66" spans="1:15" ht="15" thickTop="1" x14ac:dyDescent="0.3">
      <c r="A66" s="68" t="s">
        <v>130</v>
      </c>
      <c r="B66" s="51"/>
      <c r="C66" s="62">
        <f>+IFERROR(C65/B65-1,"nm")</f>
        <v>0.34391534391534395</v>
      </c>
      <c r="D66" s="62">
        <f>+IFERROR(D65/C65-1,"nm")</f>
        <v>0.17257217847769035</v>
      </c>
      <c r="E66" s="62">
        <f t="shared" ref="E66" si="149">+IFERROR(E65/C65-1,"nm")</f>
        <v>-1.1154855643044637E-2</v>
      </c>
      <c r="F66" s="62">
        <f t="shared" ref="F66" si="150">+IFERROR(F65/D65-1,"nm")</f>
        <v>-0.11191941801902627</v>
      </c>
      <c r="G66" s="62">
        <f t="shared" ref="G66" si="151">+IFERROR(G65/E65-1,"nm")</f>
        <v>0.32382216323822166</v>
      </c>
      <c r="H66" s="62">
        <f t="shared" ref="H66" si="152">+IFERROR(H65/F65-1,"nm")</f>
        <v>-2.8985507246376829E-2</v>
      </c>
      <c r="I66" s="62">
        <f t="shared" ref="I66" si="153">+IFERROR(I65/G65-1,"nm")</f>
        <v>0.22055137844611528</v>
      </c>
      <c r="J66" s="62">
        <f t="shared" ref="J66" si="154">+IFERROR(J65/H65-1,"nm")</f>
        <v>1.136924075275795</v>
      </c>
      <c r="K66" s="65">
        <f>AVERAGE($C$66:$J$66)</f>
        <v>0.2557156698055898</v>
      </c>
      <c r="L66" s="65">
        <f t="shared" ref="L66:O66" si="155">AVERAGE($C$66:$J$66)</f>
        <v>0.2557156698055898</v>
      </c>
      <c r="M66" s="65">
        <f t="shared" si="155"/>
        <v>0.2557156698055898</v>
      </c>
      <c r="N66" s="65">
        <f t="shared" si="155"/>
        <v>0.2557156698055898</v>
      </c>
      <c r="O66" s="65">
        <f t="shared" si="155"/>
        <v>0.2557156698055898</v>
      </c>
    </row>
    <row r="67" spans="1:15" x14ac:dyDescent="0.3">
      <c r="A67" s="68" t="s">
        <v>132</v>
      </c>
      <c r="B67" s="51"/>
      <c r="C67" s="62">
        <f>+IFERROR(C65/C$45,"nm")</f>
        <v>0.21386472074094864</v>
      </c>
      <c r="D67" s="62">
        <f t="shared" ref="D67:J67" si="156">+IFERROR(D65/D$45,"nm")</f>
        <v>0.23612579281183932</v>
      </c>
      <c r="E67" s="62">
        <f t="shared" si="156"/>
        <v>0.1890840652446675</v>
      </c>
      <c r="F67" s="62">
        <f t="shared" si="156"/>
        <v>0.17171607877082881</v>
      </c>
      <c r="G67" s="62">
        <f t="shared" si="156"/>
        <v>0.20332246229107215</v>
      </c>
      <c r="H67" s="62">
        <f t="shared" si="156"/>
        <v>0.16486573232053064</v>
      </c>
      <c r="I67" s="62">
        <f t="shared" si="156"/>
        <v>0.21255237430167598</v>
      </c>
      <c r="J67" s="62">
        <f t="shared" si="156"/>
        <v>0.26388332398429359</v>
      </c>
      <c r="K67" s="51"/>
      <c r="L67" s="51"/>
      <c r="M67" s="51"/>
      <c r="N67" s="51"/>
      <c r="O67" s="51"/>
    </row>
    <row r="68" spans="1:15" ht="15" thickBot="1" x14ac:dyDescent="0.35">
      <c r="A68" s="60" t="s">
        <v>136</v>
      </c>
      <c r="B68" s="70">
        <f>Historicals!B146</f>
        <v>435</v>
      </c>
      <c r="C68" s="70">
        <f>Historicals!C146</f>
        <v>498</v>
      </c>
      <c r="D68" s="70">
        <f>Historicals!D146</f>
        <v>639</v>
      </c>
      <c r="E68" s="70">
        <f>Historicals!E146</f>
        <v>709</v>
      </c>
      <c r="F68" s="70">
        <f>Historicals!F146</f>
        <v>849</v>
      </c>
      <c r="G68" s="70">
        <f>Historicals!G146</f>
        <v>929</v>
      </c>
      <c r="H68" s="70">
        <f>Historicals!H146</f>
        <v>885</v>
      </c>
      <c r="I68" s="70">
        <f>Historicals!I146</f>
        <v>982</v>
      </c>
      <c r="J68" s="70">
        <f>Historicals!J146</f>
        <v>920</v>
      </c>
      <c r="K68" s="52">
        <f>(J68*K69)+J68</f>
        <v>1015.2546503304211</v>
      </c>
      <c r="L68" s="52">
        <f t="shared" ref="L68:O68" si="157">(K68*L69)+K68</f>
        <v>1120.3717445842888</v>
      </c>
      <c r="M68" s="52">
        <f t="shared" si="157"/>
        <v>1236.372417160876</v>
      </c>
      <c r="N68" s="52">
        <f t="shared" si="157"/>
        <v>1364.3835283291769</v>
      </c>
      <c r="O68" s="52">
        <f t="shared" si="157"/>
        <v>1505.6486108374181</v>
      </c>
    </row>
    <row r="69" spans="1:15" ht="15" thickTop="1" x14ac:dyDescent="0.3">
      <c r="A69" s="68" t="s">
        <v>130</v>
      </c>
      <c r="B69" s="51"/>
      <c r="C69" s="62">
        <f>+IFERROR(C68/B68-1,"nm")</f>
        <v>0.14482758620689662</v>
      </c>
      <c r="D69" s="62">
        <f t="shared" ref="D69:J69" si="158">+IFERROR(D68/C68-1,"nm")</f>
        <v>0.2831325301204819</v>
      </c>
      <c r="E69" s="62">
        <f t="shared" si="158"/>
        <v>0.10954616588419408</v>
      </c>
      <c r="F69" s="62">
        <f t="shared" si="158"/>
        <v>0.19746121297602248</v>
      </c>
      <c r="G69" s="62">
        <f t="shared" si="158"/>
        <v>9.4228504122497059E-2</v>
      </c>
      <c r="H69" s="62">
        <f t="shared" si="158"/>
        <v>-4.7362755651237931E-2</v>
      </c>
      <c r="I69" s="62">
        <f t="shared" si="158"/>
        <v>0.1096045197740112</v>
      </c>
      <c r="J69" s="62">
        <f t="shared" si="158"/>
        <v>-6.313645621181263E-2</v>
      </c>
      <c r="K69" s="65">
        <f>AVERAGE($C$69:$J$69)</f>
        <v>0.1035376634026316</v>
      </c>
      <c r="L69" s="65">
        <f t="shared" ref="L69:O69" si="159">AVERAGE($C$69:$J$69)</f>
        <v>0.1035376634026316</v>
      </c>
      <c r="M69" s="65">
        <f t="shared" si="159"/>
        <v>0.1035376634026316</v>
      </c>
      <c r="N69" s="65">
        <f t="shared" si="159"/>
        <v>0.1035376634026316</v>
      </c>
      <c r="O69" s="65">
        <f t="shared" si="159"/>
        <v>0.1035376634026316</v>
      </c>
    </row>
    <row r="70" spans="1:15" x14ac:dyDescent="0.3">
      <c r="A70" s="68" t="s">
        <v>134</v>
      </c>
      <c r="B70" s="51"/>
      <c r="C70" s="62">
        <f>+IFERROR(C68/C$45,"nm")</f>
        <v>6.9884928431097393E-2</v>
      </c>
      <c r="D70" s="62">
        <f t="shared" ref="D70:J70" si="160">+IFERROR(D68/D$45,"nm")</f>
        <v>8.4434460887949259E-2</v>
      </c>
      <c r="E70" s="62">
        <f t="shared" si="160"/>
        <v>8.8958594730238399E-2</v>
      </c>
      <c r="F70" s="62">
        <f t="shared" si="160"/>
        <v>9.1863233066435832E-2</v>
      </c>
      <c r="G70" s="62">
        <f t="shared" si="160"/>
        <v>9.4679983693436609E-2</v>
      </c>
      <c r="H70" s="62">
        <f t="shared" si="160"/>
        <v>9.4682785920616241E-2</v>
      </c>
      <c r="I70" s="62">
        <f t="shared" si="160"/>
        <v>8.5719273743016758E-2</v>
      </c>
      <c r="J70" s="62">
        <f t="shared" si="160"/>
        <v>7.37238560782114E-2</v>
      </c>
      <c r="K70" s="51"/>
      <c r="L70" s="51"/>
      <c r="M70" s="51"/>
      <c r="N70" s="51"/>
      <c r="O70" s="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Varun Chandra</cp:lastModifiedBy>
  <dcterms:created xsi:type="dcterms:W3CDTF">2020-05-20T17:26:08Z</dcterms:created>
  <dcterms:modified xsi:type="dcterms:W3CDTF">2024-11-30T21:24:37Z</dcterms:modified>
</cp:coreProperties>
</file>