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un\OneDrive\Desktop\Quill Capital Program\"/>
    </mc:Choice>
  </mc:AlternateContent>
  <xr:revisionPtr revIDLastSave="0" documentId="13_ncr:1_{9B645724-F3A0-42B7-90E2-E6CEBB7D61C7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4" l="1"/>
  <c r="L41" i="4"/>
  <c r="M41" i="4"/>
  <c r="N41" i="4"/>
  <c r="K63" i="4"/>
  <c r="L63" i="4"/>
  <c r="M63" i="4"/>
  <c r="N63" i="4"/>
  <c r="K16" i="4"/>
  <c r="L16" i="4"/>
  <c r="M16" i="4"/>
  <c r="N16" i="4"/>
  <c r="J16" i="4"/>
  <c r="I19" i="4"/>
  <c r="J17" i="4"/>
  <c r="K17" i="4"/>
  <c r="L17" i="4"/>
  <c r="M17" i="4"/>
  <c r="M19" i="4" s="1"/>
  <c r="N17" i="4"/>
  <c r="I17" i="4"/>
  <c r="K15" i="4"/>
  <c r="L15" i="4" s="1"/>
  <c r="M15" i="4" s="1"/>
  <c r="N15" i="4" s="1"/>
  <c r="J15" i="4"/>
  <c r="O15" i="4"/>
  <c r="K67" i="4"/>
  <c r="L67" i="4"/>
  <c r="M67" i="4" s="1"/>
  <c r="N67" i="4" s="1"/>
  <c r="K68" i="4"/>
  <c r="L68" i="4" s="1"/>
  <c r="M68" i="4" s="1"/>
  <c r="N68" i="4" s="1"/>
  <c r="J68" i="4"/>
  <c r="J67" i="4"/>
  <c r="K65" i="4"/>
  <c r="L65" i="4"/>
  <c r="M65" i="4"/>
  <c r="N65" i="4"/>
  <c r="J65" i="4"/>
  <c r="K66" i="4"/>
  <c r="L66" i="4" s="1"/>
  <c r="M66" i="4" s="1"/>
  <c r="N66" i="4" s="1"/>
  <c r="J66" i="4"/>
  <c r="J63" i="4"/>
  <c r="K61" i="4"/>
  <c r="L61" i="4" s="1"/>
  <c r="M61" i="4" s="1"/>
  <c r="N61" i="4" s="1"/>
  <c r="J61" i="4"/>
  <c r="K48" i="4"/>
  <c r="L48" i="4" s="1"/>
  <c r="M48" i="4" s="1"/>
  <c r="N48" i="4" s="1"/>
  <c r="K49" i="4"/>
  <c r="L49" i="4"/>
  <c r="M49" i="4"/>
  <c r="N49" i="4"/>
  <c r="K50" i="4"/>
  <c r="L50" i="4" s="1"/>
  <c r="M50" i="4" s="1"/>
  <c r="N50" i="4" s="1"/>
  <c r="K51" i="4"/>
  <c r="L51" i="4" s="1"/>
  <c r="M51" i="4" s="1"/>
  <c r="N51" i="4" s="1"/>
  <c r="K52" i="4"/>
  <c r="L52" i="4" s="1"/>
  <c r="M52" i="4" s="1"/>
  <c r="N52" i="4" s="1"/>
  <c r="K55" i="4"/>
  <c r="L55" i="4" s="1"/>
  <c r="M55" i="4" s="1"/>
  <c r="N55" i="4" s="1"/>
  <c r="K57" i="4"/>
  <c r="L57" i="4"/>
  <c r="M57" i="4" s="1"/>
  <c r="N57" i="4" s="1"/>
  <c r="J57" i="4"/>
  <c r="J55" i="4"/>
  <c r="J52" i="4"/>
  <c r="J51" i="4"/>
  <c r="J50" i="4"/>
  <c r="J49" i="4"/>
  <c r="J48" i="4"/>
  <c r="J54" i="4"/>
  <c r="J58" i="4"/>
  <c r="J60" i="4"/>
  <c r="J59" i="4" s="1"/>
  <c r="K59" i="4" s="1"/>
  <c r="L59" i="4" s="1"/>
  <c r="M59" i="4" s="1"/>
  <c r="N59" i="4" s="1"/>
  <c r="J62" i="4"/>
  <c r="K43" i="4"/>
  <c r="L43" i="4" s="1"/>
  <c r="M43" i="4" s="1"/>
  <c r="N43" i="4" s="1"/>
  <c r="J43" i="4"/>
  <c r="J41" i="4"/>
  <c r="K37" i="4"/>
  <c r="L37" i="4" s="1"/>
  <c r="M37" i="4" s="1"/>
  <c r="N37" i="4" s="1"/>
  <c r="J37" i="4"/>
  <c r="K36" i="4"/>
  <c r="L36" i="4" s="1"/>
  <c r="M36" i="4" s="1"/>
  <c r="N36" i="4" s="1"/>
  <c r="J36" i="4"/>
  <c r="J35" i="4"/>
  <c r="J38" i="4"/>
  <c r="J39" i="4"/>
  <c r="J40" i="4"/>
  <c r="J42" i="4"/>
  <c r="K62" i="4"/>
  <c r="L62" i="4"/>
  <c r="M62" i="4"/>
  <c r="N62" i="4"/>
  <c r="O48" i="4"/>
  <c r="O49" i="4"/>
  <c r="O50" i="4"/>
  <c r="O51" i="4"/>
  <c r="O52" i="4"/>
  <c r="O53" i="4"/>
  <c r="O55" i="4"/>
  <c r="O57" i="4"/>
  <c r="O58" i="4"/>
  <c r="O61" i="4"/>
  <c r="O63" i="4"/>
  <c r="O64" i="4"/>
  <c r="O65" i="4"/>
  <c r="O66" i="4"/>
  <c r="O67" i="4"/>
  <c r="O68" i="4"/>
  <c r="O34" i="4"/>
  <c r="O36" i="4"/>
  <c r="O37" i="4"/>
  <c r="O41" i="4"/>
  <c r="O43" i="4"/>
  <c r="K31" i="4"/>
  <c r="L31" i="4" s="1"/>
  <c r="M31" i="4" s="1"/>
  <c r="N31" i="4" s="1"/>
  <c r="J31" i="4"/>
  <c r="O31" i="4"/>
  <c r="K27" i="4"/>
  <c r="L27" i="4" s="1"/>
  <c r="M27" i="4" s="1"/>
  <c r="N27" i="4" s="1"/>
  <c r="K28" i="4"/>
  <c r="L28" i="4"/>
  <c r="M28" i="4"/>
  <c r="N28" i="4"/>
  <c r="K29" i="4"/>
  <c r="L29" i="4"/>
  <c r="M29" i="4"/>
  <c r="N29" i="4"/>
  <c r="J29" i="4"/>
  <c r="J28" i="4"/>
  <c r="J27" i="4"/>
  <c r="K26" i="4"/>
  <c r="L26" i="4" s="1"/>
  <c r="M26" i="4" s="1"/>
  <c r="N26" i="4" s="1"/>
  <c r="J26" i="4"/>
  <c r="I31" i="4"/>
  <c r="K25" i="4"/>
  <c r="L25" i="4"/>
  <c r="M25" i="4" s="1"/>
  <c r="N25" i="4" s="1"/>
  <c r="J25" i="4"/>
  <c r="O25" i="4"/>
  <c r="I24" i="4"/>
  <c r="O26" i="4"/>
  <c r="O27" i="4"/>
  <c r="O28" i="4"/>
  <c r="O29" i="4"/>
  <c r="K21" i="4"/>
  <c r="L21" i="4" s="1"/>
  <c r="M21" i="4" s="1"/>
  <c r="N21" i="4" s="1"/>
  <c r="J21" i="4"/>
  <c r="O21" i="4"/>
  <c r="I16" i="4"/>
  <c r="J19" i="4"/>
  <c r="K19" i="4"/>
  <c r="L19" i="4"/>
  <c r="N19" i="4"/>
  <c r="K47" i="4"/>
  <c r="L47" i="4"/>
  <c r="M47" i="4"/>
  <c r="N47" i="4"/>
  <c r="J47" i="4"/>
  <c r="K46" i="4"/>
  <c r="L46" i="4"/>
  <c r="M46" i="4"/>
  <c r="N46" i="4"/>
  <c r="J46" i="4"/>
  <c r="K154" i="3"/>
  <c r="J183" i="3"/>
  <c r="J185" i="3"/>
  <c r="K164" i="3"/>
  <c r="L164" i="3"/>
  <c r="M164" i="3" s="1"/>
  <c r="N164" i="3" s="1"/>
  <c r="O164" i="3" s="1"/>
  <c r="L165" i="3"/>
  <c r="M165" i="3" s="1"/>
  <c r="N165" i="3" s="1"/>
  <c r="O165" i="3" s="1"/>
  <c r="K165" i="3"/>
  <c r="L145" i="3"/>
  <c r="M145" i="3" s="1"/>
  <c r="N145" i="3" s="1"/>
  <c r="O145" i="3" s="1"/>
  <c r="K145" i="3"/>
  <c r="L146" i="3"/>
  <c r="M146" i="3"/>
  <c r="N146" i="3" s="1"/>
  <c r="O146" i="3" s="1"/>
  <c r="K146" i="3"/>
  <c r="L125" i="3"/>
  <c r="M125" i="3"/>
  <c r="N125" i="3"/>
  <c r="O125" i="3"/>
  <c r="K125" i="3"/>
  <c r="K126" i="3"/>
  <c r="L121" i="3"/>
  <c r="M121" i="3"/>
  <c r="N121" i="3"/>
  <c r="O121" i="3"/>
  <c r="K121" i="3"/>
  <c r="K122" i="3"/>
  <c r="K117" i="3"/>
  <c r="K118" i="3"/>
  <c r="L115" i="3"/>
  <c r="M115" i="3" s="1"/>
  <c r="N115" i="3" s="1"/>
  <c r="O115" i="3" s="1"/>
  <c r="K115" i="3"/>
  <c r="K98" i="3"/>
  <c r="L94" i="3"/>
  <c r="M94" i="3"/>
  <c r="N94" i="3"/>
  <c r="O94" i="3"/>
  <c r="K94" i="3"/>
  <c r="K95" i="3"/>
  <c r="L86" i="3"/>
  <c r="M86" i="3"/>
  <c r="N86" i="3"/>
  <c r="O86" i="3"/>
  <c r="L90" i="3"/>
  <c r="M90" i="3"/>
  <c r="N90" i="3"/>
  <c r="O90" i="3"/>
  <c r="K90" i="3"/>
  <c r="K91" i="3"/>
  <c r="K86" i="3"/>
  <c r="K87" i="3"/>
  <c r="L84" i="3"/>
  <c r="M84" i="3" s="1"/>
  <c r="N84" i="3" s="1"/>
  <c r="O84" i="3" s="1"/>
  <c r="K77" i="3"/>
  <c r="K72" i="3"/>
  <c r="L72" i="3" s="1"/>
  <c r="M72" i="3" s="1"/>
  <c r="N72" i="3" s="1"/>
  <c r="O72" i="3" s="1"/>
  <c r="I72" i="3"/>
  <c r="K66" i="3"/>
  <c r="K68" i="3"/>
  <c r="K52" i="3"/>
  <c r="L53" i="3"/>
  <c r="M53" i="3" s="1"/>
  <c r="N53" i="3" s="1"/>
  <c r="O53" i="3" s="1"/>
  <c r="K43" i="3"/>
  <c r="K64" i="3"/>
  <c r="K59" i="3"/>
  <c r="K60" i="3"/>
  <c r="K55" i="3"/>
  <c r="L55" i="3" s="1"/>
  <c r="M55" i="3" s="1"/>
  <c r="N55" i="3" s="1"/>
  <c r="O55" i="3" s="1"/>
  <c r="K56" i="3"/>
  <c r="K54" i="3"/>
  <c r="K63" i="3"/>
  <c r="K36" i="3"/>
  <c r="K35" i="3"/>
  <c r="K42" i="3" s="1"/>
  <c r="K32" i="3"/>
  <c r="L32" i="3" s="1"/>
  <c r="M32" i="3" s="1"/>
  <c r="N32" i="3" s="1"/>
  <c r="O32" i="3" s="1"/>
  <c r="K33" i="3"/>
  <c r="K28" i="3"/>
  <c r="K29" i="3"/>
  <c r="L25" i="3"/>
  <c r="M25" i="3" s="1"/>
  <c r="N25" i="3" s="1"/>
  <c r="O25" i="3" s="1"/>
  <c r="K24" i="3"/>
  <c r="K25" i="3"/>
  <c r="K84" i="3"/>
  <c r="J83" i="3"/>
  <c r="L63" i="3"/>
  <c r="M63" i="3" s="1"/>
  <c r="N63" i="3" s="1"/>
  <c r="O63" i="3" s="1"/>
  <c r="L59" i="3"/>
  <c r="M59" i="3" s="1"/>
  <c r="N59" i="3" s="1"/>
  <c r="O59" i="3" s="1"/>
  <c r="K53" i="3"/>
  <c r="K18" i="4"/>
  <c r="L18" i="4"/>
  <c r="M18" i="4" s="1"/>
  <c r="N18" i="4" s="1"/>
  <c r="J18" i="4"/>
  <c r="D18" i="4"/>
  <c r="E18" i="4"/>
  <c r="F18" i="4"/>
  <c r="G18" i="4"/>
  <c r="H18" i="4"/>
  <c r="I18" i="4"/>
  <c r="C18" i="4"/>
  <c r="D19" i="4"/>
  <c r="K60" i="4"/>
  <c r="L60" i="4"/>
  <c r="M60" i="4"/>
  <c r="N60" i="4"/>
  <c r="I60" i="4"/>
  <c r="I23" i="4"/>
  <c r="K13" i="4"/>
  <c r="L13" i="4"/>
  <c r="M13" i="4" s="1"/>
  <c r="N13" i="4" s="1"/>
  <c r="B13" i="4"/>
  <c r="I14" i="4"/>
  <c r="J13" i="4"/>
  <c r="K7" i="4"/>
  <c r="L7" i="4"/>
  <c r="M7" i="4"/>
  <c r="N7" i="4"/>
  <c r="K8" i="4"/>
  <c r="L8" i="4" s="1"/>
  <c r="M8" i="4" s="1"/>
  <c r="N8" i="4" s="1"/>
  <c r="J7" i="4"/>
  <c r="J8" i="4"/>
  <c r="K6" i="4"/>
  <c r="L6" i="4" s="1"/>
  <c r="M6" i="4" s="1"/>
  <c r="N6" i="4" s="1"/>
  <c r="J6" i="4"/>
  <c r="J5" i="4"/>
  <c r="K5" i="4" s="1"/>
  <c r="L5" i="4" s="1"/>
  <c r="M5" i="4" s="1"/>
  <c r="N5" i="4" s="1"/>
  <c r="L39" i="3"/>
  <c r="M39" i="3" s="1"/>
  <c r="N39" i="3" s="1"/>
  <c r="O39" i="3" s="1"/>
  <c r="K38" i="3"/>
  <c r="K31" i="3"/>
  <c r="L31" i="3" s="1"/>
  <c r="K27" i="3"/>
  <c r="L27" i="3" s="1"/>
  <c r="M27" i="3" s="1"/>
  <c r="N27" i="3" s="1"/>
  <c r="O27" i="3" s="1"/>
  <c r="K23" i="3"/>
  <c r="L23" i="3" s="1"/>
  <c r="M23" i="3" s="1"/>
  <c r="N23" i="3" s="1"/>
  <c r="O23" i="3" s="1"/>
  <c r="L28" i="3"/>
  <c r="M28" i="3" s="1"/>
  <c r="N28" i="3" s="1"/>
  <c r="O28" i="3" s="1"/>
  <c r="L24" i="3"/>
  <c r="M24" i="3"/>
  <c r="N24" i="3" s="1"/>
  <c r="O24" i="3" s="1"/>
  <c r="L22" i="3"/>
  <c r="M22" i="3" s="1"/>
  <c r="N22" i="3" s="1"/>
  <c r="O22" i="3" s="1"/>
  <c r="K21" i="3"/>
  <c r="K39" i="3"/>
  <c r="K22" i="3"/>
  <c r="L18" i="3"/>
  <c r="M18" i="3" s="1"/>
  <c r="N18" i="3" s="1"/>
  <c r="O18" i="3" s="1"/>
  <c r="K17" i="3"/>
  <c r="K18" i="3"/>
  <c r="L15" i="3"/>
  <c r="M15" i="3" s="1"/>
  <c r="N15" i="3" s="1"/>
  <c r="O15" i="3" s="1"/>
  <c r="K14" i="3"/>
  <c r="K15" i="3"/>
  <c r="L11" i="3"/>
  <c r="M11" i="3" s="1"/>
  <c r="N11" i="3" s="1"/>
  <c r="O11" i="3" s="1"/>
  <c r="K11" i="3"/>
  <c r="L12" i="3"/>
  <c r="M12" i="3"/>
  <c r="N12" i="3" s="1"/>
  <c r="O12" i="3" s="1"/>
  <c r="K12" i="3"/>
  <c r="L8" i="3"/>
  <c r="M8" i="3"/>
  <c r="N8" i="3"/>
  <c r="O8" i="3"/>
  <c r="K8" i="3"/>
  <c r="L9" i="3"/>
  <c r="M9" i="3" s="1"/>
  <c r="N9" i="3" s="1"/>
  <c r="O9" i="3" s="1"/>
  <c r="K9" i="3"/>
  <c r="L5" i="3"/>
  <c r="M5" i="3" s="1"/>
  <c r="N5" i="3" s="1"/>
  <c r="O5" i="3" s="1"/>
  <c r="K5" i="3"/>
  <c r="L6" i="3"/>
  <c r="M6" i="3" s="1"/>
  <c r="N6" i="3" s="1"/>
  <c r="O6" i="3" s="1"/>
  <c r="K6" i="3"/>
  <c r="C19" i="4"/>
  <c r="E19" i="4"/>
  <c r="F19" i="4"/>
  <c r="G19" i="4"/>
  <c r="H19" i="4"/>
  <c r="B19" i="4"/>
  <c r="C17" i="4"/>
  <c r="D17" i="4"/>
  <c r="E17" i="4"/>
  <c r="F17" i="4"/>
  <c r="G17" i="4"/>
  <c r="H17" i="4"/>
  <c r="B17" i="4"/>
  <c r="C48" i="4"/>
  <c r="D48" i="4"/>
  <c r="E48" i="4"/>
  <c r="F48" i="4"/>
  <c r="G48" i="4"/>
  <c r="H48" i="4"/>
  <c r="I48" i="4"/>
  <c r="B48" i="4"/>
  <c r="B49" i="4"/>
  <c r="B53" i="4"/>
  <c r="C50" i="4"/>
  <c r="D50" i="4"/>
  <c r="E50" i="4"/>
  <c r="F50" i="4"/>
  <c r="G50" i="4"/>
  <c r="H50" i="4"/>
  <c r="I50" i="4"/>
  <c r="B50" i="4"/>
  <c r="C53" i="4"/>
  <c r="D53" i="4"/>
  <c r="E53" i="4"/>
  <c r="F53" i="4"/>
  <c r="G53" i="4"/>
  <c r="H53" i="4"/>
  <c r="D51" i="4"/>
  <c r="E51" i="4"/>
  <c r="F51" i="4"/>
  <c r="G51" i="4"/>
  <c r="H51" i="4"/>
  <c r="C51" i="4"/>
  <c r="C49" i="4"/>
  <c r="D49" i="4"/>
  <c r="E49" i="4"/>
  <c r="F49" i="4"/>
  <c r="G49" i="4"/>
  <c r="H49" i="4"/>
  <c r="I49" i="4"/>
  <c r="C13" i="4"/>
  <c r="D13" i="4"/>
  <c r="E13" i="4"/>
  <c r="F13" i="4"/>
  <c r="G13" i="4"/>
  <c r="H13" i="4"/>
  <c r="I13" i="4"/>
  <c r="C62" i="4"/>
  <c r="D62" i="4"/>
  <c r="E62" i="4"/>
  <c r="F62" i="4"/>
  <c r="G62" i="4"/>
  <c r="H62" i="4"/>
  <c r="I62" i="4"/>
  <c r="B62" i="4"/>
  <c r="C63" i="4"/>
  <c r="D63" i="4"/>
  <c r="E63" i="4"/>
  <c r="F63" i="4"/>
  <c r="G63" i="4"/>
  <c r="H63" i="4"/>
  <c r="I63" i="4"/>
  <c r="B63" i="4"/>
  <c r="I51" i="4" l="1"/>
  <c r="I53" i="4" s="1"/>
  <c r="M31" i="3"/>
  <c r="N31" i="3" s="1"/>
  <c r="O31" i="3" s="1"/>
  <c r="C43" i="4"/>
  <c r="D43" i="4"/>
  <c r="E43" i="4"/>
  <c r="F43" i="4"/>
  <c r="G43" i="4"/>
  <c r="H43" i="4"/>
  <c r="I43" i="4"/>
  <c r="B43" i="4"/>
  <c r="C31" i="4"/>
  <c r="D31" i="4"/>
  <c r="E31" i="4"/>
  <c r="F31" i="4"/>
  <c r="G31" i="4"/>
  <c r="H31" i="4"/>
  <c r="B31" i="4"/>
  <c r="C66" i="4"/>
  <c r="D66" i="4"/>
  <c r="E66" i="4"/>
  <c r="F66" i="4"/>
  <c r="G66" i="4"/>
  <c r="H66" i="4"/>
  <c r="I66" i="4"/>
  <c r="B66" i="4"/>
  <c r="C94" i="1"/>
  <c r="C65" i="4"/>
  <c r="D65" i="4"/>
  <c r="E65" i="4"/>
  <c r="F65" i="4"/>
  <c r="G65" i="4"/>
  <c r="H65" i="4"/>
  <c r="I65" i="4"/>
  <c r="B65" i="4"/>
  <c r="C57" i="4"/>
  <c r="D57" i="4"/>
  <c r="E57" i="4"/>
  <c r="F57" i="4"/>
  <c r="G57" i="4"/>
  <c r="H57" i="4"/>
  <c r="I57" i="4"/>
  <c r="B57" i="4"/>
  <c r="D60" i="4"/>
  <c r="E60" i="4"/>
  <c r="F60" i="4"/>
  <c r="G60" i="4"/>
  <c r="H60" i="4"/>
  <c r="C60" i="4"/>
  <c r="C59" i="4"/>
  <c r="D59" i="4"/>
  <c r="E59" i="4"/>
  <c r="F59" i="4"/>
  <c r="G59" i="4"/>
  <c r="H59" i="4"/>
  <c r="I59" i="4"/>
  <c r="B59" i="4"/>
  <c r="C67" i="4"/>
  <c r="D67" i="4"/>
  <c r="E67" i="4"/>
  <c r="F67" i="4"/>
  <c r="G67" i="4"/>
  <c r="H67" i="4"/>
  <c r="I67" i="4"/>
  <c r="C68" i="4"/>
  <c r="D68" i="4"/>
  <c r="E68" i="4"/>
  <c r="F68" i="4"/>
  <c r="G68" i="4"/>
  <c r="H68" i="4"/>
  <c r="I68" i="4"/>
  <c r="B68" i="4"/>
  <c r="B67" i="4"/>
  <c r="C64" i="4"/>
  <c r="D64" i="4"/>
  <c r="E64" i="4"/>
  <c r="F64" i="4"/>
  <c r="G64" i="4"/>
  <c r="H64" i="4"/>
  <c r="I64" i="4"/>
  <c r="B64" i="4"/>
  <c r="C58" i="4"/>
  <c r="D58" i="4"/>
  <c r="E58" i="4"/>
  <c r="F58" i="4"/>
  <c r="G58" i="4"/>
  <c r="H58" i="4"/>
  <c r="I58" i="4"/>
  <c r="B58" i="4"/>
  <c r="C55" i="4"/>
  <c r="D55" i="4"/>
  <c r="E55" i="4"/>
  <c r="F55" i="4"/>
  <c r="G55" i="4"/>
  <c r="H55" i="4"/>
  <c r="I55" i="4"/>
  <c r="B55" i="4"/>
  <c r="C41" i="4"/>
  <c r="D41" i="4"/>
  <c r="E41" i="4"/>
  <c r="F41" i="4"/>
  <c r="G41" i="4"/>
  <c r="H41" i="4"/>
  <c r="I41" i="4"/>
  <c r="B41" i="4"/>
  <c r="C37" i="4"/>
  <c r="D37" i="4"/>
  <c r="E37" i="4"/>
  <c r="F37" i="4"/>
  <c r="G37" i="4"/>
  <c r="H37" i="4"/>
  <c r="I37" i="4"/>
  <c r="B37" i="4"/>
  <c r="I36" i="4"/>
  <c r="C36" i="4"/>
  <c r="D36" i="4"/>
  <c r="E36" i="4"/>
  <c r="F36" i="4"/>
  <c r="G36" i="4"/>
  <c r="H36" i="4"/>
  <c r="B36" i="4"/>
  <c r="C34" i="4"/>
  <c r="D34" i="4"/>
  <c r="E34" i="4"/>
  <c r="F34" i="4"/>
  <c r="G34" i="4"/>
  <c r="H34" i="4"/>
  <c r="I34" i="4"/>
  <c r="C33" i="4"/>
  <c r="D33" i="4"/>
  <c r="E33" i="4"/>
  <c r="F33" i="4"/>
  <c r="G33" i="4"/>
  <c r="H33" i="4"/>
  <c r="I33" i="4"/>
  <c r="B34" i="4"/>
  <c r="B33" i="4"/>
  <c r="C24" i="4"/>
  <c r="D24" i="4"/>
  <c r="E24" i="4"/>
  <c r="F24" i="4"/>
  <c r="G24" i="4"/>
  <c r="H24" i="4"/>
  <c r="B24" i="4"/>
  <c r="C23" i="4"/>
  <c r="D23" i="4"/>
  <c r="E23" i="4"/>
  <c r="F23" i="4"/>
  <c r="G23" i="4"/>
  <c r="H23" i="4"/>
  <c r="B23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C21" i="4"/>
  <c r="D21" i="4"/>
  <c r="E21" i="4"/>
  <c r="F21" i="4"/>
  <c r="G21" i="4"/>
  <c r="H21" i="4"/>
  <c r="I21" i="4"/>
  <c r="B21" i="4"/>
  <c r="C52" i="4"/>
  <c r="D52" i="4"/>
  <c r="E52" i="4"/>
  <c r="F52" i="4"/>
  <c r="G52" i="4"/>
  <c r="H52" i="4"/>
  <c r="I52" i="4"/>
  <c r="B52" i="4"/>
  <c r="C61" i="4"/>
  <c r="D61" i="4"/>
  <c r="E61" i="4"/>
  <c r="F61" i="4"/>
  <c r="G61" i="4"/>
  <c r="H61" i="4"/>
  <c r="I61" i="4"/>
  <c r="B61" i="4"/>
  <c r="C47" i="4"/>
  <c r="D47" i="4"/>
  <c r="E47" i="4"/>
  <c r="F47" i="4"/>
  <c r="G47" i="4"/>
  <c r="H47" i="4"/>
  <c r="I47" i="4"/>
  <c r="C46" i="4"/>
  <c r="D46" i="4"/>
  <c r="E46" i="4"/>
  <c r="F46" i="4"/>
  <c r="G46" i="4"/>
  <c r="H46" i="4"/>
  <c r="I46" i="4"/>
  <c r="B47" i="4"/>
  <c r="B46" i="4"/>
  <c r="C16" i="4"/>
  <c r="D16" i="4"/>
  <c r="E16" i="4"/>
  <c r="F16" i="4"/>
  <c r="G16" i="4"/>
  <c r="H16" i="4"/>
  <c r="B16" i="4"/>
  <c r="B15" i="4"/>
  <c r="C15" i="4"/>
  <c r="D15" i="4"/>
  <c r="E15" i="4"/>
  <c r="F15" i="4"/>
  <c r="G15" i="4"/>
  <c r="H15" i="4"/>
  <c r="I15" i="4"/>
  <c r="C20" i="1"/>
  <c r="C14" i="4"/>
  <c r="D14" i="4"/>
  <c r="E14" i="4"/>
  <c r="F14" i="4"/>
  <c r="G14" i="4"/>
  <c r="H14" i="4"/>
  <c r="B14" i="4"/>
  <c r="C11" i="4"/>
  <c r="D11" i="4"/>
  <c r="E11" i="4"/>
  <c r="F11" i="4"/>
  <c r="G11" i="4"/>
  <c r="H11" i="4"/>
  <c r="I11" i="4"/>
  <c r="B11" i="4"/>
  <c r="C5" i="4"/>
  <c r="D5" i="4"/>
  <c r="E5" i="4"/>
  <c r="F5" i="4"/>
  <c r="G5" i="4"/>
  <c r="H5" i="4"/>
  <c r="I5" i="4"/>
  <c r="B5" i="4"/>
  <c r="C10" i="4"/>
  <c r="D10" i="4"/>
  <c r="E10" i="4"/>
  <c r="F10" i="4"/>
  <c r="G10" i="4"/>
  <c r="H10" i="4"/>
  <c r="I10" i="4"/>
  <c r="B10" i="4"/>
  <c r="C6" i="4"/>
  <c r="D6" i="4"/>
  <c r="E6" i="4"/>
  <c r="F6" i="4"/>
  <c r="G6" i="4"/>
  <c r="H6" i="4"/>
  <c r="I6" i="4"/>
  <c r="B6" i="4"/>
  <c r="C12" i="4"/>
  <c r="D12" i="4"/>
  <c r="E12" i="4"/>
  <c r="F12" i="4"/>
  <c r="G12" i="4"/>
  <c r="H12" i="4"/>
  <c r="I12" i="4"/>
  <c r="B12" i="4"/>
  <c r="C9" i="4"/>
  <c r="D9" i="4"/>
  <c r="E9" i="4"/>
  <c r="F9" i="4"/>
  <c r="G9" i="4"/>
  <c r="H9" i="4"/>
  <c r="B9" i="4"/>
  <c r="D8" i="4"/>
  <c r="E8" i="4"/>
  <c r="F8" i="4"/>
  <c r="G8" i="4"/>
  <c r="H8" i="4"/>
  <c r="I8" i="4"/>
  <c r="C8" i="4"/>
  <c r="B8" i="4"/>
  <c r="C7" i="4"/>
  <c r="D7" i="4"/>
  <c r="E7" i="4"/>
  <c r="F7" i="4"/>
  <c r="G7" i="4"/>
  <c r="H7" i="4"/>
  <c r="I7" i="4"/>
  <c r="B7" i="4"/>
  <c r="D20" i="1"/>
  <c r="E20" i="1"/>
  <c r="F20" i="1"/>
  <c r="G20" i="1"/>
  <c r="H20" i="1"/>
  <c r="I20" i="1"/>
  <c r="J20" i="1"/>
  <c r="D4" i="4"/>
  <c r="E4" i="4"/>
  <c r="F4" i="4"/>
  <c r="G4" i="4"/>
  <c r="H4" i="4"/>
  <c r="C4" i="4"/>
  <c r="B4" i="4"/>
  <c r="C3" i="4"/>
  <c r="D3" i="4"/>
  <c r="E3" i="4"/>
  <c r="F3" i="4"/>
  <c r="G3" i="4"/>
  <c r="H3" i="4"/>
  <c r="B3" i="4"/>
  <c r="G1" i="4"/>
  <c r="F1" i="4" s="1"/>
  <c r="E1" i="4" s="1"/>
  <c r="D1" i="4" s="1"/>
  <c r="C1" i="4" s="1"/>
  <c r="B1" i="4" s="1"/>
  <c r="H1" i="4"/>
  <c r="J1" i="4"/>
  <c r="K1" i="4" s="1"/>
  <c r="L1" i="4" s="1"/>
  <c r="M1" i="4" s="1"/>
  <c r="N1" i="4" s="1"/>
  <c r="D195" i="3"/>
  <c r="E195" i="3"/>
  <c r="F195" i="3"/>
  <c r="F197" i="3" s="1"/>
  <c r="G195" i="3"/>
  <c r="G197" i="3" s="1"/>
  <c r="H195" i="3"/>
  <c r="I195" i="3"/>
  <c r="J195" i="3"/>
  <c r="C195" i="3"/>
  <c r="D176" i="3"/>
  <c r="E176" i="3"/>
  <c r="F176" i="3"/>
  <c r="F14" i="3" s="1"/>
  <c r="G176" i="3"/>
  <c r="H177" i="3" s="1"/>
  <c r="H176" i="3"/>
  <c r="I176" i="3"/>
  <c r="J176" i="3"/>
  <c r="J178" i="3" s="1"/>
  <c r="K178" i="3" s="1"/>
  <c r="L178" i="3" s="1"/>
  <c r="M178" i="3" s="1"/>
  <c r="N178" i="3" s="1"/>
  <c r="O178" i="3" s="1"/>
  <c r="C176" i="3"/>
  <c r="C159" i="3"/>
  <c r="D157" i="3"/>
  <c r="E157" i="3"/>
  <c r="F157" i="3"/>
  <c r="G157" i="3"/>
  <c r="H158" i="3" s="1"/>
  <c r="H157" i="3"/>
  <c r="I157" i="3"/>
  <c r="J157" i="3"/>
  <c r="J14" i="3" s="1"/>
  <c r="C157" i="3"/>
  <c r="D138" i="3"/>
  <c r="E138" i="3"/>
  <c r="F138" i="3"/>
  <c r="G138" i="3"/>
  <c r="G139" i="3" s="1"/>
  <c r="H138" i="3"/>
  <c r="I138" i="3"/>
  <c r="J138" i="3"/>
  <c r="C138" i="3"/>
  <c r="I107" i="3"/>
  <c r="J107" i="3"/>
  <c r="D107" i="3"/>
  <c r="D14" i="3" s="1"/>
  <c r="E107" i="3"/>
  <c r="F107" i="3"/>
  <c r="G107" i="3"/>
  <c r="H107" i="3"/>
  <c r="H14" i="3" s="1"/>
  <c r="C107" i="3"/>
  <c r="C14" i="3" s="1"/>
  <c r="C78" i="3"/>
  <c r="D76" i="3"/>
  <c r="E76" i="3"/>
  <c r="F76" i="3"/>
  <c r="G76" i="3"/>
  <c r="H76" i="3"/>
  <c r="I76" i="3"/>
  <c r="J76" i="3"/>
  <c r="C76" i="3"/>
  <c r="D45" i="3"/>
  <c r="E45" i="3"/>
  <c r="F45" i="3"/>
  <c r="G45" i="3"/>
  <c r="H45" i="3"/>
  <c r="I45" i="3"/>
  <c r="J45" i="3"/>
  <c r="C45" i="3"/>
  <c r="B1" i="3"/>
  <c r="C69" i="3"/>
  <c r="D69" i="3"/>
  <c r="E69" i="3"/>
  <c r="F69" i="3"/>
  <c r="F8" i="3" s="1"/>
  <c r="G69" i="3"/>
  <c r="H69" i="3"/>
  <c r="I69" i="3"/>
  <c r="J69" i="3"/>
  <c r="J72" i="3" s="1"/>
  <c r="B69" i="3"/>
  <c r="C8" i="3"/>
  <c r="B11" i="3"/>
  <c r="D11" i="3"/>
  <c r="E11" i="3"/>
  <c r="F11" i="3"/>
  <c r="G11" i="3"/>
  <c r="H11" i="3"/>
  <c r="I11" i="3"/>
  <c r="J11" i="3"/>
  <c r="C11" i="3"/>
  <c r="C12" i="3" s="1"/>
  <c r="C79" i="3"/>
  <c r="D79" i="3"/>
  <c r="E79" i="3"/>
  <c r="F79" i="3"/>
  <c r="G80" i="3" s="1"/>
  <c r="G79" i="3"/>
  <c r="H79" i="3"/>
  <c r="I79" i="3"/>
  <c r="J79" i="3"/>
  <c r="B79" i="3"/>
  <c r="C17" i="3"/>
  <c r="C143" i="1"/>
  <c r="C18" i="3"/>
  <c r="B17" i="3"/>
  <c r="D17" i="3"/>
  <c r="E17" i="3"/>
  <c r="F17" i="3"/>
  <c r="G17" i="3"/>
  <c r="H17" i="3"/>
  <c r="I17" i="3"/>
  <c r="J17" i="3"/>
  <c r="B14" i="3"/>
  <c r="E14" i="3"/>
  <c r="I14" i="3"/>
  <c r="B8" i="3"/>
  <c r="D8" i="3"/>
  <c r="E8" i="3"/>
  <c r="G8" i="3"/>
  <c r="H8" i="3"/>
  <c r="I8" i="3"/>
  <c r="C4" i="3"/>
  <c r="D3" i="3"/>
  <c r="E3" i="3"/>
  <c r="F3" i="3"/>
  <c r="G3" i="3"/>
  <c r="H3" i="3"/>
  <c r="I3" i="3"/>
  <c r="B3" i="3"/>
  <c r="C3" i="3"/>
  <c r="D187" i="3"/>
  <c r="E187" i="3"/>
  <c r="F187" i="3"/>
  <c r="G187" i="3"/>
  <c r="H187" i="3"/>
  <c r="I187" i="3"/>
  <c r="C187" i="3"/>
  <c r="D190" i="3"/>
  <c r="E190" i="3"/>
  <c r="F190" i="3"/>
  <c r="G190" i="3"/>
  <c r="H190" i="3"/>
  <c r="I190" i="3"/>
  <c r="C190" i="3"/>
  <c r="C191" i="3"/>
  <c r="D194" i="3"/>
  <c r="E194" i="3"/>
  <c r="F194" i="3"/>
  <c r="G194" i="3"/>
  <c r="H194" i="3"/>
  <c r="I194" i="3"/>
  <c r="C194" i="3"/>
  <c r="D197" i="3"/>
  <c r="E197" i="3"/>
  <c r="H197" i="3"/>
  <c r="I197" i="3"/>
  <c r="C197" i="3"/>
  <c r="D200" i="3"/>
  <c r="E200" i="3"/>
  <c r="F200" i="3"/>
  <c r="G200" i="3"/>
  <c r="H200" i="3"/>
  <c r="I200" i="3"/>
  <c r="C200" i="3"/>
  <c r="C198" i="3"/>
  <c r="D198" i="3"/>
  <c r="E198" i="3"/>
  <c r="F198" i="3"/>
  <c r="G198" i="3"/>
  <c r="H198" i="3"/>
  <c r="I198" i="3"/>
  <c r="J198" i="3"/>
  <c r="B198" i="3"/>
  <c r="C192" i="3"/>
  <c r="D192" i="3"/>
  <c r="D193" i="3" s="1"/>
  <c r="E192" i="3"/>
  <c r="F192" i="3"/>
  <c r="G192" i="3"/>
  <c r="H192" i="3"/>
  <c r="H193" i="3" s="1"/>
  <c r="I192" i="3"/>
  <c r="J192" i="3"/>
  <c r="B192" i="3"/>
  <c r="B185" i="3" s="1"/>
  <c r="C188" i="3"/>
  <c r="D188" i="3"/>
  <c r="E188" i="3"/>
  <c r="F188" i="3"/>
  <c r="G188" i="3"/>
  <c r="H188" i="3"/>
  <c r="I188" i="3"/>
  <c r="J188" i="3"/>
  <c r="B188" i="3"/>
  <c r="C183" i="3"/>
  <c r="D183" i="3"/>
  <c r="D184" i="3" s="1"/>
  <c r="E183" i="3"/>
  <c r="F183" i="3"/>
  <c r="F184" i="3" s="1"/>
  <c r="G183" i="3"/>
  <c r="H183" i="3"/>
  <c r="H184" i="3" s="1"/>
  <c r="I183" i="3"/>
  <c r="B183" i="3"/>
  <c r="H199" i="3"/>
  <c r="D199" i="3"/>
  <c r="D196" i="3"/>
  <c r="I189" i="3"/>
  <c r="G191" i="3"/>
  <c r="E189" i="3"/>
  <c r="I185" i="3"/>
  <c r="G185" i="3"/>
  <c r="E185" i="3"/>
  <c r="C185" i="3"/>
  <c r="I184" i="3"/>
  <c r="E184" i="3"/>
  <c r="D181" i="3"/>
  <c r="E181" i="3"/>
  <c r="F181" i="3"/>
  <c r="G181" i="3"/>
  <c r="H181" i="3"/>
  <c r="I181" i="3"/>
  <c r="J181" i="3"/>
  <c r="C181" i="3"/>
  <c r="D178" i="3"/>
  <c r="E178" i="3"/>
  <c r="H178" i="3"/>
  <c r="I178" i="3"/>
  <c r="C178" i="3"/>
  <c r="D175" i="3"/>
  <c r="E175" i="3"/>
  <c r="F175" i="3"/>
  <c r="G175" i="3"/>
  <c r="H175" i="3"/>
  <c r="I175" i="3"/>
  <c r="J175" i="3"/>
  <c r="C175" i="3"/>
  <c r="C172" i="3"/>
  <c r="D171" i="3"/>
  <c r="E171" i="3"/>
  <c r="F171" i="3"/>
  <c r="G171" i="3"/>
  <c r="H171" i="3"/>
  <c r="I171" i="3"/>
  <c r="J171" i="3"/>
  <c r="C171" i="3"/>
  <c r="C164" i="3"/>
  <c r="D164" i="3"/>
  <c r="E164" i="3"/>
  <c r="F164" i="3"/>
  <c r="F165" i="3" s="1"/>
  <c r="G164" i="3"/>
  <c r="H164" i="3"/>
  <c r="I164" i="3"/>
  <c r="J164" i="3"/>
  <c r="B164" i="3"/>
  <c r="D168" i="3"/>
  <c r="E168" i="3"/>
  <c r="F168" i="3"/>
  <c r="G168" i="3"/>
  <c r="H168" i="3"/>
  <c r="I168" i="3"/>
  <c r="J168" i="3"/>
  <c r="C168" i="3"/>
  <c r="C167" i="3"/>
  <c r="C179" i="3"/>
  <c r="D179" i="3"/>
  <c r="E179" i="3"/>
  <c r="F179" i="3"/>
  <c r="G179" i="3"/>
  <c r="H179" i="3"/>
  <c r="I179" i="3"/>
  <c r="J179" i="3"/>
  <c r="J172" i="3" s="1"/>
  <c r="K172" i="3" s="1"/>
  <c r="B179" i="3"/>
  <c r="C173" i="3"/>
  <c r="D173" i="3"/>
  <c r="E173" i="3"/>
  <c r="E174" i="3" s="1"/>
  <c r="F173" i="3"/>
  <c r="G173" i="3"/>
  <c r="H173" i="3"/>
  <c r="I173" i="3"/>
  <c r="J173" i="3"/>
  <c r="B173" i="3"/>
  <c r="C169" i="3"/>
  <c r="D169" i="3"/>
  <c r="E169" i="3"/>
  <c r="F169" i="3"/>
  <c r="F170" i="3" s="1"/>
  <c r="G169" i="3"/>
  <c r="H169" i="3"/>
  <c r="I169" i="3"/>
  <c r="I170" i="3" s="1"/>
  <c r="J169" i="3"/>
  <c r="J170" i="3" s="1"/>
  <c r="B169" i="3"/>
  <c r="J165" i="3"/>
  <c r="I180" i="3"/>
  <c r="E180" i="3"/>
  <c r="H180" i="3"/>
  <c r="D180" i="3"/>
  <c r="E177" i="3"/>
  <c r="D177" i="3"/>
  <c r="I174" i="3"/>
  <c r="H174" i="3"/>
  <c r="D174" i="3"/>
  <c r="B166" i="3"/>
  <c r="H172" i="3"/>
  <c r="D172" i="3"/>
  <c r="G172" i="3"/>
  <c r="F172" i="3"/>
  <c r="H166" i="3"/>
  <c r="G166" i="3"/>
  <c r="D166" i="3"/>
  <c r="C166" i="3"/>
  <c r="I165" i="3"/>
  <c r="E165" i="3"/>
  <c r="H165" i="3"/>
  <c r="D165" i="3"/>
  <c r="C165" i="3"/>
  <c r="F162" i="3"/>
  <c r="J162" i="3"/>
  <c r="F159" i="3"/>
  <c r="J159" i="3"/>
  <c r="F156" i="3"/>
  <c r="J156" i="3"/>
  <c r="K156" i="3" s="1"/>
  <c r="H152" i="3"/>
  <c r="C160" i="3"/>
  <c r="D160" i="3"/>
  <c r="D162" i="3" s="1"/>
  <c r="E160" i="3"/>
  <c r="E162" i="3" s="1"/>
  <c r="F160" i="3"/>
  <c r="G160" i="3"/>
  <c r="H160" i="3"/>
  <c r="H162" i="3" s="1"/>
  <c r="I160" i="3"/>
  <c r="I162" i="3" s="1"/>
  <c r="J160" i="3"/>
  <c r="B160" i="3"/>
  <c r="D159" i="3"/>
  <c r="E159" i="3"/>
  <c r="H159" i="3"/>
  <c r="I159" i="3"/>
  <c r="C154" i="3"/>
  <c r="D154" i="3"/>
  <c r="D156" i="3" s="1"/>
  <c r="E154" i="3"/>
  <c r="F154" i="3"/>
  <c r="G154" i="3"/>
  <c r="H154" i="3"/>
  <c r="H156" i="3" s="1"/>
  <c r="I154" i="3"/>
  <c r="J154" i="3"/>
  <c r="B154" i="3"/>
  <c r="C150" i="3"/>
  <c r="C153" i="3" s="1"/>
  <c r="D150" i="3"/>
  <c r="D152" i="3" s="1"/>
  <c r="E150" i="3"/>
  <c r="E152" i="3" s="1"/>
  <c r="F150" i="3"/>
  <c r="F152" i="3" s="1"/>
  <c r="G150" i="3"/>
  <c r="G152" i="3" s="1"/>
  <c r="H150" i="3"/>
  <c r="I150" i="3"/>
  <c r="I152" i="3" s="1"/>
  <c r="J150" i="3"/>
  <c r="J152" i="3" s="1"/>
  <c r="B150" i="3"/>
  <c r="B147" i="3" s="1"/>
  <c r="C145" i="3"/>
  <c r="D146" i="3" s="1"/>
  <c r="D145" i="3"/>
  <c r="E145" i="3"/>
  <c r="F145" i="3"/>
  <c r="G145" i="3"/>
  <c r="H145" i="3"/>
  <c r="I145" i="3"/>
  <c r="J145" i="3"/>
  <c r="B145" i="3"/>
  <c r="D158" i="3"/>
  <c r="H155" i="3"/>
  <c r="D155" i="3"/>
  <c r="G153" i="3"/>
  <c r="G147" i="3"/>
  <c r="C147" i="3"/>
  <c r="H146" i="3"/>
  <c r="F140" i="3"/>
  <c r="F143" i="3"/>
  <c r="C141" i="3"/>
  <c r="D141" i="3"/>
  <c r="E141" i="3"/>
  <c r="F141" i="3"/>
  <c r="G141" i="3"/>
  <c r="H141" i="3"/>
  <c r="I141" i="3"/>
  <c r="J141" i="3"/>
  <c r="B141" i="3"/>
  <c r="C131" i="3"/>
  <c r="C132" i="3" s="1"/>
  <c r="D131" i="3"/>
  <c r="E131" i="3"/>
  <c r="F131" i="3"/>
  <c r="F133" i="3" s="1"/>
  <c r="G131" i="3"/>
  <c r="H131" i="3"/>
  <c r="I131" i="3"/>
  <c r="J131" i="3"/>
  <c r="B131" i="3"/>
  <c r="C135" i="3"/>
  <c r="D135" i="3"/>
  <c r="E135" i="3"/>
  <c r="F135" i="3"/>
  <c r="F137" i="3" s="1"/>
  <c r="G135" i="3"/>
  <c r="H135" i="3"/>
  <c r="I135" i="3"/>
  <c r="J135" i="3"/>
  <c r="B135" i="3"/>
  <c r="C124" i="3"/>
  <c r="D124" i="3"/>
  <c r="E124" i="3"/>
  <c r="F124" i="3"/>
  <c r="G124" i="3"/>
  <c r="H124" i="3"/>
  <c r="I124" i="3"/>
  <c r="J124" i="3"/>
  <c r="C120" i="3"/>
  <c r="C122" i="3" s="1"/>
  <c r="D120" i="3"/>
  <c r="E120" i="3"/>
  <c r="F120" i="3"/>
  <c r="G120" i="3"/>
  <c r="H120" i="3"/>
  <c r="I120" i="3"/>
  <c r="J120" i="3"/>
  <c r="J122" i="3" s="1"/>
  <c r="C116" i="3"/>
  <c r="D116" i="3"/>
  <c r="E116" i="3"/>
  <c r="F116" i="3"/>
  <c r="F114" i="3" s="1"/>
  <c r="G116" i="3"/>
  <c r="H116" i="3"/>
  <c r="I116" i="3"/>
  <c r="J116" i="3"/>
  <c r="J118" i="3" s="1"/>
  <c r="B124" i="3"/>
  <c r="C126" i="3" s="1"/>
  <c r="B120" i="3"/>
  <c r="B116" i="3"/>
  <c r="A82" i="3"/>
  <c r="H142" i="3"/>
  <c r="H132" i="3"/>
  <c r="E134" i="3"/>
  <c r="D132" i="3"/>
  <c r="G128" i="3"/>
  <c r="C128" i="3"/>
  <c r="L127" i="3"/>
  <c r="M127" i="3" s="1"/>
  <c r="N127" i="3" s="1"/>
  <c r="O127" i="3" s="1"/>
  <c r="L126" i="3"/>
  <c r="M126" i="3" s="1"/>
  <c r="H126" i="3"/>
  <c r="O123" i="3"/>
  <c r="L123" i="3"/>
  <c r="M123" i="3" s="1"/>
  <c r="N123" i="3" s="1"/>
  <c r="M122" i="3"/>
  <c r="L122" i="3"/>
  <c r="J121" i="3"/>
  <c r="L119" i="3"/>
  <c r="M119" i="3" s="1"/>
  <c r="N119" i="3" s="1"/>
  <c r="O119" i="3" s="1"/>
  <c r="L118" i="3"/>
  <c r="I118" i="3"/>
  <c r="E118" i="3"/>
  <c r="K116" i="3"/>
  <c r="I117" i="3"/>
  <c r="E117" i="3"/>
  <c r="B114" i="3"/>
  <c r="H109" i="3"/>
  <c r="C110" i="3"/>
  <c r="D110" i="3"/>
  <c r="E110" i="3"/>
  <c r="F110" i="3"/>
  <c r="G110" i="3"/>
  <c r="H110" i="3"/>
  <c r="I110" i="3"/>
  <c r="J110" i="3"/>
  <c r="B110" i="3"/>
  <c r="I108" i="3"/>
  <c r="C103" i="3"/>
  <c r="C100" i="3"/>
  <c r="D100" i="3"/>
  <c r="E100" i="3"/>
  <c r="F100" i="3"/>
  <c r="F101" i="3" s="1"/>
  <c r="G100" i="3"/>
  <c r="H100" i="3"/>
  <c r="I100" i="3"/>
  <c r="J100" i="3"/>
  <c r="B100" i="3"/>
  <c r="C104" i="3"/>
  <c r="D104" i="3"/>
  <c r="E104" i="3"/>
  <c r="F104" i="3"/>
  <c r="G104" i="3"/>
  <c r="H104" i="3"/>
  <c r="I104" i="3"/>
  <c r="J104" i="3"/>
  <c r="J97" i="3" s="1"/>
  <c r="B104" i="3"/>
  <c r="C93" i="3"/>
  <c r="D93" i="3"/>
  <c r="E93" i="3"/>
  <c r="F93" i="3"/>
  <c r="G93" i="3"/>
  <c r="H93" i="3"/>
  <c r="I93" i="3"/>
  <c r="J93" i="3"/>
  <c r="C89" i="3"/>
  <c r="D89" i="3"/>
  <c r="E89" i="3"/>
  <c r="F89" i="3"/>
  <c r="G89" i="3"/>
  <c r="H89" i="3"/>
  <c r="I89" i="3"/>
  <c r="J89" i="3"/>
  <c r="C85" i="3"/>
  <c r="D85" i="3"/>
  <c r="E85" i="3"/>
  <c r="F85" i="3"/>
  <c r="G85" i="3"/>
  <c r="H85" i="3"/>
  <c r="I85" i="3"/>
  <c r="J85" i="3"/>
  <c r="J87" i="3" s="1"/>
  <c r="B93" i="3"/>
  <c r="B89" i="3"/>
  <c r="B85" i="3"/>
  <c r="E111" i="3"/>
  <c r="H111" i="3"/>
  <c r="D111" i="3"/>
  <c r="H105" i="3"/>
  <c r="D105" i="3"/>
  <c r="B97" i="3"/>
  <c r="D103" i="3"/>
  <c r="D97" i="3"/>
  <c r="H97" i="3"/>
  <c r="G97" i="3"/>
  <c r="L96" i="3"/>
  <c r="M96" i="3" s="1"/>
  <c r="N96" i="3" s="1"/>
  <c r="O96" i="3" s="1"/>
  <c r="M95" i="3"/>
  <c r="N95" i="3" s="1"/>
  <c r="L95" i="3"/>
  <c r="K93" i="3"/>
  <c r="L92" i="3"/>
  <c r="M92" i="3" s="1"/>
  <c r="N92" i="3" s="1"/>
  <c r="O92" i="3" s="1"/>
  <c r="L91" i="3"/>
  <c r="I91" i="3"/>
  <c r="E91" i="3"/>
  <c r="L88" i="3"/>
  <c r="M88" i="3" s="1"/>
  <c r="N88" i="3" s="1"/>
  <c r="O88" i="3" s="1"/>
  <c r="L87" i="3"/>
  <c r="M87" i="3" s="1"/>
  <c r="H83" i="3"/>
  <c r="H112" i="3" s="1"/>
  <c r="B153" i="1"/>
  <c r="B150" i="1"/>
  <c r="B148" i="1"/>
  <c r="B164" i="1"/>
  <c r="B161" i="1"/>
  <c r="B159" i="1"/>
  <c r="B157" i="1"/>
  <c r="B175" i="1"/>
  <c r="B172" i="1"/>
  <c r="B170" i="1"/>
  <c r="C142" i="1"/>
  <c r="B142" i="1"/>
  <c r="B139" i="1"/>
  <c r="B137" i="1"/>
  <c r="C72" i="3"/>
  <c r="C73" i="3"/>
  <c r="D73" i="3"/>
  <c r="E73" i="3"/>
  <c r="F73" i="3"/>
  <c r="G73" i="3"/>
  <c r="H73" i="3"/>
  <c r="I73" i="3"/>
  <c r="J73" i="3"/>
  <c r="B73" i="3"/>
  <c r="E72" i="3"/>
  <c r="H72" i="3"/>
  <c r="D72" i="3"/>
  <c r="E64" i="3"/>
  <c r="C185" i="1"/>
  <c r="C183" i="1"/>
  <c r="J62" i="3"/>
  <c r="J54" i="3"/>
  <c r="J56" i="3" s="1"/>
  <c r="D52" i="3"/>
  <c r="D75" i="3" s="1"/>
  <c r="E52" i="3"/>
  <c r="E75" i="3" s="1"/>
  <c r="H52" i="3"/>
  <c r="H78" i="3" s="1"/>
  <c r="I52" i="3"/>
  <c r="I75" i="3" s="1"/>
  <c r="C62" i="3"/>
  <c r="D62" i="3"/>
  <c r="D64" i="3" s="1"/>
  <c r="E62" i="3"/>
  <c r="F62" i="3"/>
  <c r="F64" i="3" s="1"/>
  <c r="G62" i="3"/>
  <c r="H62" i="3"/>
  <c r="H64" i="3" s="1"/>
  <c r="I62" i="3"/>
  <c r="I64" i="3" s="1"/>
  <c r="C58" i="3"/>
  <c r="C60" i="3" s="1"/>
  <c r="D58" i="3"/>
  <c r="D60" i="3" s="1"/>
  <c r="E58" i="3"/>
  <c r="E60" i="3" s="1"/>
  <c r="F58" i="3"/>
  <c r="F60" i="3" s="1"/>
  <c r="G58" i="3"/>
  <c r="G60" i="3" s="1"/>
  <c r="H58" i="3"/>
  <c r="I58" i="3"/>
  <c r="I60" i="3" s="1"/>
  <c r="J58" i="3"/>
  <c r="J60" i="3" s="1"/>
  <c r="C54" i="3"/>
  <c r="D54" i="3"/>
  <c r="E54" i="3"/>
  <c r="E56" i="3" s="1"/>
  <c r="F54" i="3"/>
  <c r="F56" i="3" s="1"/>
  <c r="G54" i="3"/>
  <c r="G56" i="3" s="1"/>
  <c r="H54" i="3"/>
  <c r="H56" i="3" s="1"/>
  <c r="I54" i="3"/>
  <c r="I56" i="3" s="1"/>
  <c r="B62" i="3"/>
  <c r="B52" i="3" s="1"/>
  <c r="B58" i="3"/>
  <c r="B54" i="3"/>
  <c r="H196" i="3" l="1"/>
  <c r="G178" i="3"/>
  <c r="F178" i="3"/>
  <c r="H108" i="3"/>
  <c r="D108" i="3"/>
  <c r="G14" i="3"/>
  <c r="C15" i="3"/>
  <c r="F72" i="3"/>
  <c r="J8" i="3"/>
  <c r="C9" i="3"/>
  <c r="J191" i="3"/>
  <c r="K191" i="3" s="1"/>
  <c r="F191" i="3"/>
  <c r="H185" i="3"/>
  <c r="D185" i="3"/>
  <c r="E186" i="3"/>
  <c r="I186" i="3"/>
  <c r="F185" i="3"/>
  <c r="G184" i="3"/>
  <c r="C184" i="3"/>
  <c r="L191" i="3"/>
  <c r="F189" i="3"/>
  <c r="J189" i="3"/>
  <c r="D191" i="3"/>
  <c r="H191" i="3"/>
  <c r="E193" i="3"/>
  <c r="I193" i="3"/>
  <c r="E196" i="3"/>
  <c r="I196" i="3"/>
  <c r="E199" i="3"/>
  <c r="I199" i="3"/>
  <c r="C186" i="3"/>
  <c r="G186" i="3"/>
  <c r="C189" i="3"/>
  <c r="G189" i="3"/>
  <c r="E191" i="3"/>
  <c r="I191" i="3"/>
  <c r="F193" i="3"/>
  <c r="J193" i="3"/>
  <c r="F196" i="3"/>
  <c r="J196" i="3"/>
  <c r="F199" i="3"/>
  <c r="J199" i="3"/>
  <c r="D186" i="3"/>
  <c r="H186" i="3"/>
  <c r="D189" i="3"/>
  <c r="H189" i="3"/>
  <c r="C193" i="3"/>
  <c r="G193" i="3"/>
  <c r="C196" i="3"/>
  <c r="G196" i="3"/>
  <c r="C199" i="3"/>
  <c r="G199" i="3"/>
  <c r="G165" i="3"/>
  <c r="I177" i="3"/>
  <c r="K181" i="3"/>
  <c r="L181" i="3" s="1"/>
  <c r="M181" i="3" s="1"/>
  <c r="N181" i="3" s="1"/>
  <c r="O181" i="3" s="1"/>
  <c r="I166" i="3"/>
  <c r="E166" i="3"/>
  <c r="E170" i="3"/>
  <c r="F166" i="3"/>
  <c r="G167" i="3" s="1"/>
  <c r="J166" i="3"/>
  <c r="J167" i="3"/>
  <c r="K168" i="3"/>
  <c r="L168" i="3" s="1"/>
  <c r="M168" i="3" s="1"/>
  <c r="N168" i="3" s="1"/>
  <c r="O168" i="3" s="1"/>
  <c r="L172" i="3"/>
  <c r="C170" i="3"/>
  <c r="G170" i="3"/>
  <c r="E172" i="3"/>
  <c r="I172" i="3"/>
  <c r="F174" i="3"/>
  <c r="J174" i="3"/>
  <c r="F177" i="3"/>
  <c r="J177" i="3"/>
  <c r="F180" i="3"/>
  <c r="J180" i="3"/>
  <c r="D167" i="3"/>
  <c r="H167" i="3"/>
  <c r="D170" i="3"/>
  <c r="H170" i="3"/>
  <c r="C174" i="3"/>
  <c r="G174" i="3"/>
  <c r="K175" i="3"/>
  <c r="C177" i="3"/>
  <c r="G177" i="3"/>
  <c r="C180" i="3"/>
  <c r="G180" i="3"/>
  <c r="C56" i="3"/>
  <c r="C55" i="3"/>
  <c r="C106" i="3"/>
  <c r="C112" i="3"/>
  <c r="D140" i="3"/>
  <c r="I78" i="3"/>
  <c r="M91" i="3"/>
  <c r="N91" i="3" s="1"/>
  <c r="O91" i="3" s="1"/>
  <c r="J99" i="3"/>
  <c r="F106" i="3"/>
  <c r="F112" i="3"/>
  <c r="N122" i="3"/>
  <c r="O122" i="3" s="1"/>
  <c r="G125" i="3"/>
  <c r="G127" i="3" s="1"/>
  <c r="H125" i="3"/>
  <c r="H127" i="3" s="1"/>
  <c r="D126" i="3"/>
  <c r="D125" i="3"/>
  <c r="C125" i="3"/>
  <c r="H137" i="3"/>
  <c r="H136" i="3"/>
  <c r="H128" i="3"/>
  <c r="D137" i="3"/>
  <c r="D136" i="3"/>
  <c r="I132" i="3"/>
  <c r="E133" i="3"/>
  <c r="E132" i="3"/>
  <c r="D142" i="3"/>
  <c r="C142" i="3"/>
  <c r="H139" i="3"/>
  <c r="C140" i="3"/>
  <c r="C139" i="3"/>
  <c r="D139" i="3"/>
  <c r="G156" i="3"/>
  <c r="C156" i="3"/>
  <c r="J109" i="3"/>
  <c r="K109" i="3" s="1"/>
  <c r="L109" i="3" s="1"/>
  <c r="M109" i="3" s="1"/>
  <c r="N109" i="3" s="1"/>
  <c r="O109" i="3" s="1"/>
  <c r="J63" i="3"/>
  <c r="J64" i="3"/>
  <c r="H60" i="3"/>
  <c r="G52" i="3"/>
  <c r="C52" i="3"/>
  <c r="C81" i="3" s="1"/>
  <c r="E78" i="3"/>
  <c r="H99" i="3"/>
  <c r="H95" i="3"/>
  <c r="I95" i="3"/>
  <c r="I94" i="3"/>
  <c r="E95" i="3"/>
  <c r="E94" i="3"/>
  <c r="E96" i="3" s="1"/>
  <c r="I105" i="3"/>
  <c r="J105" i="3"/>
  <c r="J101" i="3"/>
  <c r="I111" i="3"/>
  <c r="C121" i="3"/>
  <c r="D128" i="3"/>
  <c r="G159" i="3"/>
  <c r="D56" i="3"/>
  <c r="I137" i="3"/>
  <c r="H75" i="3"/>
  <c r="G64" i="3"/>
  <c r="C64" i="3"/>
  <c r="C63" i="3"/>
  <c r="F52" i="3"/>
  <c r="F78" i="3" s="1"/>
  <c r="D78" i="3"/>
  <c r="L93" i="3"/>
  <c r="G87" i="3"/>
  <c r="H87" i="3"/>
  <c r="C87" i="3"/>
  <c r="C86" i="3"/>
  <c r="D87" i="3"/>
  <c r="H91" i="3"/>
  <c r="H90" i="3"/>
  <c r="D91" i="3"/>
  <c r="D90" i="3"/>
  <c r="D92" i="3" s="1"/>
  <c r="C90" i="3"/>
  <c r="H106" i="3"/>
  <c r="C109" i="3"/>
  <c r="M118" i="3"/>
  <c r="M117" i="3" s="1"/>
  <c r="L117" i="3"/>
  <c r="G130" i="3"/>
  <c r="G134" i="3"/>
  <c r="E143" i="3"/>
  <c r="G149" i="3"/>
  <c r="I151" i="3"/>
  <c r="H147" i="3"/>
  <c r="H149" i="3" s="1"/>
  <c r="E151" i="3"/>
  <c r="D147" i="3"/>
  <c r="D149" i="3" s="1"/>
  <c r="I147" i="3"/>
  <c r="I149" i="3" s="1"/>
  <c r="I156" i="3"/>
  <c r="E147" i="3"/>
  <c r="E149" i="3" s="1"/>
  <c r="E156" i="3"/>
  <c r="K159" i="3"/>
  <c r="L159" i="3" s="1"/>
  <c r="M159" i="3" s="1"/>
  <c r="N159" i="3" s="1"/>
  <c r="O159" i="3" s="1"/>
  <c r="G162" i="3"/>
  <c r="H161" i="3"/>
  <c r="C162" i="3"/>
  <c r="D161" i="3"/>
  <c r="D81" i="3"/>
  <c r="H81" i="3"/>
  <c r="G86" i="3"/>
  <c r="G88" i="3" s="1"/>
  <c r="G91" i="3"/>
  <c r="I103" i="3"/>
  <c r="E103" i="3"/>
  <c r="J106" i="3"/>
  <c r="G122" i="3"/>
  <c r="K124" i="3"/>
  <c r="L124" i="3" s="1"/>
  <c r="G126" i="3"/>
  <c r="C134" i="3"/>
  <c r="C149" i="3"/>
  <c r="K162" i="3"/>
  <c r="L162" i="3" s="1"/>
  <c r="M162" i="3" s="1"/>
  <c r="N162" i="3" s="1"/>
  <c r="O162" i="3" s="1"/>
  <c r="C152" i="3"/>
  <c r="C151" i="3"/>
  <c r="E81" i="3"/>
  <c r="I81" i="3"/>
  <c r="J95" i="3"/>
  <c r="F94" i="3"/>
  <c r="H98" i="3"/>
  <c r="I134" i="3"/>
  <c r="K120" i="3"/>
  <c r="K114" i="3" s="1"/>
  <c r="F81" i="3"/>
  <c r="E108" i="3"/>
  <c r="J153" i="3"/>
  <c r="K153" i="3" s="1"/>
  <c r="F153" i="3"/>
  <c r="F147" i="3"/>
  <c r="F149" i="3" s="1"/>
  <c r="J147" i="3"/>
  <c r="I146" i="3"/>
  <c r="F146" i="3"/>
  <c r="J146" i="3"/>
  <c r="E146" i="3"/>
  <c r="C146" i="3"/>
  <c r="G146" i="3"/>
  <c r="L153" i="3"/>
  <c r="J148" i="3"/>
  <c r="F151" i="3"/>
  <c r="J151" i="3"/>
  <c r="D153" i="3"/>
  <c r="H153" i="3"/>
  <c r="E155" i="3"/>
  <c r="I155" i="3"/>
  <c r="E158" i="3"/>
  <c r="I158" i="3"/>
  <c r="E161" i="3"/>
  <c r="I161" i="3"/>
  <c r="C148" i="3"/>
  <c r="G151" i="3"/>
  <c r="E153" i="3"/>
  <c r="I153" i="3"/>
  <c r="F155" i="3"/>
  <c r="J155" i="3"/>
  <c r="F158" i="3"/>
  <c r="J158" i="3"/>
  <c r="F161" i="3"/>
  <c r="J161" i="3"/>
  <c r="H148" i="3"/>
  <c r="D151" i="3"/>
  <c r="H151" i="3"/>
  <c r="C155" i="3"/>
  <c r="G155" i="3"/>
  <c r="C158" i="3"/>
  <c r="G158" i="3"/>
  <c r="C161" i="3"/>
  <c r="G161" i="3"/>
  <c r="J128" i="3"/>
  <c r="F128" i="3"/>
  <c r="F130" i="3" s="1"/>
  <c r="G136" i="3"/>
  <c r="H129" i="3"/>
  <c r="D129" i="3"/>
  <c r="C136" i="3"/>
  <c r="D127" i="3"/>
  <c r="C127" i="3"/>
  <c r="J123" i="3"/>
  <c r="F121" i="3"/>
  <c r="G121" i="3"/>
  <c r="F122" i="3"/>
  <c r="F118" i="3"/>
  <c r="F119" i="3" s="1"/>
  <c r="F117" i="3"/>
  <c r="E119" i="3"/>
  <c r="J117" i="3"/>
  <c r="J119" i="3" s="1"/>
  <c r="I119" i="3"/>
  <c r="J114" i="3"/>
  <c r="G118" i="3"/>
  <c r="H117" i="3"/>
  <c r="G117" i="3"/>
  <c r="G114" i="3"/>
  <c r="G133" i="3" s="1"/>
  <c r="I126" i="3"/>
  <c r="I125" i="3"/>
  <c r="I127" i="3" s="1"/>
  <c r="D118" i="3"/>
  <c r="H118" i="3"/>
  <c r="D122" i="3"/>
  <c r="E121" i="3"/>
  <c r="D114" i="3"/>
  <c r="D133" i="3" s="1"/>
  <c r="D121" i="3"/>
  <c r="H122" i="3"/>
  <c r="I121" i="3"/>
  <c r="H114" i="3"/>
  <c r="H143" i="3" s="1"/>
  <c r="H121" i="3"/>
  <c r="C123" i="3"/>
  <c r="F126" i="3"/>
  <c r="J126" i="3"/>
  <c r="E122" i="3"/>
  <c r="I122" i="3"/>
  <c r="N126" i="3"/>
  <c r="B128" i="3"/>
  <c r="C129" i="3" s="1"/>
  <c r="E128" i="3"/>
  <c r="E130" i="3" s="1"/>
  <c r="F136" i="3"/>
  <c r="E136" i="3"/>
  <c r="I128" i="3"/>
  <c r="J136" i="3"/>
  <c r="I136" i="3"/>
  <c r="C118" i="3"/>
  <c r="D117" i="3"/>
  <c r="C117" i="3"/>
  <c r="C114" i="3"/>
  <c r="C130" i="3" s="1"/>
  <c r="L116" i="3"/>
  <c r="E126" i="3"/>
  <c r="E125" i="3"/>
  <c r="F134" i="3"/>
  <c r="G132" i="3"/>
  <c r="F132" i="3"/>
  <c r="J134" i="3"/>
  <c r="K134" i="3" s="1"/>
  <c r="J132" i="3"/>
  <c r="D134" i="3"/>
  <c r="H134" i="3"/>
  <c r="E139" i="3"/>
  <c r="I139" i="3"/>
  <c r="E142" i="3"/>
  <c r="I142" i="3"/>
  <c r="F125" i="3"/>
  <c r="F127" i="3" s="1"/>
  <c r="J125" i="3"/>
  <c r="J127" i="3" s="1"/>
  <c r="F139" i="3"/>
  <c r="J139" i="3"/>
  <c r="F142" i="3"/>
  <c r="J142" i="3"/>
  <c r="E114" i="3"/>
  <c r="E137" i="3" s="1"/>
  <c r="I114" i="3"/>
  <c r="I115" i="3" s="1"/>
  <c r="G142" i="3"/>
  <c r="J103" i="3"/>
  <c r="K103" i="3" s="1"/>
  <c r="L103" i="3" s="1"/>
  <c r="M103" i="3" s="1"/>
  <c r="N103" i="3" s="1"/>
  <c r="F103" i="3"/>
  <c r="I97" i="3"/>
  <c r="J98" i="3" s="1"/>
  <c r="E97" i="3"/>
  <c r="E105" i="3"/>
  <c r="F95" i="3"/>
  <c r="F96" i="3" s="1"/>
  <c r="J86" i="3"/>
  <c r="J88" i="3" s="1"/>
  <c r="F86" i="3"/>
  <c r="B83" i="3"/>
  <c r="C88" i="3"/>
  <c r="O95" i="3"/>
  <c r="H86" i="3"/>
  <c r="J91" i="3"/>
  <c r="J112" i="3"/>
  <c r="K112" i="3" s="1"/>
  <c r="J90" i="3"/>
  <c r="K89" i="3"/>
  <c r="E90" i="3"/>
  <c r="E92" i="3" s="1"/>
  <c r="H94" i="3"/>
  <c r="H101" i="3"/>
  <c r="D83" i="3"/>
  <c r="D99" i="3" s="1"/>
  <c r="E87" i="3"/>
  <c r="E86" i="3"/>
  <c r="E88" i="3" s="1"/>
  <c r="E83" i="3"/>
  <c r="E112" i="3" s="1"/>
  <c r="I87" i="3"/>
  <c r="I86" i="3"/>
  <c r="I83" i="3"/>
  <c r="I84" i="3" s="1"/>
  <c r="F87" i="3"/>
  <c r="F88" i="3" s="1"/>
  <c r="G90" i="3"/>
  <c r="J94" i="3"/>
  <c r="J96" i="3" s="1"/>
  <c r="E101" i="3"/>
  <c r="I101" i="3"/>
  <c r="H103" i="3"/>
  <c r="F97" i="3"/>
  <c r="J108" i="3"/>
  <c r="F108" i="3"/>
  <c r="F111" i="3"/>
  <c r="J111" i="3"/>
  <c r="C95" i="3"/>
  <c r="C94" i="3"/>
  <c r="G95" i="3"/>
  <c r="G94" i="3"/>
  <c r="G103" i="3"/>
  <c r="C83" i="3"/>
  <c r="N87" i="3"/>
  <c r="F91" i="3"/>
  <c r="F83" i="3"/>
  <c r="F109" i="3" s="1"/>
  <c r="F90" i="3"/>
  <c r="D94" i="3"/>
  <c r="C97" i="3"/>
  <c r="D101" i="3"/>
  <c r="G101" i="3"/>
  <c r="G83" i="3"/>
  <c r="D86" i="3"/>
  <c r="I90" i="3"/>
  <c r="I92" i="3" s="1"/>
  <c r="C91" i="3"/>
  <c r="D95" i="3"/>
  <c r="C101" i="3"/>
  <c r="C105" i="3"/>
  <c r="G105" i="3"/>
  <c r="F105" i="3"/>
  <c r="C108" i="3"/>
  <c r="G108" i="3"/>
  <c r="C111" i="3"/>
  <c r="G111" i="3"/>
  <c r="K85" i="3"/>
  <c r="G81" i="3"/>
  <c r="G72" i="3"/>
  <c r="D80" i="3"/>
  <c r="H80" i="3"/>
  <c r="C80" i="3"/>
  <c r="E80" i="3"/>
  <c r="I80" i="3"/>
  <c r="F80" i="3"/>
  <c r="J80" i="3"/>
  <c r="J52" i="3"/>
  <c r="J78" i="3" s="1"/>
  <c r="K78" i="3" s="1"/>
  <c r="L78" i="3" s="1"/>
  <c r="M78" i="3" s="1"/>
  <c r="N78" i="3" s="1"/>
  <c r="O78" i="3" s="1"/>
  <c r="L120" i="3" l="1"/>
  <c r="M120" i="3" s="1"/>
  <c r="N120" i="3" s="1"/>
  <c r="O120" i="3" s="1"/>
  <c r="N118" i="3"/>
  <c r="M93" i="3"/>
  <c r="K83" i="3"/>
  <c r="K110" i="3" s="1"/>
  <c r="K100" i="3" s="1"/>
  <c r="F186" i="3"/>
  <c r="J186" i="3"/>
  <c r="M191" i="3"/>
  <c r="F167" i="3"/>
  <c r="E167" i="3"/>
  <c r="I167" i="3"/>
  <c r="K166" i="3"/>
  <c r="K179" i="3"/>
  <c r="K176" i="3"/>
  <c r="K177" i="3" s="1"/>
  <c r="M172" i="3"/>
  <c r="C99" i="3"/>
  <c r="C98" i="3"/>
  <c r="C92" i="3"/>
  <c r="F99" i="3"/>
  <c r="F98" i="3"/>
  <c r="L89" i="3"/>
  <c r="J129" i="3"/>
  <c r="J130" i="3"/>
  <c r="K130" i="3" s="1"/>
  <c r="L130" i="3" s="1"/>
  <c r="M130" i="3" s="1"/>
  <c r="N130" i="3" s="1"/>
  <c r="O130" i="3" s="1"/>
  <c r="E106" i="3"/>
  <c r="F92" i="3"/>
  <c r="N93" i="3"/>
  <c r="O93" i="3" s="1"/>
  <c r="H123" i="3"/>
  <c r="D123" i="3"/>
  <c r="G123" i="3"/>
  <c r="I148" i="3"/>
  <c r="E109" i="3"/>
  <c r="E140" i="3"/>
  <c r="D106" i="3"/>
  <c r="D143" i="3"/>
  <c r="D130" i="3"/>
  <c r="I112" i="3"/>
  <c r="F75" i="3"/>
  <c r="H140" i="3"/>
  <c r="C143" i="3"/>
  <c r="H130" i="3"/>
  <c r="G106" i="3"/>
  <c r="G99" i="3"/>
  <c r="J81" i="3"/>
  <c r="K81" i="3" s="1"/>
  <c r="D98" i="3"/>
  <c r="C53" i="3"/>
  <c r="C75" i="3"/>
  <c r="H88" i="3"/>
  <c r="E99" i="3"/>
  <c r="E98" i="3"/>
  <c r="I130" i="3"/>
  <c r="I143" i="3"/>
  <c r="G109" i="3"/>
  <c r="G78" i="3"/>
  <c r="G75" i="3"/>
  <c r="D88" i="3"/>
  <c r="F84" i="3"/>
  <c r="C84" i="3"/>
  <c r="G92" i="3"/>
  <c r="D112" i="3"/>
  <c r="D109" i="3"/>
  <c r="H96" i="3"/>
  <c r="I99" i="3"/>
  <c r="I98" i="3"/>
  <c r="C115" i="3"/>
  <c r="C137" i="3"/>
  <c r="H115" i="3"/>
  <c r="H133" i="3"/>
  <c r="G115" i="3"/>
  <c r="G137" i="3"/>
  <c r="J143" i="3"/>
  <c r="K143" i="3" s="1"/>
  <c r="L143" i="3" s="1"/>
  <c r="M143" i="3" s="1"/>
  <c r="N143" i="3" s="1"/>
  <c r="O143" i="3" s="1"/>
  <c r="J140" i="3"/>
  <c r="K140" i="3" s="1"/>
  <c r="L140" i="3" s="1"/>
  <c r="M140" i="3" s="1"/>
  <c r="N140" i="3" s="1"/>
  <c r="O140" i="3" s="1"/>
  <c r="D148" i="3"/>
  <c r="E148" i="3"/>
  <c r="C133" i="3"/>
  <c r="I140" i="3"/>
  <c r="J137" i="3"/>
  <c r="K137" i="3" s="1"/>
  <c r="H92" i="3"/>
  <c r="J133" i="3"/>
  <c r="I106" i="3"/>
  <c r="I96" i="3"/>
  <c r="G112" i="3"/>
  <c r="G140" i="3"/>
  <c r="G143" i="3"/>
  <c r="I133" i="3"/>
  <c r="I109" i="3"/>
  <c r="G98" i="3"/>
  <c r="G148" i="3"/>
  <c r="K149" i="3"/>
  <c r="L149" i="3" s="1"/>
  <c r="J149" i="3"/>
  <c r="F148" i="3"/>
  <c r="M153" i="3"/>
  <c r="G129" i="3"/>
  <c r="F123" i="3"/>
  <c r="D115" i="3"/>
  <c r="C119" i="3"/>
  <c r="H119" i="3"/>
  <c r="E115" i="3"/>
  <c r="D119" i="3"/>
  <c r="I123" i="3"/>
  <c r="E123" i="3"/>
  <c r="F115" i="3"/>
  <c r="L134" i="3"/>
  <c r="M116" i="3"/>
  <c r="L114" i="3"/>
  <c r="I129" i="3"/>
  <c r="E129" i="3"/>
  <c r="O126" i="3"/>
  <c r="J115" i="3"/>
  <c r="F129" i="3"/>
  <c r="O118" i="3"/>
  <c r="O117" i="3" s="1"/>
  <c r="N117" i="3"/>
  <c r="E127" i="3"/>
  <c r="M124" i="3"/>
  <c r="G119" i="3"/>
  <c r="L112" i="3"/>
  <c r="M112" i="3" s="1"/>
  <c r="N112" i="3" s="1"/>
  <c r="O112" i="3" s="1"/>
  <c r="G96" i="3"/>
  <c r="C96" i="3"/>
  <c r="J92" i="3"/>
  <c r="G84" i="3"/>
  <c r="D84" i="3"/>
  <c r="O87" i="3"/>
  <c r="H84" i="3"/>
  <c r="L85" i="3"/>
  <c r="K99" i="3"/>
  <c r="J84" i="3"/>
  <c r="E84" i="3"/>
  <c r="D96" i="3"/>
  <c r="I88" i="3"/>
  <c r="O103" i="3"/>
  <c r="J75" i="3"/>
  <c r="N191" i="3" l="1"/>
  <c r="L179" i="3"/>
  <c r="L169" i="3" s="1"/>
  <c r="L176" i="3"/>
  <c r="L177" i="3" s="1"/>
  <c r="L166" i="3"/>
  <c r="K180" i="3"/>
  <c r="L180" i="3" s="1"/>
  <c r="M180" i="3" s="1"/>
  <c r="N180" i="3" s="1"/>
  <c r="O180" i="3" s="1"/>
  <c r="K169" i="3"/>
  <c r="K173" i="3" s="1"/>
  <c r="K174" i="3" s="1"/>
  <c r="N172" i="3"/>
  <c r="K167" i="3"/>
  <c r="N124" i="3"/>
  <c r="O124" i="3" s="1"/>
  <c r="K128" i="3"/>
  <c r="M89" i="3"/>
  <c r="N89" i="3" s="1"/>
  <c r="O89" i="3" s="1"/>
  <c r="M149" i="3"/>
  <c r="L147" i="3"/>
  <c r="K160" i="3"/>
  <c r="K157" i="3"/>
  <c r="K158" i="3" s="1"/>
  <c r="K147" i="3"/>
  <c r="N153" i="3"/>
  <c r="M134" i="3"/>
  <c r="L141" i="3"/>
  <c r="L131" i="3" s="1"/>
  <c r="L138" i="3"/>
  <c r="L128" i="3"/>
  <c r="K141" i="3"/>
  <c r="K131" i="3" s="1"/>
  <c r="K138" i="3"/>
  <c r="K139" i="3" s="1"/>
  <c r="N116" i="3"/>
  <c r="M114" i="3"/>
  <c r="L99" i="3"/>
  <c r="M99" i="3" s="1"/>
  <c r="N99" i="3" s="1"/>
  <c r="O99" i="3" s="1"/>
  <c r="K97" i="3"/>
  <c r="K107" i="3"/>
  <c r="K108" i="3" s="1"/>
  <c r="L83" i="3"/>
  <c r="M85" i="3"/>
  <c r="K135" i="3" l="1"/>
  <c r="O191" i="3"/>
  <c r="O172" i="3"/>
  <c r="K170" i="3"/>
  <c r="L170" i="3"/>
  <c r="M179" i="3"/>
  <c r="M169" i="3" s="1"/>
  <c r="M176" i="3"/>
  <c r="M177" i="3" s="1"/>
  <c r="M166" i="3"/>
  <c r="L173" i="3"/>
  <c r="L167" i="3"/>
  <c r="M147" i="3"/>
  <c r="N149" i="3"/>
  <c r="L160" i="3"/>
  <c r="L150" i="3" s="1"/>
  <c r="L157" i="3"/>
  <c r="L158" i="3" s="1"/>
  <c r="K161" i="3"/>
  <c r="L161" i="3" s="1"/>
  <c r="M161" i="3" s="1"/>
  <c r="N161" i="3" s="1"/>
  <c r="O161" i="3" s="1"/>
  <c r="K150" i="3"/>
  <c r="K148" i="3"/>
  <c r="O153" i="3"/>
  <c r="M141" i="3"/>
  <c r="M131" i="3" s="1"/>
  <c r="M128" i="3"/>
  <c r="M138" i="3"/>
  <c r="M139" i="3" s="1"/>
  <c r="L139" i="3"/>
  <c r="N114" i="3"/>
  <c r="O116" i="3"/>
  <c r="O114" i="3" s="1"/>
  <c r="K142" i="3"/>
  <c r="L142" i="3" s="1"/>
  <c r="M142" i="3" s="1"/>
  <c r="N142" i="3" s="1"/>
  <c r="O142" i="3" s="1"/>
  <c r="K129" i="3"/>
  <c r="L135" i="3"/>
  <c r="L129" i="3"/>
  <c r="N134" i="3"/>
  <c r="K104" i="3"/>
  <c r="L110" i="3"/>
  <c r="L100" i="3" s="1"/>
  <c r="L107" i="3"/>
  <c r="L108" i="3" s="1"/>
  <c r="L97" i="3"/>
  <c r="K111" i="3"/>
  <c r="L111" i="3" s="1"/>
  <c r="M111" i="3" s="1"/>
  <c r="N111" i="3" s="1"/>
  <c r="O111" i="3" s="1"/>
  <c r="N85" i="3"/>
  <c r="M83" i="3"/>
  <c r="M173" i="3" l="1"/>
  <c r="M167" i="3"/>
  <c r="M170" i="3"/>
  <c r="N166" i="3"/>
  <c r="N179" i="3"/>
  <c r="N169" i="3" s="1"/>
  <c r="N176" i="3"/>
  <c r="N177" i="3" s="1"/>
  <c r="L174" i="3"/>
  <c r="K106" i="3"/>
  <c r="K105" i="3"/>
  <c r="O149" i="3"/>
  <c r="O147" i="3" s="1"/>
  <c r="N147" i="3"/>
  <c r="K151" i="3"/>
  <c r="L154" i="3"/>
  <c r="L148" i="3"/>
  <c r="M160" i="3"/>
  <c r="M150" i="3" s="1"/>
  <c r="M157" i="3"/>
  <c r="M158" i="3" s="1"/>
  <c r="K155" i="3"/>
  <c r="L151" i="3"/>
  <c r="L132" i="3"/>
  <c r="K136" i="3"/>
  <c r="O134" i="3"/>
  <c r="O141" i="3"/>
  <c r="O138" i="3"/>
  <c r="O128" i="3"/>
  <c r="L136" i="3"/>
  <c r="N141" i="3"/>
  <c r="N131" i="3" s="1"/>
  <c r="N138" i="3"/>
  <c r="N139" i="3" s="1"/>
  <c r="N128" i="3"/>
  <c r="M129" i="3"/>
  <c r="M135" i="3"/>
  <c r="M132" i="3"/>
  <c r="K132" i="3"/>
  <c r="K101" i="3"/>
  <c r="L101" i="3"/>
  <c r="M110" i="3"/>
  <c r="M100" i="3" s="1"/>
  <c r="M107" i="3"/>
  <c r="M108" i="3" s="1"/>
  <c r="M97" i="3"/>
  <c r="L104" i="3"/>
  <c r="L98" i="3"/>
  <c r="O85" i="3"/>
  <c r="O83" i="3" s="1"/>
  <c r="N83" i="3"/>
  <c r="N170" i="3" l="1"/>
  <c r="O166" i="3"/>
  <c r="O179" i="3"/>
  <c r="O169" i="3" s="1"/>
  <c r="O176" i="3"/>
  <c r="O177" i="3" s="1"/>
  <c r="N173" i="3"/>
  <c r="N167" i="3"/>
  <c r="M174" i="3"/>
  <c r="N160" i="3"/>
  <c r="N150" i="3" s="1"/>
  <c r="N157" i="3"/>
  <c r="N158" i="3" s="1"/>
  <c r="O160" i="3"/>
  <c r="O150" i="3" s="1"/>
  <c r="O157" i="3"/>
  <c r="L155" i="3"/>
  <c r="M151" i="3"/>
  <c r="M154" i="3"/>
  <c r="M148" i="3"/>
  <c r="O139" i="3"/>
  <c r="M136" i="3"/>
  <c r="O129" i="3"/>
  <c r="N132" i="3"/>
  <c r="O131" i="3"/>
  <c r="O135" i="3" s="1"/>
  <c r="N135" i="3"/>
  <c r="N129" i="3"/>
  <c r="L105" i="3"/>
  <c r="M101" i="3"/>
  <c r="N97" i="3"/>
  <c r="N110" i="3"/>
  <c r="N100" i="3" s="1"/>
  <c r="N107" i="3"/>
  <c r="N108" i="3" s="1"/>
  <c r="M104" i="3"/>
  <c r="M98" i="3"/>
  <c r="O110" i="3"/>
  <c r="O100" i="3" s="1"/>
  <c r="O107" i="3"/>
  <c r="O97" i="3"/>
  <c r="O108" i="3" l="1"/>
  <c r="N174" i="3"/>
  <c r="O173" i="3"/>
  <c r="O167" i="3"/>
  <c r="O170" i="3"/>
  <c r="O158" i="3"/>
  <c r="O154" i="3"/>
  <c r="O148" i="3"/>
  <c r="N151" i="3"/>
  <c r="M155" i="3"/>
  <c r="O151" i="3"/>
  <c r="N154" i="3"/>
  <c r="N148" i="3"/>
  <c r="O136" i="3"/>
  <c r="N136" i="3"/>
  <c r="O132" i="3"/>
  <c r="O101" i="3"/>
  <c r="N101" i="3"/>
  <c r="O98" i="3"/>
  <c r="O104" i="3"/>
  <c r="M105" i="3"/>
  <c r="N98" i="3"/>
  <c r="N104" i="3"/>
  <c r="O174" i="3" l="1"/>
  <c r="N155" i="3"/>
  <c r="O155" i="3"/>
  <c r="N105" i="3"/>
  <c r="O105" i="3"/>
  <c r="L65" i="3" l="1"/>
  <c r="M65" i="3" s="1"/>
  <c r="N65" i="3" s="1"/>
  <c r="O65" i="3" s="1"/>
  <c r="L64" i="3"/>
  <c r="M64" i="3" s="1"/>
  <c r="L61" i="3"/>
  <c r="M61" i="3" s="1"/>
  <c r="N61" i="3" s="1"/>
  <c r="O61" i="3" s="1"/>
  <c r="L60" i="3"/>
  <c r="M60" i="3" s="1"/>
  <c r="L57" i="3"/>
  <c r="M57" i="3" s="1"/>
  <c r="N57" i="3" s="1"/>
  <c r="O57" i="3" s="1"/>
  <c r="L56" i="3"/>
  <c r="M56" i="3" s="1"/>
  <c r="B66" i="3"/>
  <c r="B5" i="3" s="1"/>
  <c r="H71" i="3"/>
  <c r="D71" i="3"/>
  <c r="F66" i="3"/>
  <c r="I63" i="3"/>
  <c r="I65" i="3" s="1"/>
  <c r="H63" i="3"/>
  <c r="H65" i="3" s="1"/>
  <c r="E63" i="3"/>
  <c r="E65" i="3" s="1"/>
  <c r="D63" i="3"/>
  <c r="D65" i="3" s="1"/>
  <c r="J59" i="3"/>
  <c r="J61" i="3" s="1"/>
  <c r="I59" i="3"/>
  <c r="I61" i="3" s="1"/>
  <c r="H59" i="3"/>
  <c r="H61" i="3" s="1"/>
  <c r="F59" i="3"/>
  <c r="F61" i="3" s="1"/>
  <c r="E59" i="3"/>
  <c r="E61" i="3" s="1"/>
  <c r="D59" i="3"/>
  <c r="D61" i="3" s="1"/>
  <c r="J55" i="3"/>
  <c r="J57" i="3" s="1"/>
  <c r="I55" i="3"/>
  <c r="I57" i="3" s="1"/>
  <c r="G55" i="3"/>
  <c r="G57" i="3" s="1"/>
  <c r="F55" i="3"/>
  <c r="F57" i="3" s="1"/>
  <c r="E55" i="3"/>
  <c r="E57" i="3" s="1"/>
  <c r="C57" i="3"/>
  <c r="J53" i="3"/>
  <c r="H53" i="3"/>
  <c r="F53" i="3"/>
  <c r="D53" i="3"/>
  <c r="C48" i="3"/>
  <c r="D48" i="3"/>
  <c r="D41" i="3" s="1"/>
  <c r="E48" i="3"/>
  <c r="F48" i="3"/>
  <c r="G48" i="3"/>
  <c r="H48" i="3"/>
  <c r="I48" i="3"/>
  <c r="J48" i="3"/>
  <c r="B48" i="3"/>
  <c r="C46" i="3"/>
  <c r="C71" i="3"/>
  <c r="E71" i="3"/>
  <c r="F46" i="3"/>
  <c r="G71" i="3"/>
  <c r="I46" i="3"/>
  <c r="C42" i="3"/>
  <c r="C43" i="3" s="1"/>
  <c r="D42" i="3"/>
  <c r="E42" i="3"/>
  <c r="F42" i="3"/>
  <c r="F43" i="3" s="1"/>
  <c r="G42" i="3"/>
  <c r="G35" i="3" s="1"/>
  <c r="H42" i="3"/>
  <c r="H35" i="3" s="1"/>
  <c r="I42" i="3"/>
  <c r="J42" i="3"/>
  <c r="J43" i="3" s="1"/>
  <c r="B42" i="3"/>
  <c r="B35" i="3" s="1"/>
  <c r="C39" i="3"/>
  <c r="C38" i="3"/>
  <c r="D38" i="3"/>
  <c r="E38" i="3"/>
  <c r="E39" i="3" s="1"/>
  <c r="F38" i="3"/>
  <c r="G39" i="3" s="1"/>
  <c r="G38" i="3"/>
  <c r="H38" i="3"/>
  <c r="I38" i="3"/>
  <c r="J38" i="3"/>
  <c r="J39" i="3" s="1"/>
  <c r="B38" i="3"/>
  <c r="C28" i="3"/>
  <c r="C31" i="3"/>
  <c r="D31" i="3"/>
  <c r="D33" i="3" s="1"/>
  <c r="E31" i="3"/>
  <c r="E33" i="3" s="1"/>
  <c r="F31" i="3"/>
  <c r="G31" i="3"/>
  <c r="G33" i="3" s="1"/>
  <c r="H31" i="3"/>
  <c r="H33" i="3" s="1"/>
  <c r="I31" i="3"/>
  <c r="J31" i="3"/>
  <c r="C27" i="3"/>
  <c r="D27" i="3"/>
  <c r="D29" i="3" s="1"/>
  <c r="E27" i="3"/>
  <c r="F27" i="3"/>
  <c r="G27" i="3"/>
  <c r="G29" i="3" s="1"/>
  <c r="H27" i="3"/>
  <c r="H29" i="3" s="1"/>
  <c r="I27" i="3"/>
  <c r="J27" i="3"/>
  <c r="C23" i="3"/>
  <c r="D23" i="3"/>
  <c r="D25" i="3" s="1"/>
  <c r="E23" i="3"/>
  <c r="E25" i="3" s="1"/>
  <c r="F23" i="3"/>
  <c r="G23" i="3"/>
  <c r="G25" i="3" s="1"/>
  <c r="H23" i="3"/>
  <c r="H25" i="3" s="1"/>
  <c r="I23" i="3"/>
  <c r="I25" i="3" s="1"/>
  <c r="J23" i="3"/>
  <c r="B31" i="3"/>
  <c r="B27" i="3"/>
  <c r="B23" i="3"/>
  <c r="B21" i="3" s="1"/>
  <c r="G21" i="3"/>
  <c r="G102" i="3" s="1"/>
  <c r="H21" i="3"/>
  <c r="H102" i="3" s="1"/>
  <c r="H24" i="3"/>
  <c r="H26" i="3" s="1"/>
  <c r="D32" i="3"/>
  <c r="D34" i="3" s="1"/>
  <c r="D39" i="3"/>
  <c r="H39" i="3"/>
  <c r="I39" i="3"/>
  <c r="C41" i="3"/>
  <c r="G41" i="3"/>
  <c r="H41" i="3"/>
  <c r="E43" i="3"/>
  <c r="D46" i="3"/>
  <c r="H46" i="3"/>
  <c r="E46" i="3"/>
  <c r="C203" i="1"/>
  <c r="C131" i="1"/>
  <c r="D131" i="1"/>
  <c r="E131" i="1"/>
  <c r="F131" i="1"/>
  <c r="G131" i="1"/>
  <c r="H131" i="1"/>
  <c r="I131" i="1"/>
  <c r="J131" i="1"/>
  <c r="B131" i="1"/>
  <c r="C132" i="1"/>
  <c r="I202" i="1"/>
  <c r="H202" i="1"/>
  <c r="G202" i="1"/>
  <c r="F202" i="1"/>
  <c r="E202" i="1"/>
  <c r="D202" i="1"/>
  <c r="C202" i="1"/>
  <c r="I201" i="1"/>
  <c r="H201" i="1"/>
  <c r="G201" i="1"/>
  <c r="I200" i="1"/>
  <c r="H200" i="1"/>
  <c r="G200" i="1"/>
  <c r="I199" i="1"/>
  <c r="H199" i="1"/>
  <c r="G199" i="1"/>
  <c r="I198" i="1"/>
  <c r="H198" i="1"/>
  <c r="G198" i="1"/>
  <c r="E197" i="1"/>
  <c r="D197" i="1"/>
  <c r="C197" i="1"/>
  <c r="I195" i="1"/>
  <c r="H195" i="1"/>
  <c r="G195" i="1"/>
  <c r="F195" i="1"/>
  <c r="E195" i="1"/>
  <c r="D195" i="1"/>
  <c r="C195" i="1"/>
  <c r="I194" i="1"/>
  <c r="H194" i="1"/>
  <c r="G194" i="1"/>
  <c r="F194" i="1"/>
  <c r="E194" i="1"/>
  <c r="I193" i="1"/>
  <c r="H193" i="1"/>
  <c r="G193" i="1"/>
  <c r="F193" i="1"/>
  <c r="E193" i="1"/>
  <c r="I192" i="1"/>
  <c r="H192" i="1"/>
  <c r="G192" i="1"/>
  <c r="F192" i="1"/>
  <c r="E192" i="1"/>
  <c r="I190" i="1"/>
  <c r="H190" i="1"/>
  <c r="G190" i="1"/>
  <c r="F190" i="1"/>
  <c r="E190" i="1"/>
  <c r="D190" i="1"/>
  <c r="C190" i="1"/>
  <c r="I189" i="1"/>
  <c r="H189" i="1"/>
  <c r="G189" i="1"/>
  <c r="F189" i="1"/>
  <c r="E189" i="1"/>
  <c r="D189" i="1"/>
  <c r="C189" i="1"/>
  <c r="I188" i="1"/>
  <c r="H188" i="1"/>
  <c r="G188" i="1"/>
  <c r="F188" i="1"/>
  <c r="E188" i="1"/>
  <c r="D188" i="1"/>
  <c r="C188" i="1"/>
  <c r="I186" i="1"/>
  <c r="H186" i="1"/>
  <c r="G186" i="1"/>
  <c r="F186" i="1"/>
  <c r="E186" i="1"/>
  <c r="I185" i="1"/>
  <c r="H185" i="1"/>
  <c r="G185" i="1"/>
  <c r="F185" i="1"/>
  <c r="E185" i="1"/>
  <c r="I184" i="1"/>
  <c r="H184" i="1"/>
  <c r="G184" i="1"/>
  <c r="F184" i="1"/>
  <c r="E184" i="1"/>
  <c r="I182" i="1"/>
  <c r="H182" i="1"/>
  <c r="G182" i="1"/>
  <c r="F182" i="1"/>
  <c r="E182" i="1"/>
  <c r="D182" i="1"/>
  <c r="C182" i="1"/>
  <c r="I181" i="1"/>
  <c r="H181" i="1"/>
  <c r="G181" i="1"/>
  <c r="F181" i="1"/>
  <c r="E181" i="1"/>
  <c r="D181" i="1"/>
  <c r="C181" i="1"/>
  <c r="I180" i="1"/>
  <c r="H180" i="1"/>
  <c r="G180" i="1"/>
  <c r="F180" i="1"/>
  <c r="E180" i="1"/>
  <c r="D180" i="1"/>
  <c r="C180" i="1"/>
  <c r="J172" i="1"/>
  <c r="J175" i="1" s="1"/>
  <c r="J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0" i="1"/>
  <c r="C170" i="1"/>
  <c r="D168" i="1"/>
  <c r="C168" i="1"/>
  <c r="B168" i="1"/>
  <c r="D164" i="1"/>
  <c r="D165" i="1" s="1"/>
  <c r="J161" i="1"/>
  <c r="I161" i="1"/>
  <c r="H161" i="1"/>
  <c r="H164" i="1" s="1"/>
  <c r="H165" i="1" s="1"/>
  <c r="G161" i="1"/>
  <c r="G164" i="1" s="1"/>
  <c r="G165" i="1" s="1"/>
  <c r="F161" i="1"/>
  <c r="F164" i="1" s="1"/>
  <c r="F165" i="1" s="1"/>
  <c r="E161" i="1"/>
  <c r="E164" i="1" s="1"/>
  <c r="E165" i="1" s="1"/>
  <c r="D161" i="1"/>
  <c r="C159" i="1"/>
  <c r="C157" i="1"/>
  <c r="J150" i="1"/>
  <c r="J153" i="1" s="1"/>
  <c r="J154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48" i="1"/>
  <c r="C148" i="1"/>
  <c r="D146" i="1"/>
  <c r="C146" i="1"/>
  <c r="B146" i="1"/>
  <c r="J139" i="1"/>
  <c r="J142" i="1" s="1"/>
  <c r="I139" i="1"/>
  <c r="I142" i="1" s="1"/>
  <c r="H139" i="1"/>
  <c r="H142" i="1" s="1"/>
  <c r="H143" i="1" s="1"/>
  <c r="G139" i="1"/>
  <c r="G142" i="1" s="1"/>
  <c r="F139" i="1"/>
  <c r="F142" i="1" s="1"/>
  <c r="E139" i="1"/>
  <c r="E142" i="1" s="1"/>
  <c r="D139" i="1"/>
  <c r="D142" i="1" s="1"/>
  <c r="C137" i="1"/>
  <c r="C135" i="1"/>
  <c r="B135" i="1"/>
  <c r="J125" i="1"/>
  <c r="I125" i="1"/>
  <c r="H125" i="1"/>
  <c r="I197" i="1" s="1"/>
  <c r="G125" i="1"/>
  <c r="F125" i="1"/>
  <c r="F197" i="1" s="1"/>
  <c r="C122" i="1"/>
  <c r="D194" i="1" s="1"/>
  <c r="B122" i="1"/>
  <c r="C121" i="1"/>
  <c r="B121" i="1"/>
  <c r="C120" i="1"/>
  <c r="D192" i="1" s="1"/>
  <c r="B120" i="1"/>
  <c r="J119" i="1"/>
  <c r="I119" i="1"/>
  <c r="I191" i="1" s="1"/>
  <c r="H119" i="1"/>
  <c r="G119" i="1"/>
  <c r="F119" i="1"/>
  <c r="E119" i="1"/>
  <c r="E191" i="1" s="1"/>
  <c r="D119" i="1"/>
  <c r="J115" i="1"/>
  <c r="I115" i="1"/>
  <c r="H115" i="1"/>
  <c r="G115" i="1"/>
  <c r="F115" i="1"/>
  <c r="E115" i="1"/>
  <c r="D115" i="1"/>
  <c r="C115" i="1"/>
  <c r="B115" i="1"/>
  <c r="C114" i="1"/>
  <c r="D186" i="1" s="1"/>
  <c r="B114" i="1"/>
  <c r="C113" i="1"/>
  <c r="B113" i="1"/>
  <c r="C112" i="1"/>
  <c r="D184" i="1" s="1"/>
  <c r="B112" i="1"/>
  <c r="J111" i="1"/>
  <c r="I111" i="1"/>
  <c r="H111" i="1"/>
  <c r="G111" i="1"/>
  <c r="F111" i="1"/>
  <c r="E111" i="1"/>
  <c r="D111" i="1"/>
  <c r="J107" i="1"/>
  <c r="I107" i="1"/>
  <c r="H107" i="1"/>
  <c r="G107" i="1"/>
  <c r="F107" i="1"/>
  <c r="E107" i="1"/>
  <c r="D107" i="1"/>
  <c r="C107" i="1"/>
  <c r="C179" i="1" s="1"/>
  <c r="B107" i="1"/>
  <c r="J92" i="1"/>
  <c r="I92" i="1"/>
  <c r="H92" i="1"/>
  <c r="G92" i="1"/>
  <c r="F92" i="1"/>
  <c r="D92" i="1"/>
  <c r="C92" i="1"/>
  <c r="E91" i="1"/>
  <c r="E92" i="1" s="1"/>
  <c r="D91" i="1"/>
  <c r="C91" i="1"/>
  <c r="J83" i="1"/>
  <c r="I83" i="1"/>
  <c r="H83" i="1"/>
  <c r="G83" i="1"/>
  <c r="F83" i="1"/>
  <c r="F94" i="1" s="1"/>
  <c r="F96" i="1" s="1"/>
  <c r="F97" i="1" s="1"/>
  <c r="E83" i="1"/>
  <c r="D82" i="1"/>
  <c r="D83" i="1" s="1"/>
  <c r="C82" i="1"/>
  <c r="C83" i="1" s="1"/>
  <c r="H76" i="1"/>
  <c r="H94" i="1" s="1"/>
  <c r="H96" i="1" s="1"/>
  <c r="H97" i="1" s="1"/>
  <c r="G76" i="1"/>
  <c r="F76" i="1"/>
  <c r="E76" i="1"/>
  <c r="E94" i="1" s="1"/>
  <c r="E96" i="1" s="1"/>
  <c r="E97" i="1" s="1"/>
  <c r="D76" i="1"/>
  <c r="D94" i="1" s="1"/>
  <c r="D96" i="1" s="1"/>
  <c r="D97" i="1" s="1"/>
  <c r="C76" i="1"/>
  <c r="J58" i="1"/>
  <c r="I58" i="1"/>
  <c r="H58" i="1"/>
  <c r="G58" i="1"/>
  <c r="F58" i="1"/>
  <c r="E58" i="1"/>
  <c r="D58" i="1"/>
  <c r="C58" i="1"/>
  <c r="J45" i="1"/>
  <c r="I45" i="1"/>
  <c r="H45" i="1"/>
  <c r="G45" i="1"/>
  <c r="F45" i="1"/>
  <c r="F59" i="1" s="1"/>
  <c r="E45" i="1"/>
  <c r="D45" i="1"/>
  <c r="C45" i="1"/>
  <c r="J30" i="1"/>
  <c r="J36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J7" i="1"/>
  <c r="I7" i="1"/>
  <c r="G7" i="1"/>
  <c r="F7" i="1"/>
  <c r="F10" i="1" s="1"/>
  <c r="F12" i="1" s="1"/>
  <c r="E7" i="1"/>
  <c r="E10" i="1" s="1"/>
  <c r="E12" i="1" s="1"/>
  <c r="D7" i="1"/>
  <c r="C7" i="1"/>
  <c r="J4" i="1"/>
  <c r="J10" i="1" s="1"/>
  <c r="J12" i="1" s="1"/>
  <c r="J64" i="1" s="1"/>
  <c r="J76" i="1" s="1"/>
  <c r="I4" i="1"/>
  <c r="I10" i="1" s="1"/>
  <c r="I12" i="1" s="1"/>
  <c r="I64" i="1" s="1"/>
  <c r="I76" i="1" s="1"/>
  <c r="I94" i="1" s="1"/>
  <c r="I96" i="1" s="1"/>
  <c r="G4" i="1"/>
  <c r="D4" i="1"/>
  <c r="D10" i="1" s="1"/>
  <c r="D12" i="1" s="1"/>
  <c r="C4" i="1"/>
  <c r="I19" i="3"/>
  <c r="H19" i="3"/>
  <c r="G19" i="3"/>
  <c r="F19" i="3"/>
  <c r="E19" i="3"/>
  <c r="D19" i="3"/>
  <c r="C19" i="3"/>
  <c r="J18" i="3"/>
  <c r="I18" i="3"/>
  <c r="H18" i="3"/>
  <c r="G18" i="3"/>
  <c r="F18" i="3"/>
  <c r="E18" i="3"/>
  <c r="D18" i="3"/>
  <c r="I16" i="3"/>
  <c r="H16" i="3"/>
  <c r="G16" i="3"/>
  <c r="F16" i="3"/>
  <c r="E16" i="3"/>
  <c r="D16" i="3"/>
  <c r="C16" i="3"/>
  <c r="J15" i="3"/>
  <c r="I15" i="3"/>
  <c r="H15" i="3"/>
  <c r="G15" i="3"/>
  <c r="F15" i="3"/>
  <c r="E15" i="3"/>
  <c r="D15" i="3"/>
  <c r="I13" i="3"/>
  <c r="H13" i="3"/>
  <c r="G13" i="3"/>
  <c r="F13" i="3"/>
  <c r="E13" i="3"/>
  <c r="D13" i="3"/>
  <c r="C13" i="3"/>
  <c r="J12" i="3"/>
  <c r="I12" i="3"/>
  <c r="H12" i="3"/>
  <c r="G12" i="3"/>
  <c r="F12" i="3"/>
  <c r="E12" i="3"/>
  <c r="D12" i="3"/>
  <c r="I10" i="3"/>
  <c r="H10" i="3"/>
  <c r="G10" i="3"/>
  <c r="F10" i="3"/>
  <c r="E10" i="3"/>
  <c r="D10" i="3"/>
  <c r="C10" i="3"/>
  <c r="J9" i="3"/>
  <c r="I9" i="3"/>
  <c r="H9" i="3"/>
  <c r="G9" i="3"/>
  <c r="F9" i="3"/>
  <c r="E9" i="3"/>
  <c r="D9" i="3"/>
  <c r="I4" i="3"/>
  <c r="H4" i="3"/>
  <c r="G4" i="3"/>
  <c r="F4" i="3"/>
  <c r="E4" i="3"/>
  <c r="D4" i="3"/>
  <c r="F68" i="3" l="1"/>
  <c r="F5" i="3"/>
  <c r="I21" i="3"/>
  <c r="I102" i="3" s="1"/>
  <c r="I29" i="3"/>
  <c r="I32" i="3"/>
  <c r="I33" i="3"/>
  <c r="J46" i="3"/>
  <c r="E32" i="3"/>
  <c r="E34" i="3" s="1"/>
  <c r="I28" i="3"/>
  <c r="E24" i="3"/>
  <c r="E26" i="3" s="1"/>
  <c r="C24" i="3"/>
  <c r="C49" i="3"/>
  <c r="I71" i="3"/>
  <c r="G46" i="3"/>
  <c r="E41" i="3"/>
  <c r="H28" i="3"/>
  <c r="H30" i="3" s="1"/>
  <c r="D24" i="3"/>
  <c r="D26" i="3" s="1"/>
  <c r="D21" i="3"/>
  <c r="D102" i="3" s="1"/>
  <c r="C25" i="3"/>
  <c r="C29" i="3"/>
  <c r="C33" i="3"/>
  <c r="C35" i="3"/>
  <c r="C37" i="3" s="1"/>
  <c r="F71" i="3"/>
  <c r="J71" i="3"/>
  <c r="E21" i="3"/>
  <c r="E102" i="3" s="1"/>
  <c r="E29" i="3"/>
  <c r="C30" i="3"/>
  <c r="D35" i="3"/>
  <c r="H32" i="3"/>
  <c r="H34" i="3" s="1"/>
  <c r="D28" i="3"/>
  <c r="D30" i="3" s="1"/>
  <c r="I24" i="3"/>
  <c r="I26" i="3" s="1"/>
  <c r="C21" i="3"/>
  <c r="J24" i="3"/>
  <c r="J25" i="3"/>
  <c r="G24" i="3"/>
  <c r="G26" i="3" s="1"/>
  <c r="F25" i="3"/>
  <c r="J28" i="3"/>
  <c r="J29" i="3"/>
  <c r="F28" i="3"/>
  <c r="F30" i="3" s="1"/>
  <c r="F29" i="3"/>
  <c r="J32" i="3"/>
  <c r="J33" i="3"/>
  <c r="G32" i="3"/>
  <c r="G34" i="3" s="1"/>
  <c r="F33" i="3"/>
  <c r="C32" i="3"/>
  <c r="C34" i="3" s="1"/>
  <c r="I35" i="3"/>
  <c r="E35" i="3"/>
  <c r="E36" i="3" s="1"/>
  <c r="I41" i="3"/>
  <c r="L81" i="3"/>
  <c r="L80" i="3" s="1"/>
  <c r="E53" i="3"/>
  <c r="I53" i="3"/>
  <c r="D55" i="3"/>
  <c r="D57" i="3" s="1"/>
  <c r="H55" i="3"/>
  <c r="H57" i="3" s="1"/>
  <c r="C59" i="3"/>
  <c r="C61" i="3" s="1"/>
  <c r="G59" i="3"/>
  <c r="G61" i="3" s="1"/>
  <c r="F63" i="3"/>
  <c r="F65" i="3" s="1"/>
  <c r="J65" i="3"/>
  <c r="G66" i="3"/>
  <c r="K62" i="3"/>
  <c r="L62" i="3" s="1"/>
  <c r="C65" i="3"/>
  <c r="G63" i="3"/>
  <c r="G65" i="3" s="1"/>
  <c r="J66" i="3"/>
  <c r="J5" i="3" s="1"/>
  <c r="C77" i="3"/>
  <c r="C36" i="3"/>
  <c r="K58" i="3"/>
  <c r="L58" i="3" s="1"/>
  <c r="C66" i="3"/>
  <c r="E66" i="3"/>
  <c r="E5" i="3" s="1"/>
  <c r="I66" i="3"/>
  <c r="N60" i="3"/>
  <c r="N64" i="3"/>
  <c r="N56" i="3"/>
  <c r="L54" i="3"/>
  <c r="G53" i="3"/>
  <c r="D66" i="3"/>
  <c r="H66" i="3"/>
  <c r="C70" i="3"/>
  <c r="G70" i="3"/>
  <c r="F74" i="3"/>
  <c r="J74" i="3"/>
  <c r="E77" i="3"/>
  <c r="I77" i="3"/>
  <c r="F67" i="3"/>
  <c r="E70" i="3"/>
  <c r="I70" i="3"/>
  <c r="D74" i="3"/>
  <c r="H74" i="3"/>
  <c r="G77" i="3"/>
  <c r="F70" i="3"/>
  <c r="J70" i="3"/>
  <c r="E74" i="3"/>
  <c r="I74" i="3"/>
  <c r="D77" i="3"/>
  <c r="H77" i="3"/>
  <c r="D70" i="3"/>
  <c r="H70" i="3"/>
  <c r="C74" i="3"/>
  <c r="G74" i="3"/>
  <c r="F77" i="3"/>
  <c r="J77" i="3"/>
  <c r="I43" i="3"/>
  <c r="G43" i="3"/>
  <c r="J35" i="3"/>
  <c r="J36" i="3" s="1"/>
  <c r="J41" i="3"/>
  <c r="F41" i="3"/>
  <c r="F39" i="3"/>
  <c r="F32" i="3"/>
  <c r="F34" i="3" s="1"/>
  <c r="G28" i="3"/>
  <c r="G30" i="3" s="1"/>
  <c r="E28" i="3"/>
  <c r="E30" i="3" s="1"/>
  <c r="F24" i="3"/>
  <c r="F26" i="3" s="1"/>
  <c r="J21" i="3"/>
  <c r="J47" i="3" s="1"/>
  <c r="I22" i="3"/>
  <c r="I40" i="3"/>
  <c r="I44" i="3"/>
  <c r="E22" i="3"/>
  <c r="E40" i="3"/>
  <c r="E44" i="3"/>
  <c r="G37" i="3"/>
  <c r="J22" i="3"/>
  <c r="I36" i="3"/>
  <c r="I37" i="3"/>
  <c r="E37" i="3"/>
  <c r="H22" i="3"/>
  <c r="H40" i="3"/>
  <c r="H44" i="3"/>
  <c r="D22" i="3"/>
  <c r="D40" i="3"/>
  <c r="H36" i="3"/>
  <c r="H37" i="3"/>
  <c r="D36" i="3"/>
  <c r="D37" i="3"/>
  <c r="G40" i="3"/>
  <c r="G44" i="3"/>
  <c r="C40" i="3"/>
  <c r="C44" i="3"/>
  <c r="F21" i="3"/>
  <c r="F102" i="3" s="1"/>
  <c r="F35" i="3"/>
  <c r="G36" i="3" s="1"/>
  <c r="H43" i="3"/>
  <c r="D43" i="3"/>
  <c r="G179" i="1"/>
  <c r="E187" i="1"/>
  <c r="F191" i="1"/>
  <c r="G197" i="1"/>
  <c r="F60" i="1"/>
  <c r="J59" i="1"/>
  <c r="D179" i="1"/>
  <c r="H179" i="1"/>
  <c r="E183" i="1"/>
  <c r="I183" i="1"/>
  <c r="F187" i="1"/>
  <c r="B119" i="1"/>
  <c r="G10" i="1"/>
  <c r="G12" i="1" s="1"/>
  <c r="H183" i="1"/>
  <c r="I187" i="1"/>
  <c r="C193" i="1"/>
  <c r="J94" i="1"/>
  <c r="G94" i="1"/>
  <c r="G96" i="1" s="1"/>
  <c r="G97" i="1" s="1"/>
  <c r="C187" i="1"/>
  <c r="C161" i="1"/>
  <c r="C164" i="1" s="1"/>
  <c r="C165" i="1" s="1"/>
  <c r="C172" i="1"/>
  <c r="C175" i="1" s="1"/>
  <c r="C176" i="1" s="1"/>
  <c r="E59" i="1"/>
  <c r="E60" i="1" s="1"/>
  <c r="F124" i="1"/>
  <c r="J124" i="1"/>
  <c r="G191" i="1"/>
  <c r="F179" i="1"/>
  <c r="C184" i="1"/>
  <c r="J60" i="1"/>
  <c r="C119" i="1"/>
  <c r="C59" i="1"/>
  <c r="C60" i="1" s="1"/>
  <c r="G59" i="1"/>
  <c r="G60" i="1" s="1"/>
  <c r="C111" i="1"/>
  <c r="G183" i="1"/>
  <c r="B111" i="1"/>
  <c r="B124" i="1" s="1"/>
  <c r="D187" i="1"/>
  <c r="H187" i="1"/>
  <c r="C150" i="1"/>
  <c r="C153" i="1" s="1"/>
  <c r="C154" i="1" s="1"/>
  <c r="I59" i="1"/>
  <c r="I60" i="1" s="1"/>
  <c r="F183" i="1"/>
  <c r="G187" i="1"/>
  <c r="D193" i="1"/>
  <c r="C10" i="1"/>
  <c r="C12" i="1" s="1"/>
  <c r="D59" i="1"/>
  <c r="D60" i="1" s="1"/>
  <c r="H59" i="1"/>
  <c r="C96" i="1"/>
  <c r="C97" i="1" s="1"/>
  <c r="D183" i="1"/>
  <c r="C139" i="1"/>
  <c r="F143" i="1"/>
  <c r="J143" i="1"/>
  <c r="D150" i="1"/>
  <c r="D153" i="1" s="1"/>
  <c r="D154" i="1" s="1"/>
  <c r="D185" i="1"/>
  <c r="J95" i="1"/>
  <c r="I97" i="1"/>
  <c r="D143" i="1"/>
  <c r="H60" i="1"/>
  <c r="D124" i="1"/>
  <c r="I163" i="1"/>
  <c r="I164" i="1" s="1"/>
  <c r="I165" i="1" s="1"/>
  <c r="I179" i="1"/>
  <c r="H124" i="1"/>
  <c r="G143" i="1"/>
  <c r="F132" i="1"/>
  <c r="D172" i="1"/>
  <c r="D175" i="1" s="1"/>
  <c r="D176" i="1" s="1"/>
  <c r="C192" i="1"/>
  <c r="E179" i="1"/>
  <c r="C124" i="1"/>
  <c r="G124" i="1"/>
  <c r="D191" i="1"/>
  <c r="H191" i="1"/>
  <c r="E143" i="1"/>
  <c r="I143" i="1"/>
  <c r="H197" i="1"/>
  <c r="I124" i="1"/>
  <c r="C186" i="1"/>
  <c r="C194" i="1"/>
  <c r="E124" i="1"/>
  <c r="J163" i="1"/>
  <c r="J164" i="1" s="1"/>
  <c r="J165" i="1" s="1"/>
  <c r="L34" i="3"/>
  <c r="M34" i="3" s="1"/>
  <c r="N34" i="3" s="1"/>
  <c r="O34" i="3" s="1"/>
  <c r="L30" i="3"/>
  <c r="M30" i="3" s="1"/>
  <c r="N30" i="3" s="1"/>
  <c r="O30" i="3" s="1"/>
  <c r="L26" i="3"/>
  <c r="M26" i="3" s="1"/>
  <c r="N26" i="3" s="1"/>
  <c r="O26" i="3" s="1"/>
  <c r="C68" i="3" l="1"/>
  <c r="C5" i="3"/>
  <c r="G68" i="3"/>
  <c r="G5" i="3"/>
  <c r="D68" i="3"/>
  <c r="D5" i="3"/>
  <c r="E6" i="3" s="1"/>
  <c r="F7" i="3"/>
  <c r="F6" i="3"/>
  <c r="E7" i="3"/>
  <c r="H68" i="3"/>
  <c r="H5" i="3"/>
  <c r="I68" i="3"/>
  <c r="I5" i="3"/>
  <c r="J6" i="3" s="1"/>
  <c r="M81" i="3"/>
  <c r="J50" i="3"/>
  <c r="C26" i="3"/>
  <c r="I34" i="3"/>
  <c r="M62" i="3"/>
  <c r="M58" i="3"/>
  <c r="J34" i="3"/>
  <c r="J30" i="3"/>
  <c r="J26" i="3"/>
  <c r="J40" i="3"/>
  <c r="J102" i="3"/>
  <c r="C67" i="3"/>
  <c r="C102" i="3"/>
  <c r="C22" i="3"/>
  <c r="I30" i="3"/>
  <c r="D44" i="3"/>
  <c r="I67" i="3"/>
  <c r="J67" i="3"/>
  <c r="G67" i="3"/>
  <c r="E68" i="3"/>
  <c r="E67" i="3"/>
  <c r="J68" i="3"/>
  <c r="L52" i="3"/>
  <c r="L76" i="3" s="1"/>
  <c r="M54" i="3"/>
  <c r="O60" i="3"/>
  <c r="O56" i="3"/>
  <c r="N81" i="3"/>
  <c r="M80" i="3"/>
  <c r="O64" i="3"/>
  <c r="H67" i="3"/>
  <c r="D67" i="3"/>
  <c r="J37" i="3"/>
  <c r="J44" i="3"/>
  <c r="F22" i="3"/>
  <c r="F40" i="3"/>
  <c r="F44" i="3"/>
  <c r="G22" i="3"/>
  <c r="F36" i="3"/>
  <c r="F37" i="3"/>
  <c r="C191" i="1"/>
  <c r="J96" i="1"/>
  <c r="J97" i="1" s="1"/>
  <c r="I196" i="1"/>
  <c r="E196" i="1"/>
  <c r="G196" i="1"/>
  <c r="H196" i="1"/>
  <c r="F196" i="1"/>
  <c r="D196" i="1"/>
  <c r="C196" i="1"/>
  <c r="G49" i="3"/>
  <c r="D49" i="3"/>
  <c r="F49" i="3"/>
  <c r="E49" i="3"/>
  <c r="H49" i="3"/>
  <c r="I49" i="3"/>
  <c r="J49" i="3"/>
  <c r="L33" i="3"/>
  <c r="L29" i="3"/>
  <c r="A20" i="3"/>
  <c r="K41" i="3"/>
  <c r="K1" i="3"/>
  <c r="L1" i="3" s="1"/>
  <c r="M1" i="3" s="1"/>
  <c r="N1" i="3" s="1"/>
  <c r="O1" i="3" s="1"/>
  <c r="I1" i="3"/>
  <c r="H1" i="3" s="1"/>
  <c r="G1" i="3" s="1"/>
  <c r="F1" i="3" s="1"/>
  <c r="E1" i="3" s="1"/>
  <c r="D1" i="3" s="1"/>
  <c r="C1" i="3" s="1"/>
  <c r="K79" i="3" l="1"/>
  <c r="N62" i="3"/>
  <c r="O62" i="3" s="1"/>
  <c r="N58" i="3"/>
  <c r="O58" i="3" s="1"/>
  <c r="I6" i="3"/>
  <c r="I7" i="3"/>
  <c r="D7" i="3"/>
  <c r="D6" i="3"/>
  <c r="H7" i="3"/>
  <c r="H6" i="3"/>
  <c r="G7" i="3"/>
  <c r="G6" i="3"/>
  <c r="C7" i="3"/>
  <c r="C6" i="3"/>
  <c r="K76" i="3"/>
  <c r="O81" i="3"/>
  <c r="O80" i="3" s="1"/>
  <c r="N80" i="3"/>
  <c r="M52" i="3"/>
  <c r="N54" i="3"/>
  <c r="L79" i="3"/>
  <c r="L41" i="3"/>
  <c r="E203" i="1"/>
  <c r="E132" i="1"/>
  <c r="F203" i="1"/>
  <c r="D203" i="1"/>
  <c r="D132" i="1"/>
  <c r="H203" i="1"/>
  <c r="H132" i="1"/>
  <c r="G203" i="1"/>
  <c r="G132" i="1"/>
  <c r="I203" i="1"/>
  <c r="I132" i="1"/>
  <c r="M41" i="3"/>
  <c r="M33" i="3"/>
  <c r="M29" i="3"/>
  <c r="K67" i="3" l="1"/>
  <c r="K171" i="3"/>
  <c r="K80" i="3"/>
  <c r="K152" i="3"/>
  <c r="K102" i="3"/>
  <c r="K133" i="3"/>
  <c r="N52" i="3"/>
  <c r="O54" i="3"/>
  <c r="O52" i="3" s="1"/>
  <c r="M79" i="3"/>
  <c r="M76" i="3"/>
  <c r="N41" i="3"/>
  <c r="N33" i="3"/>
  <c r="N29" i="3"/>
  <c r="O79" i="3" l="1"/>
  <c r="O76" i="3"/>
  <c r="N76" i="3"/>
  <c r="N79" i="3"/>
  <c r="D50" i="3"/>
  <c r="D47" i="3"/>
  <c r="H50" i="3"/>
  <c r="H47" i="3"/>
  <c r="O41" i="3"/>
  <c r="E47" i="3"/>
  <c r="E50" i="3"/>
  <c r="I50" i="3"/>
  <c r="I47" i="3"/>
  <c r="F50" i="3"/>
  <c r="F47" i="3"/>
  <c r="C50" i="3"/>
  <c r="C47" i="3"/>
  <c r="G50" i="3"/>
  <c r="G47" i="3"/>
  <c r="K37" i="3"/>
  <c r="O33" i="3"/>
  <c r="O29" i="3"/>
  <c r="L37" i="3" l="1"/>
  <c r="K44" i="3" l="1"/>
  <c r="M37" i="3"/>
  <c r="N37" i="3" l="1"/>
  <c r="O37" i="3" l="1"/>
  <c r="I1" i="1"/>
  <c r="H1" i="1" s="1"/>
  <c r="G1" i="1" s="1"/>
  <c r="F1" i="1" s="1"/>
  <c r="E1" i="1" s="1"/>
  <c r="D1" i="1" s="1"/>
  <c r="C1" i="1" s="1"/>
  <c r="K40" i="3" l="1"/>
  <c r="L14" i="3" l="1"/>
  <c r="M14" i="3" s="1"/>
  <c r="N14" i="3" l="1"/>
  <c r="O14" i="3" l="1"/>
  <c r="L17" i="3"/>
  <c r="M17" i="3" l="1"/>
  <c r="N17" i="3" l="1"/>
  <c r="O17" i="3" l="1"/>
  <c r="M21" i="3"/>
  <c r="N21" i="3" s="1"/>
  <c r="L175" i="3"/>
  <c r="L133" i="3"/>
  <c r="L21" i="3"/>
  <c r="N152" i="3" l="1"/>
  <c r="N156" i="3"/>
  <c r="N175" i="3"/>
  <c r="O21" i="3"/>
  <c r="N171" i="3"/>
  <c r="N133" i="3"/>
  <c r="N102" i="3"/>
  <c r="N106" i="3"/>
  <c r="N137" i="3"/>
  <c r="M175" i="3"/>
  <c r="L152" i="3"/>
  <c r="L137" i="3"/>
  <c r="M171" i="3"/>
  <c r="M137" i="3"/>
  <c r="L106" i="3"/>
  <c r="L102" i="3"/>
  <c r="M133" i="3"/>
  <c r="M156" i="3"/>
  <c r="M102" i="3"/>
  <c r="L171" i="3"/>
  <c r="L156" i="3"/>
  <c r="M106" i="3"/>
  <c r="M152" i="3"/>
  <c r="O156" i="3" l="1"/>
  <c r="O137" i="3"/>
  <c r="O102" i="3"/>
  <c r="O175" i="3"/>
  <c r="O152" i="3"/>
  <c r="O171" i="3"/>
  <c r="O133" i="3"/>
  <c r="O106" i="3"/>
  <c r="L38" i="3"/>
  <c r="L40" i="3" s="1"/>
  <c r="M38" i="3" l="1"/>
  <c r="M40" i="3" l="1"/>
  <c r="N38" i="3"/>
  <c r="N40" i="3" l="1"/>
  <c r="O38" i="3"/>
  <c r="O40" i="3" l="1"/>
  <c r="L68" i="3" l="1"/>
  <c r="L66" i="3" s="1"/>
  <c r="L67" i="3" l="1"/>
  <c r="M68" i="3"/>
  <c r="N68" i="3" l="1"/>
  <c r="M66" i="3"/>
  <c r="M67" i="3" l="1"/>
  <c r="N66" i="3"/>
  <c r="O68" i="3"/>
  <c r="O66" i="3" s="1"/>
  <c r="N67" i="3" l="1"/>
  <c r="O67" i="3"/>
  <c r="N71" i="3"/>
  <c r="N69" i="3"/>
  <c r="N70" i="3" s="1"/>
  <c r="M69" i="3"/>
  <c r="M70" i="3" s="1"/>
  <c r="L71" i="3"/>
  <c r="L69" i="3"/>
  <c r="L73" i="3" s="1"/>
  <c r="L70" i="3"/>
  <c r="O69" i="3"/>
  <c r="O71" i="3" s="1"/>
  <c r="K71" i="3"/>
  <c r="K69" i="3"/>
  <c r="K73" i="3" s="1"/>
  <c r="K70" i="3"/>
  <c r="K75" i="3" l="1"/>
  <c r="K74" i="3"/>
  <c r="L74" i="3"/>
  <c r="L75" i="3"/>
  <c r="L77" i="3" s="1"/>
  <c r="O70" i="3"/>
  <c r="M71" i="3"/>
  <c r="M73" i="3"/>
  <c r="N73" i="3"/>
  <c r="O73" i="3"/>
  <c r="O75" i="3" l="1"/>
  <c r="O77" i="3" s="1"/>
  <c r="O74" i="3"/>
  <c r="N74" i="3"/>
  <c r="N75" i="3"/>
  <c r="N77" i="3" s="1"/>
  <c r="M75" i="3"/>
  <c r="M77" i="3" s="1"/>
  <c r="M74" i="3"/>
  <c r="J187" i="3"/>
  <c r="K187" i="3" s="1"/>
  <c r="L187" i="3" s="1"/>
  <c r="M187" i="3" s="1"/>
  <c r="N187" i="3" s="1"/>
  <c r="O187" i="3" s="1"/>
  <c r="J197" i="3"/>
  <c r="K197" i="3" s="1"/>
  <c r="L197" i="3" s="1"/>
  <c r="M197" i="3" s="1"/>
  <c r="N197" i="3" s="1"/>
  <c r="O197" i="3" s="1"/>
  <c r="J200" i="3"/>
  <c r="K200" i="3" s="1"/>
  <c r="L200" i="3" s="1"/>
  <c r="M200" i="3" s="1"/>
  <c r="N200" i="3" s="1"/>
  <c r="O200" i="3" s="1"/>
  <c r="J184" i="3"/>
  <c r="K184" i="3" s="1"/>
  <c r="J10" i="3"/>
  <c r="J13" i="3"/>
  <c r="J3" i="3"/>
  <c r="J7" i="3" s="1"/>
  <c r="J190" i="3"/>
  <c r="J194" i="3"/>
  <c r="K194" i="3" s="1"/>
  <c r="I3" i="4" l="1"/>
  <c r="J24" i="4" s="1"/>
  <c r="K24" i="4" s="1"/>
  <c r="L24" i="4" s="1"/>
  <c r="M24" i="4" s="1"/>
  <c r="N24" i="4" s="1"/>
  <c r="L184" i="3"/>
  <c r="M184" i="3" s="1"/>
  <c r="N184" i="3" s="1"/>
  <c r="O184" i="3" s="1"/>
  <c r="K183" i="3"/>
  <c r="I4" i="4"/>
  <c r="J4" i="4" s="1"/>
  <c r="K4" i="4" s="1"/>
  <c r="L4" i="4" s="1"/>
  <c r="M4" i="4" s="1"/>
  <c r="N4" i="4" s="1"/>
  <c r="J19" i="3"/>
  <c r="O14" i="4"/>
  <c r="J4" i="3"/>
  <c r="K4" i="3" s="1"/>
  <c r="L4" i="3" s="1"/>
  <c r="M4" i="3" s="1"/>
  <c r="N4" i="3" s="1"/>
  <c r="O4" i="3" s="1"/>
  <c r="J16" i="3"/>
  <c r="I9" i="4" l="1"/>
  <c r="J3" i="4"/>
  <c r="K3" i="3"/>
  <c r="K198" i="3"/>
  <c r="K185" i="3"/>
  <c r="K195" i="3"/>
  <c r="K196" i="3" s="1"/>
  <c r="L183" i="3"/>
  <c r="J9" i="4"/>
  <c r="K3" i="4"/>
  <c r="K14" i="4" s="1"/>
  <c r="J23" i="4"/>
  <c r="J14" i="4"/>
  <c r="K186" i="3" l="1"/>
  <c r="K188" i="3"/>
  <c r="K199" i="3"/>
  <c r="L199" i="3" s="1"/>
  <c r="M199" i="3" s="1"/>
  <c r="N199" i="3" s="1"/>
  <c r="O199" i="3" s="1"/>
  <c r="K11" i="4"/>
  <c r="K12" i="4"/>
  <c r="K23" i="4"/>
  <c r="L3" i="4"/>
  <c r="K9" i="4"/>
  <c r="J12" i="4"/>
  <c r="J11" i="4" s="1"/>
  <c r="L185" i="3"/>
  <c r="L195" i="3"/>
  <c r="L196" i="3" s="1"/>
  <c r="L198" i="3"/>
  <c r="L188" i="3" s="1"/>
  <c r="M183" i="3"/>
  <c r="K7" i="3"/>
  <c r="K19" i="3"/>
  <c r="L3" i="3"/>
  <c r="K13" i="3"/>
  <c r="K16" i="3"/>
  <c r="K10" i="3"/>
  <c r="L23" i="4" l="1"/>
  <c r="M3" i="4"/>
  <c r="L9" i="4"/>
  <c r="L14" i="4"/>
  <c r="L186" i="3"/>
  <c r="L192" i="3"/>
  <c r="M198" i="3"/>
  <c r="M188" i="3" s="1"/>
  <c r="M195" i="3"/>
  <c r="M196" i="3" s="1"/>
  <c r="N183" i="3"/>
  <c r="M185" i="3"/>
  <c r="K189" i="3"/>
  <c r="K190" i="3"/>
  <c r="L16" i="3"/>
  <c r="M3" i="3"/>
  <c r="L7" i="3"/>
  <c r="L10" i="3"/>
  <c r="L13" i="3"/>
  <c r="L19" i="3"/>
  <c r="L190" i="3"/>
  <c r="L189" i="3"/>
  <c r="K192" i="3"/>
  <c r="K193" i="3" s="1"/>
  <c r="L12" i="4" l="1"/>
  <c r="L11" i="4" s="1"/>
  <c r="M189" i="3"/>
  <c r="M190" i="3"/>
  <c r="M13" i="3"/>
  <c r="N3" i="3"/>
  <c r="M19" i="3"/>
  <c r="M16" i="3"/>
  <c r="M7" i="3"/>
  <c r="M10" i="3"/>
  <c r="M186" i="3"/>
  <c r="M192" i="3"/>
  <c r="L194" i="3"/>
  <c r="L193" i="3"/>
  <c r="N3" i="4"/>
  <c r="M23" i="4"/>
  <c r="M9" i="4"/>
  <c r="M14" i="4"/>
  <c r="N198" i="3"/>
  <c r="N188" i="3" s="1"/>
  <c r="O183" i="3"/>
  <c r="N185" i="3"/>
  <c r="N195" i="3"/>
  <c r="N196" i="3" s="1"/>
  <c r="O195" i="3" l="1"/>
  <c r="O196" i="3" s="1"/>
  <c r="O198" i="3"/>
  <c r="O188" i="3" s="1"/>
  <c r="O185" i="3"/>
  <c r="M193" i="3"/>
  <c r="M194" i="3"/>
  <c r="N23" i="4"/>
  <c r="N9" i="4"/>
  <c r="N14" i="4"/>
  <c r="N189" i="3"/>
  <c r="N190" i="3"/>
  <c r="N19" i="3"/>
  <c r="N7" i="3"/>
  <c r="N16" i="3"/>
  <c r="N10" i="3"/>
  <c r="O3" i="3"/>
  <c r="N13" i="3"/>
  <c r="M12" i="4"/>
  <c r="M11" i="4" s="1"/>
  <c r="N192" i="3"/>
  <c r="N186" i="3"/>
  <c r="N12" i="4" l="1"/>
  <c r="N11" i="4" s="1"/>
  <c r="N194" i="3"/>
  <c r="N193" i="3"/>
  <c r="O186" i="3"/>
  <c r="O192" i="3"/>
  <c r="O13" i="3"/>
  <c r="O19" i="3"/>
  <c r="O16" i="3"/>
  <c r="O10" i="3"/>
  <c r="O7" i="3"/>
  <c r="O189" i="3"/>
  <c r="O190" i="3"/>
  <c r="O194" i="3" l="1"/>
  <c r="O193" i="3"/>
  <c r="L43" i="3"/>
  <c r="L42" i="3"/>
  <c r="L44" i="3"/>
  <c r="O36" i="3"/>
  <c r="N36" i="3"/>
  <c r="M36" i="3"/>
  <c r="K46" i="3"/>
  <c r="K45" i="3"/>
  <c r="K47" i="3"/>
  <c r="N49" i="3"/>
  <c r="O49" i="3"/>
  <c r="M46" i="3"/>
  <c r="M45" i="3"/>
  <c r="M47" i="3"/>
  <c r="N44" i="3"/>
  <c r="N42" i="3"/>
  <c r="N43" i="3"/>
  <c r="M43" i="3"/>
  <c r="M42" i="3"/>
  <c r="M44" i="3"/>
  <c r="K50" i="3"/>
  <c r="K48" i="3"/>
  <c r="K49" i="3"/>
  <c r="N46" i="3"/>
  <c r="N50" i="3"/>
  <c r="N48" i="3"/>
  <c r="N45" i="3"/>
  <c r="N47" i="3"/>
  <c r="L49" i="3"/>
  <c r="M50" i="3"/>
  <c r="M48" i="3"/>
  <c r="M49" i="3"/>
  <c r="O43" i="3"/>
  <c r="L36" i="3"/>
  <c r="L35" i="3"/>
  <c r="M35" i="3"/>
  <c r="N35" i="3"/>
  <c r="O35" i="3"/>
  <c r="O42" i="3"/>
  <c r="O44" i="3"/>
  <c r="L47" i="3"/>
  <c r="L50" i="3"/>
  <c r="L48" i="3"/>
  <c r="L45" i="3"/>
  <c r="L46" i="3"/>
  <c r="O47" i="3"/>
  <c r="O50" i="3"/>
  <c r="O48" i="3"/>
  <c r="O45" i="3"/>
  <c r="O4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<sst xmlns="http://schemas.openxmlformats.org/spreadsheetml/2006/main" count="488" uniqueCount="204">
  <si>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</si>
  <si>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</si>
  <si>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</si>
  <si>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</si>
  <si>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</si>
  <si>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</si>
  <si>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</si>
  <si>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</si>
  <si>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</si>
  <si>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</si>
  <si>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</si>
  <si>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</si>
  <si>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</si>
  <si>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</si>
  <si>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</si>
  <si>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</si>
  <si>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</si>
  <si>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</si>
  <si>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</si>
  <si>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</si>
  <si>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</si>
  <si>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</si>
  <si>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</si>
  <si>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</si>
  <si>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</si>
  <si>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</si>
  <si>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</si>
  <si>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</si>
  <si>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</si>
  <si>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</si>
  <si>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</si>
  <si>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</si>
  <si>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</si>
  <si>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</si>
  <si>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</si>
  <si>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</si>
  <si>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</si>
  <si>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</si>
  <si>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</si>
  <si>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</si>
  <si>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</si>
  <si>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</si>
  <si>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</si>
  <si>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</si>
  <si>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</si>
  <si>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</si>
  <si>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</si>
  <si>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</si>
  <si>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</si>
  <si>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</si>
  <si>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</si>
  <si>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</si>
  <si>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</si>
  <si>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</si>
  <si>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</si>
  <si>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</si>
  <si>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</si>
  <si>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</si>
  <si>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</si>
  <si>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</si>
  <si>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</si>
  <si>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</si>
  <si>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</si>
  <si>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</si>
  <si>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</si>
  <si>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</si>
  <si>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</si>
  <si>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</si>
  <si>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</si>
  <si>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</si>
  <si>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</si>
  <si>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</si>
  <si>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</si>
  <si>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</si>
  <si>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</si>
  <si>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</si>
  <si>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</si>
  <si>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</si>
  <si>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</si>
  <si>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</si>
  <si>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</si>
  <si>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</si>
  <si>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</si>
  <si>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</si>
  <si>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</si>
  <si>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</si>
  <si>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</si>
  <si>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</si>
  <si>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</si>
  <si>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</si>
  <si>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</si>
  <si>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</si>
  <si>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</si>
  <si>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</si>
  <si>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</si>
  <si>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</si>
  <si>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</si>
  <si>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</si>
  <si>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</si>
  <si>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</si>
  <si>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</si>
  <si>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</si>
  <si>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</si>
  <si>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</si>
  <si>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</si>
  <si>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</si>
  <si>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</si>
  <si>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</si>
  <si>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</si>
  <si>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</si>
  <si>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</si>
  <si>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</si>
  <si>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</si>
  <si>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</si>
  <si>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</si>
  <si>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</si>
  <si>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</si>
  <si>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</si>
  <si>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</si>
  <si>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</si>
  <si>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</si>
  <si>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</si>
  <si>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</si>
  <si>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</si>
  <si>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</si>
  <si>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</si>
  <si>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</si>
  <si>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</si>
  <si>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</si>
  <si>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</si>
  <si>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</si>
  <si>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</si>
  <si>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</si>
  <si>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</si>
  <si>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</si>
  <si>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</si>
  <si>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</si>
  <si>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</si>
  <si>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</si>
  <si>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</si>
  <si>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</si>
  <si>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</si>
  <si>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</si>
  <si>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</si>
  <si>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</si>
  <si>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</si>
  <si>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</si>
  <si>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-</t>
  </si>
  <si>
    <t xml:space="preserve">THE ANNUAL REPORT DIDN'T HAVE SEGMENT BREAKDOWN </t>
  </si>
  <si>
    <t>Europe Middle East &amp; Africa</t>
  </si>
  <si>
    <t>Global Division</t>
  </si>
  <si>
    <t xml:space="preserve">Converse </t>
  </si>
  <si>
    <t xml:space="preserve">Corporate </t>
  </si>
  <si>
    <t>Closing Cash</t>
  </si>
  <si>
    <t>Opening Cash</t>
  </si>
  <si>
    <t>Net Change in Cash</t>
  </si>
  <si>
    <t>Other Adjustments</t>
  </si>
  <si>
    <t>CFF</t>
  </si>
  <si>
    <t>Other Financing Activities</t>
  </si>
  <si>
    <t>Borrowings</t>
  </si>
  <si>
    <t>Dividends Paid to Shareholders</t>
  </si>
  <si>
    <t>Share Issuance/Buybacks</t>
  </si>
  <si>
    <t>CFI</t>
  </si>
  <si>
    <t>Other Investing Activities</t>
  </si>
  <si>
    <t xml:space="preserve">Acquisitions </t>
  </si>
  <si>
    <t>CFO</t>
  </si>
  <si>
    <t>Other Operating Activities</t>
  </si>
  <si>
    <t>FCFF</t>
  </si>
  <si>
    <t>(Increase)/Decrease in Working Capital</t>
  </si>
  <si>
    <t>Cash Interest</t>
  </si>
  <si>
    <t>NOPAT</t>
  </si>
  <si>
    <t>Cash Tax</t>
  </si>
  <si>
    <t>Cashflow</t>
  </si>
  <si>
    <t>Check</t>
  </si>
  <si>
    <t>Total Liabilities and Equity</t>
  </si>
  <si>
    <t>Other Components of Equity</t>
  </si>
  <si>
    <t>Retained Earnings</t>
  </si>
  <si>
    <t>Common stock</t>
  </si>
  <si>
    <t>Equity</t>
  </si>
  <si>
    <t>Other non-current Liabilities</t>
  </si>
  <si>
    <t>Other Current Liabilities</t>
  </si>
  <si>
    <t>Current Borrowings</t>
  </si>
  <si>
    <t>Total Assets</t>
  </si>
  <si>
    <t>Other Assets</t>
  </si>
  <si>
    <t>Intangible Assets</t>
  </si>
  <si>
    <t>Property Plant and Equipment</t>
  </si>
  <si>
    <t>Other Current Assets</t>
  </si>
  <si>
    <t>As a % of revenue</t>
  </si>
  <si>
    <t>Net Working Capital</t>
  </si>
  <si>
    <t>Other Items Included in Net Debt</t>
  </si>
  <si>
    <t>Cash and Cash Equivalents</t>
  </si>
  <si>
    <t>Balance Sheet</t>
  </si>
  <si>
    <t>Calculate</t>
  </si>
  <si>
    <t>Payout ratio%</t>
  </si>
  <si>
    <t>DPS</t>
  </si>
  <si>
    <t>EPS</t>
  </si>
  <si>
    <t>Diluted number of shares</t>
  </si>
  <si>
    <t>Net Income</t>
  </si>
  <si>
    <t>Tax rate %</t>
  </si>
  <si>
    <t>PBT</t>
  </si>
  <si>
    <t>EBTDA</t>
  </si>
  <si>
    <t>Link from Segmental Forecast sheet</t>
  </si>
  <si>
    <t>Income Statement</t>
  </si>
  <si>
    <t>growth for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</si>
</sst>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_(* #,##0_);_(* \(#,##0\);_(* &quot;-&quot;??_);_(@_)"/>
    <numFmt numFmtId="167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2" fillId="0" borderId="1" xfId="0" applyFont="1" applyBorder="1"/>
    <xf numFmtId="166" fontId="2" fillId="0" borderId="1" xfId="1" applyNumberFormat="1" applyFont="1" applyBorder="1"/>
    <xf numFmtId="0" fontId="2" fillId="0" borderId="2" xfId="0" applyFont="1" applyBorder="1"/>
    <xf numFmtId="166" fontId="2" fillId="0" borderId="2" xfId="1" applyNumberFormat="1" applyFont="1" applyBorder="1"/>
    <xf numFmtId="3" fontId="0" fillId="0" borderId="0" xfId="0" applyNumberFormat="1"/>
    <xf numFmtId="166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6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6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6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6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7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7" fontId="12" fillId="0" borderId="0" xfId="2" applyNumberFormat="1" applyFont="1"/>
    <xf numFmtId="0" fontId="11" fillId="0" borderId="1" xfId="0" applyFont="1" applyBorder="1"/>
    <xf numFmtId="167" fontId="12" fillId="0" borderId="2" xfId="2" applyNumberFormat="1" applyFont="1" applyBorder="1"/>
    <xf numFmtId="167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6" fontId="6" fillId="4" borderId="0" xfId="4" applyNumberFormat="1" applyFont="1" applyBorder="1" applyAlignment="1">
      <alignment horizontal="left"/>
    </xf>
    <xf numFmtId="166" fontId="2" fillId="0" borderId="0" xfId="1" applyNumberFormat="1" applyFont="1" applyBorder="1"/>
    <xf numFmtId="166" fontId="13" fillId="0" borderId="0" xfId="1" applyNumberFormat="1" applyFont="1" applyBorder="1" applyAlignment="1">
      <alignment horizontal="left" indent="1"/>
    </xf>
    <xf numFmtId="166" fontId="2" fillId="5" borderId="0" xfId="5" applyNumberFormat="1" applyFont="1"/>
    <xf numFmtId="166" fontId="13" fillId="0" borderId="0" xfId="1" applyNumberFormat="1" applyFont="1" applyAlignment="1">
      <alignment horizontal="left" indent="2"/>
    </xf>
    <xf numFmtId="166" fontId="13" fillId="0" borderId="0" xfId="1" applyNumberFormat="1" applyFont="1" applyAlignment="1">
      <alignment horizontal="left" indent="1"/>
    </xf>
    <xf numFmtId="167" fontId="11" fillId="0" borderId="0" xfId="2" applyNumberFormat="1" applyFont="1" applyAlignment="1">
      <alignment horizontal="right"/>
    </xf>
    <xf numFmtId="166" fontId="2" fillId="0" borderId="0" xfId="0" applyNumberFormat="1" applyFont="1"/>
    <xf numFmtId="167" fontId="14" fillId="7" borderId="0" xfId="2" applyNumberFormat="1" applyFont="1" applyFill="1"/>
    <xf numFmtId="166" fontId="0" fillId="0" borderId="0" xfId="1" applyNumberFormat="1" applyFont="1" applyAlignment="1"/>
    <xf numFmtId="9" fontId="15" fillId="0" borderId="0" xfId="2" applyFont="1"/>
    <xf numFmtId="167" fontId="15" fillId="0" borderId="0" xfId="2" applyNumberFormat="1" applyFont="1"/>
    <xf numFmtId="0" fontId="16" fillId="0" borderId="0" xfId="0" applyFont="1"/>
    <xf numFmtId="0" fontId="17" fillId="0" borderId="0" xfId="0" applyFont="1"/>
    <xf numFmtId="10" fontId="18" fillId="0" borderId="0" xfId="2" applyNumberFormat="1" applyFont="1" applyAlignment="1">
      <alignment horizontal="right"/>
    </xf>
    <xf numFmtId="10" fontId="17" fillId="0" borderId="0" xfId="0" applyNumberFormat="1" applyFont="1"/>
    <xf numFmtId="167" fontId="18" fillId="0" borderId="0" xfId="2" applyNumberFormat="1" applyFont="1" applyAlignment="1">
      <alignment horizontal="right"/>
    </xf>
    <xf numFmtId="166" fontId="16" fillId="0" borderId="0" xfId="1" applyNumberFormat="1" applyFont="1"/>
    <xf numFmtId="166" fontId="19" fillId="0" borderId="0" xfId="1" applyNumberFormat="1" applyFont="1" applyAlignment="1">
      <alignment horizontal="left" indent="2"/>
    </xf>
    <xf numFmtId="166" fontId="19" fillId="0" borderId="0" xfId="1" applyNumberFormat="1" applyFont="1" applyAlignment="1">
      <alignment horizontal="left" indent="1"/>
    </xf>
    <xf numFmtId="166" fontId="2" fillId="0" borderId="0" xfId="1" applyNumberFormat="1" applyFont="1" applyAlignment="1">
      <alignment horizontal="left" indent="1"/>
    </xf>
    <xf numFmtId="166" fontId="16" fillId="0" borderId="0" xfId="1" applyNumberFormat="1" applyFont="1" applyAlignment="1">
      <alignment horizontal="left" indent="1"/>
    </xf>
    <xf numFmtId="167" fontId="21" fillId="8" borderId="0" xfId="2" applyNumberFormat="1" applyFont="1" applyFill="1"/>
    <xf numFmtId="167" fontId="13" fillId="0" borderId="0" xfId="2" applyNumberFormat="1" applyFont="1" applyAlignment="1">
      <alignment horizontal="right"/>
    </xf>
    <xf numFmtId="166" fontId="13" fillId="0" borderId="0" xfId="1" applyNumberFormat="1" applyFont="1" applyAlignment="1">
      <alignment horizontal="left"/>
    </xf>
    <xf numFmtId="166" fontId="0" fillId="0" borderId="0" xfId="0" applyNumberFormat="1"/>
    <xf numFmtId="0" fontId="6" fillId="4" borderId="0" xfId="4" applyFont="1"/>
    <xf numFmtId="165" fontId="20" fillId="0" borderId="0" xfId="1" applyFont="1" applyBorder="1"/>
    <xf numFmtId="0" fontId="0" fillId="0" borderId="0" xfId="0" applyAlignment="1">
      <alignment horizontal="left"/>
    </xf>
    <xf numFmtId="165" fontId="0" fillId="0" borderId="0" xfId="1" applyFont="1"/>
    <xf numFmtId="167" fontId="13" fillId="0" borderId="0" xfId="2" applyNumberFormat="1" applyFont="1" applyBorder="1" applyAlignment="1">
      <alignment horizontal="right"/>
    </xf>
    <xf numFmtId="166" fontId="1" fillId="0" borderId="0" xfId="1" applyNumberFormat="1" applyFont="1"/>
    <xf numFmtId="166" fontId="1" fillId="0" borderId="0" xfId="1" applyNumberFormat="1" applyFont="1" applyAlignment="1">
      <alignment horizontal="left"/>
    </xf>
    <xf numFmtId="1" fontId="2" fillId="0" borderId="0" xfId="0" applyNumberFormat="1" applyFont="1"/>
    <xf numFmtId="167" fontId="0" fillId="0" borderId="0" xfId="2" applyNumberFormat="1" applyFont="1"/>
    <xf numFmtId="10" fontId="0" fillId="0" borderId="0" xfId="2" applyNumberFormat="1" applyFont="1"/>
    <xf numFmtId="2" fontId="13" fillId="0" borderId="0" xfId="2" applyNumberFormat="1" applyFont="1" applyAlignment="1">
      <alignment horizontal="right"/>
    </xf>
    <xf numFmtId="43" fontId="0" fillId="0" borderId="0" xfId="0" applyNumberFormat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3" xfId="6" xr:uid="{B00BA01E-4492-4A1F-B992-53B63CD20C2E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topLeftCell="A3" workbookViewId="0">
      <selection activeCell="A29" sqref="A29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144</v>
      </c>
    </row>
    <row r="3" spans="1:1" x14ac:dyDescent="0.3">
      <c r="A3" s="20" t="s">
        <v>140</v>
      </c>
    </row>
    <row r="4" spans="1:1" x14ac:dyDescent="0.3">
      <c r="A4" s="20" t="s">
        <v>145</v>
      </c>
    </row>
    <row r="5" spans="1:1" x14ac:dyDescent="0.3">
      <c r="A5" s="38" t="s">
        <v>146</v>
      </c>
    </row>
    <row r="6" spans="1:1" x14ac:dyDescent="0.3">
      <c r="A6" s="19" t="s">
        <v>141</v>
      </c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4"/>
  <sheetViews>
    <sheetView zoomScale="89" zoomScaleNormal="85" workbookViewId="0">
      <pane ySplit="1" topLeftCell="A2" activePane="bottomLeft" state="frozen"/>
      <selection pane="bottomLeft" activeCell="F14" sqref="F14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0" ht="60" customHeight="1" x14ac:dyDescent="0.3">
      <c r="A1" s="15" t="s">
        <v>116</v>
      </c>
      <c r="C1" s="16">
        <f t="shared" ref="C1:H1" si="0">+D1-1</f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</row>
    <row r="2" spans="1:10" x14ac:dyDescent="0.3">
      <c r="A2" t="s">
        <v>27</v>
      </c>
      <c r="C2" s="3">
        <v>30601</v>
      </c>
      <c r="D2" s="3">
        <v>32376</v>
      </c>
      <c r="E2" s="3">
        <v>34350</v>
      </c>
      <c r="F2" s="3">
        <v>36397</v>
      </c>
      <c r="G2" s="3">
        <v>39117</v>
      </c>
      <c r="H2" s="3">
        <v>37403</v>
      </c>
      <c r="I2" s="3">
        <v>44538</v>
      </c>
      <c r="J2" s="3">
        <v>46710</v>
      </c>
    </row>
    <row r="3" spans="1:10" x14ac:dyDescent="0.3">
      <c r="A3" s="23" t="s">
        <v>28</v>
      </c>
      <c r="C3" s="24">
        <v>16534</v>
      </c>
      <c r="D3" s="24">
        <v>17405</v>
      </c>
      <c r="E3" s="24">
        <v>19038</v>
      </c>
      <c r="F3" s="24">
        <v>20441</v>
      </c>
      <c r="G3" s="24">
        <v>21643</v>
      </c>
      <c r="H3" s="24">
        <v>21162</v>
      </c>
      <c r="I3" s="24">
        <v>24576</v>
      </c>
      <c r="J3" s="24">
        <v>25231</v>
      </c>
    </row>
    <row r="4" spans="1:10" s="1" customFormat="1" x14ac:dyDescent="0.3">
      <c r="A4" s="1" t="s">
        <v>4</v>
      </c>
      <c r="B4"/>
      <c r="C4" s="9">
        <f t="shared" ref="C4:I4" si="1">+C2-C3</f>
        <v>14067</v>
      </c>
      <c r="D4" s="9">
        <f t="shared" si="1"/>
        <v>14971</v>
      </c>
      <c r="E4" s="9">
        <v>15312</v>
      </c>
      <c r="F4" s="9">
        <v>15956</v>
      </c>
      <c r="G4" s="9">
        <f t="shared" si="1"/>
        <v>17474</v>
      </c>
      <c r="H4" s="9">
        <v>16241</v>
      </c>
      <c r="I4" s="9">
        <f t="shared" si="1"/>
        <v>19962</v>
      </c>
      <c r="J4" s="9">
        <f>+J2-J3</f>
        <v>21479</v>
      </c>
    </row>
    <row r="5" spans="1:10" x14ac:dyDescent="0.3">
      <c r="A5" s="11" t="s">
        <v>21</v>
      </c>
      <c r="B5" s="1"/>
      <c r="C5" s="3">
        <v>3213</v>
      </c>
      <c r="D5" s="3">
        <v>3278</v>
      </c>
      <c r="E5" s="3">
        <v>3341</v>
      </c>
      <c r="F5" s="3">
        <v>3577</v>
      </c>
      <c r="G5" s="3">
        <v>3753</v>
      </c>
      <c r="H5" s="3">
        <v>3592</v>
      </c>
      <c r="I5" s="3">
        <v>3114</v>
      </c>
      <c r="J5" s="3">
        <v>3850</v>
      </c>
    </row>
    <row r="6" spans="1:10" x14ac:dyDescent="0.3">
      <c r="A6" s="11" t="s">
        <v>22</v>
      </c>
      <c r="C6" s="3">
        <v>6679</v>
      </c>
      <c r="D6" s="3">
        <v>7191</v>
      </c>
      <c r="E6" s="3">
        <v>7222</v>
      </c>
      <c r="F6" s="3">
        <v>7934</v>
      </c>
      <c r="G6" s="3">
        <v>8949</v>
      </c>
      <c r="H6" s="3">
        <v>9534</v>
      </c>
      <c r="I6" s="3">
        <v>9911</v>
      </c>
      <c r="J6" s="3">
        <v>10954</v>
      </c>
    </row>
    <row r="7" spans="1:10" x14ac:dyDescent="0.3">
      <c r="A7" s="22" t="s">
        <v>23</v>
      </c>
      <c r="C7" s="21">
        <f t="shared" ref="C7:I7" si="2">+C5+C6</f>
        <v>9892</v>
      </c>
      <c r="D7" s="21">
        <f t="shared" si="2"/>
        <v>10469</v>
      </c>
      <c r="E7" s="21">
        <f t="shared" si="2"/>
        <v>10563</v>
      </c>
      <c r="F7" s="21">
        <f t="shared" si="2"/>
        <v>11511</v>
      </c>
      <c r="G7" s="21">
        <f t="shared" si="2"/>
        <v>12702</v>
      </c>
      <c r="H7" s="21">
        <v>13126</v>
      </c>
      <c r="I7" s="21">
        <f t="shared" si="2"/>
        <v>13025</v>
      </c>
      <c r="J7" s="21">
        <f>+J5+J6</f>
        <v>14804</v>
      </c>
    </row>
    <row r="8" spans="1:10" x14ac:dyDescent="0.3">
      <c r="A8" s="2" t="s">
        <v>24</v>
      </c>
      <c r="C8" s="3">
        <v>28</v>
      </c>
      <c r="D8" s="3">
        <v>19</v>
      </c>
      <c r="E8" s="3">
        <v>59</v>
      </c>
      <c r="F8" s="3">
        <v>54</v>
      </c>
      <c r="G8" s="3">
        <v>49</v>
      </c>
      <c r="H8" s="3">
        <v>89</v>
      </c>
      <c r="I8" s="3">
        <v>262</v>
      </c>
      <c r="J8" s="3">
        <v>205</v>
      </c>
    </row>
    <row r="9" spans="1:10" x14ac:dyDescent="0.3">
      <c r="A9" s="2" t="s">
        <v>5</v>
      </c>
      <c r="C9" s="3">
        <v>-58</v>
      </c>
      <c r="D9" s="3">
        <v>-140</v>
      </c>
      <c r="E9" s="3">
        <v>-196</v>
      </c>
      <c r="F9" s="3">
        <v>66</v>
      </c>
      <c r="G9" s="3">
        <v>-78</v>
      </c>
      <c r="H9" s="3">
        <v>139</v>
      </c>
      <c r="I9" s="3">
        <v>14</v>
      </c>
      <c r="J9" s="3">
        <v>-181</v>
      </c>
    </row>
    <row r="10" spans="1:10" x14ac:dyDescent="0.3">
      <c r="A10" s="4" t="s">
        <v>25</v>
      </c>
      <c r="C10" s="5">
        <f t="shared" ref="C10:I10" si="3">+C4-C7-C8-C9</f>
        <v>4205</v>
      </c>
      <c r="D10" s="5">
        <f t="shared" si="3"/>
        <v>4623</v>
      </c>
      <c r="E10" s="5">
        <f t="shared" si="3"/>
        <v>4886</v>
      </c>
      <c r="F10" s="5">
        <f t="shared" si="3"/>
        <v>4325</v>
      </c>
      <c r="G10" s="5">
        <f t="shared" si="3"/>
        <v>4801</v>
      </c>
      <c r="H10" s="5">
        <v>2887</v>
      </c>
      <c r="I10" s="5">
        <f t="shared" si="3"/>
        <v>6661</v>
      </c>
      <c r="J10" s="5">
        <f>+J4-J7-J8-J9</f>
        <v>6651</v>
      </c>
    </row>
    <row r="11" spans="1:10" x14ac:dyDescent="0.3">
      <c r="A11" s="2" t="s">
        <v>26</v>
      </c>
      <c r="C11" s="3">
        <v>932</v>
      </c>
      <c r="D11" s="3">
        <v>863</v>
      </c>
      <c r="E11" s="3">
        <v>646</v>
      </c>
      <c r="F11" s="3">
        <v>2392</v>
      </c>
      <c r="G11" s="3">
        <v>772</v>
      </c>
      <c r="H11" s="3">
        <v>348</v>
      </c>
      <c r="I11" s="3">
        <v>934</v>
      </c>
      <c r="J11" s="3">
        <v>605</v>
      </c>
    </row>
    <row r="12" spans="1:10" ht="15" thickBot="1" x14ac:dyDescent="0.35">
      <c r="A12" s="6" t="s">
        <v>29</v>
      </c>
      <c r="C12" s="7">
        <f t="shared" ref="C12:I12" si="4">+C10-C11</f>
        <v>3273</v>
      </c>
      <c r="D12" s="7">
        <f t="shared" si="4"/>
        <v>3760</v>
      </c>
      <c r="E12" s="7">
        <f t="shared" si="4"/>
        <v>4240</v>
      </c>
      <c r="F12" s="7">
        <f t="shared" si="4"/>
        <v>1933</v>
      </c>
      <c r="G12" s="7">
        <f t="shared" si="4"/>
        <v>4029</v>
      </c>
      <c r="H12" s="7">
        <v>2539</v>
      </c>
      <c r="I12" s="7">
        <f t="shared" si="4"/>
        <v>5727</v>
      </c>
      <c r="J12" s="7">
        <f>+J10-J11</f>
        <v>6046</v>
      </c>
    </row>
    <row r="13" spans="1:10" ht="15" thickTop="1" x14ac:dyDescent="0.3">
      <c r="A13" s="1" t="s">
        <v>8</v>
      </c>
    </row>
    <row r="14" spans="1:10" x14ac:dyDescent="0.3">
      <c r="A14" s="2" t="s">
        <v>6</v>
      </c>
      <c r="C14">
        <v>1.9</v>
      </c>
      <c r="D14">
        <v>2.21</v>
      </c>
      <c r="E14">
        <v>2.56</v>
      </c>
      <c r="F14">
        <v>1.19</v>
      </c>
      <c r="G14">
        <v>2.5499999999999998</v>
      </c>
      <c r="H14">
        <v>1.63</v>
      </c>
      <c r="I14">
        <v>3.64</v>
      </c>
      <c r="J14">
        <v>3.83</v>
      </c>
    </row>
    <row r="15" spans="1:10" x14ac:dyDescent="0.3">
      <c r="A15" s="2" t="s">
        <v>7</v>
      </c>
      <c r="C15">
        <v>1.85</v>
      </c>
      <c r="D15">
        <v>2.16</v>
      </c>
      <c r="E15">
        <v>2.5099999999999998</v>
      </c>
      <c r="F15">
        <v>1.17</v>
      </c>
      <c r="G15">
        <v>2.4900000000000002</v>
      </c>
      <c r="H15">
        <v>1.6</v>
      </c>
      <c r="I15">
        <v>3.56</v>
      </c>
      <c r="J15">
        <v>3.75</v>
      </c>
    </row>
    <row r="16" spans="1:10" x14ac:dyDescent="0.3">
      <c r="A16" s="1" t="s">
        <v>9</v>
      </c>
    </row>
    <row r="17" spans="1:10" x14ac:dyDescent="0.3">
      <c r="A17" s="2" t="s">
        <v>6</v>
      </c>
      <c r="C17">
        <v>1723.5</v>
      </c>
      <c r="D17">
        <v>1697.9</v>
      </c>
      <c r="E17">
        <v>1657.8</v>
      </c>
      <c r="F17">
        <v>1623.8</v>
      </c>
      <c r="G17">
        <v>1579.7</v>
      </c>
      <c r="H17" s="8">
        <v>1558.8</v>
      </c>
      <c r="I17" s="8">
        <v>1573</v>
      </c>
      <c r="J17" s="8">
        <v>1578.8</v>
      </c>
    </row>
    <row r="18" spans="1:10" x14ac:dyDescent="0.3">
      <c r="A18" s="2" t="s">
        <v>7</v>
      </c>
      <c r="C18">
        <v>1768.8</v>
      </c>
      <c r="D18">
        <v>1742.5</v>
      </c>
      <c r="E18">
        <v>1692</v>
      </c>
      <c r="F18">
        <v>1659.1</v>
      </c>
      <c r="G18">
        <v>1618.4</v>
      </c>
      <c r="H18" s="8">
        <v>1591.6</v>
      </c>
      <c r="I18" s="8">
        <v>1609.4</v>
      </c>
      <c r="J18" s="8">
        <v>1610.8</v>
      </c>
    </row>
    <row r="20" spans="1:10" s="12" customFormat="1" x14ac:dyDescent="0.3">
      <c r="A20" s="12" t="s">
        <v>2</v>
      </c>
      <c r="B20"/>
      <c r="C20" s="13">
        <f>+ROUND(((C12/C18)-C15),2)</f>
        <v>0</v>
      </c>
      <c r="D20" s="13">
        <f t="shared" ref="D20:J20" si="5">+ROUND(((D12/D18)-D15),2)</f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  <c r="J20" s="13">
        <f t="shared" si="5"/>
        <v>0</v>
      </c>
    </row>
    <row r="21" spans="1:10" x14ac:dyDescent="0.3">
      <c r="B21" s="12"/>
    </row>
    <row r="22" spans="1:10" x14ac:dyDescent="0.3">
      <c r="A22" s="14" t="s">
        <v>0</v>
      </c>
      <c r="C22" s="14"/>
      <c r="D22" s="14"/>
      <c r="E22" s="14"/>
      <c r="F22" s="14"/>
      <c r="G22" s="14"/>
      <c r="H22" s="14"/>
      <c r="I22" s="14"/>
      <c r="J22" s="14"/>
    </row>
    <row r="23" spans="1:10" x14ac:dyDescent="0.3">
      <c r="A23" s="1" t="s">
        <v>30</v>
      </c>
    </row>
    <row r="24" spans="1:10" x14ac:dyDescent="0.3">
      <c r="A24" s="10" t="s">
        <v>31</v>
      </c>
      <c r="C24" s="3"/>
      <c r="D24" s="3"/>
      <c r="E24" s="3"/>
      <c r="F24" s="3"/>
      <c r="G24" s="3"/>
      <c r="H24" s="3"/>
      <c r="I24" s="3"/>
      <c r="J24" s="3"/>
    </row>
    <row r="25" spans="1:10" x14ac:dyDescent="0.3">
      <c r="A25" s="11" t="s">
        <v>32</v>
      </c>
      <c r="C25" s="3">
        <v>3852</v>
      </c>
      <c r="D25" s="3">
        <v>3138</v>
      </c>
      <c r="E25" s="3">
        <v>3808</v>
      </c>
      <c r="F25" s="3">
        <v>4249</v>
      </c>
      <c r="G25" s="3">
        <v>4466</v>
      </c>
      <c r="H25" s="3">
        <v>8348</v>
      </c>
      <c r="I25" s="3">
        <v>9889</v>
      </c>
      <c r="J25" s="3">
        <v>8574</v>
      </c>
    </row>
    <row r="26" spans="1:10" x14ac:dyDescent="0.3">
      <c r="A26" s="11" t="s">
        <v>33</v>
      </c>
      <c r="C26" s="3">
        <v>2072</v>
      </c>
      <c r="D26" s="3">
        <v>2319</v>
      </c>
      <c r="E26" s="3">
        <v>2371</v>
      </c>
      <c r="F26" s="3">
        <v>996</v>
      </c>
      <c r="G26" s="3">
        <v>197</v>
      </c>
      <c r="H26" s="3">
        <v>439</v>
      </c>
      <c r="I26" s="3">
        <v>3587</v>
      </c>
      <c r="J26" s="3">
        <v>4423</v>
      </c>
    </row>
    <row r="27" spans="1:10" x14ac:dyDescent="0.3">
      <c r="A27" s="11" t="s">
        <v>34</v>
      </c>
      <c r="C27" s="3">
        <v>3358</v>
      </c>
      <c r="D27" s="3">
        <v>3241</v>
      </c>
      <c r="E27" s="3">
        <v>3677</v>
      </c>
      <c r="F27" s="3">
        <v>3498</v>
      </c>
      <c r="G27" s="3">
        <v>4272</v>
      </c>
      <c r="H27" s="3">
        <v>2749</v>
      </c>
      <c r="I27" s="3">
        <v>4463</v>
      </c>
      <c r="J27" s="3">
        <v>4667</v>
      </c>
    </row>
    <row r="28" spans="1:10" x14ac:dyDescent="0.3">
      <c r="A28" s="11" t="s">
        <v>35</v>
      </c>
      <c r="C28" s="3">
        <v>4337</v>
      </c>
      <c r="D28" s="3">
        <v>4838</v>
      </c>
      <c r="E28" s="3">
        <v>5055</v>
      </c>
      <c r="F28" s="3">
        <v>5261</v>
      </c>
      <c r="G28" s="3">
        <v>5622</v>
      </c>
      <c r="H28" s="3">
        <v>7367</v>
      </c>
      <c r="I28" s="3">
        <v>6854</v>
      </c>
      <c r="J28" s="3">
        <v>8420</v>
      </c>
    </row>
    <row r="29" spans="1:10" x14ac:dyDescent="0.3">
      <c r="A29" s="11" t="s">
        <v>36</v>
      </c>
      <c r="C29" s="3">
        <v>1968</v>
      </c>
      <c r="D29" s="3">
        <v>1489</v>
      </c>
      <c r="E29" s="3">
        <v>1150</v>
      </c>
      <c r="F29" s="3">
        <v>1130</v>
      </c>
      <c r="G29" s="3">
        <v>1968</v>
      </c>
      <c r="H29" s="3">
        <v>1653</v>
      </c>
      <c r="I29" s="3">
        <v>1498</v>
      </c>
      <c r="J29" s="3">
        <v>2129</v>
      </c>
    </row>
    <row r="30" spans="1:10" x14ac:dyDescent="0.3">
      <c r="A30" s="4" t="s">
        <v>10</v>
      </c>
      <c r="C30" s="5">
        <f t="shared" ref="C30:I30" si="6">+SUM(C25:C29)</f>
        <v>15587</v>
      </c>
      <c r="D30" s="5">
        <f t="shared" si="6"/>
        <v>15025</v>
      </c>
      <c r="E30" s="5">
        <f t="shared" si="6"/>
        <v>16061</v>
      </c>
      <c r="F30" s="5">
        <f t="shared" si="6"/>
        <v>15134</v>
      </c>
      <c r="G30" s="5">
        <f t="shared" si="6"/>
        <v>16525</v>
      </c>
      <c r="H30" s="5">
        <f t="shared" si="6"/>
        <v>20556</v>
      </c>
      <c r="I30" s="5">
        <f t="shared" si="6"/>
        <v>26291</v>
      </c>
      <c r="J30" s="5">
        <f>+SUM(J25:J29)</f>
        <v>28213</v>
      </c>
    </row>
    <row r="31" spans="1:10" x14ac:dyDescent="0.3">
      <c r="A31" s="2" t="s">
        <v>37</v>
      </c>
      <c r="C31" s="3">
        <v>3011</v>
      </c>
      <c r="D31" s="3">
        <v>3520</v>
      </c>
      <c r="E31" s="3">
        <v>3989</v>
      </c>
      <c r="F31" s="3">
        <v>4454</v>
      </c>
      <c r="G31" s="3">
        <v>4744</v>
      </c>
      <c r="H31" s="3">
        <v>4866</v>
      </c>
      <c r="I31" s="3">
        <v>4904</v>
      </c>
      <c r="J31" s="3">
        <v>4791</v>
      </c>
    </row>
    <row r="32" spans="1:10" x14ac:dyDescent="0.3">
      <c r="A32" s="2" t="s">
        <v>38</v>
      </c>
      <c r="C32" s="3"/>
      <c r="D32" s="3"/>
      <c r="G32" s="3"/>
      <c r="H32" s="3">
        <v>3097</v>
      </c>
      <c r="I32" s="3">
        <v>3113</v>
      </c>
      <c r="J32" s="3">
        <v>2926</v>
      </c>
    </row>
    <row r="33" spans="1:10" x14ac:dyDescent="0.3">
      <c r="A33" s="2" t="s">
        <v>39</v>
      </c>
      <c r="C33" s="3">
        <v>281</v>
      </c>
      <c r="D33" s="3">
        <v>281</v>
      </c>
      <c r="E33" s="3">
        <v>283</v>
      </c>
      <c r="F33" s="3">
        <v>285</v>
      </c>
      <c r="G33" s="3">
        <v>283</v>
      </c>
      <c r="H33" s="3">
        <v>274</v>
      </c>
      <c r="I33" s="3">
        <v>269</v>
      </c>
      <c r="J33" s="3">
        <v>286</v>
      </c>
    </row>
    <row r="34" spans="1:10" x14ac:dyDescent="0.3">
      <c r="A34" s="2" t="s">
        <v>40</v>
      </c>
      <c r="C34" s="3">
        <v>131</v>
      </c>
      <c r="D34" s="3">
        <v>131</v>
      </c>
      <c r="E34" s="3">
        <v>139</v>
      </c>
      <c r="F34" s="3">
        <v>154</v>
      </c>
      <c r="G34" s="3">
        <v>154</v>
      </c>
      <c r="H34" s="3">
        <v>223</v>
      </c>
      <c r="I34" s="3">
        <v>242</v>
      </c>
      <c r="J34" s="3">
        <v>284</v>
      </c>
    </row>
    <row r="35" spans="1:10" x14ac:dyDescent="0.3">
      <c r="A35" s="2" t="s">
        <v>41</v>
      </c>
      <c r="C35" s="3">
        <v>2587</v>
      </c>
      <c r="D35" s="3">
        <v>2422</v>
      </c>
      <c r="E35" s="3">
        <v>2787</v>
      </c>
      <c r="F35" s="3">
        <v>2509</v>
      </c>
      <c r="G35" s="3">
        <v>2011</v>
      </c>
      <c r="H35" s="3">
        <v>2326</v>
      </c>
      <c r="I35" s="3">
        <v>2921</v>
      </c>
      <c r="J35" s="3">
        <v>3821</v>
      </c>
    </row>
    <row r="36" spans="1:10" ht="15" thickBot="1" x14ac:dyDescent="0.35">
      <c r="A36" s="6" t="s">
        <v>42</v>
      </c>
      <c r="C36" s="7">
        <f t="shared" ref="C36:I36" si="7">+SUM(C30:C35)</f>
        <v>21597</v>
      </c>
      <c r="D36" s="7">
        <f>+SUM(D30:D35)</f>
        <v>21379</v>
      </c>
      <c r="E36" s="7">
        <f>+SUM(E30:E35)</f>
        <v>23259</v>
      </c>
      <c r="F36" s="7">
        <f>+SUM(F30:F35)</f>
        <v>22536</v>
      </c>
      <c r="G36" s="7">
        <f t="shared" si="7"/>
        <v>23717</v>
      </c>
      <c r="H36" s="7">
        <f t="shared" si="7"/>
        <v>31342</v>
      </c>
      <c r="I36" s="7">
        <f t="shared" si="7"/>
        <v>37740</v>
      </c>
      <c r="J36" s="7">
        <f>+SUM(J30:J35)</f>
        <v>40321</v>
      </c>
    </row>
    <row r="37" spans="1:10" ht="15" thickTop="1" x14ac:dyDescent="0.3">
      <c r="A37" s="1" t="s">
        <v>43</v>
      </c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2" t="s">
        <v>44</v>
      </c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11" t="s">
        <v>45</v>
      </c>
      <c r="C39" s="3">
        <v>107</v>
      </c>
      <c r="D39" s="3">
        <v>44</v>
      </c>
      <c r="E39" s="3">
        <v>6</v>
      </c>
      <c r="F39" s="3">
        <v>6</v>
      </c>
      <c r="G39" s="3">
        <v>6</v>
      </c>
      <c r="H39" s="3">
        <v>3</v>
      </c>
      <c r="I39" s="3">
        <v>0</v>
      </c>
      <c r="J39" s="3">
        <v>500</v>
      </c>
    </row>
    <row r="40" spans="1:10" x14ac:dyDescent="0.3">
      <c r="A40" s="11" t="s">
        <v>46</v>
      </c>
      <c r="C40" s="3">
        <v>74</v>
      </c>
      <c r="D40" s="3">
        <v>1</v>
      </c>
      <c r="E40" s="3">
        <v>325</v>
      </c>
      <c r="F40" s="3">
        <v>336</v>
      </c>
      <c r="G40" s="3">
        <v>9</v>
      </c>
      <c r="H40" s="3">
        <v>248</v>
      </c>
      <c r="I40" s="3">
        <v>2</v>
      </c>
      <c r="J40" s="3">
        <v>10</v>
      </c>
    </row>
    <row r="41" spans="1:10" x14ac:dyDescent="0.3">
      <c r="A41" s="11" t="s">
        <v>11</v>
      </c>
      <c r="C41" s="3">
        <v>2131</v>
      </c>
      <c r="D41" s="3">
        <v>2191</v>
      </c>
      <c r="E41" s="3">
        <v>2048</v>
      </c>
      <c r="F41" s="3">
        <v>2279</v>
      </c>
      <c r="G41" s="3">
        <v>2612</v>
      </c>
      <c r="H41" s="3">
        <v>2248</v>
      </c>
      <c r="I41" s="3">
        <v>2836</v>
      </c>
      <c r="J41" s="3">
        <v>3358</v>
      </c>
    </row>
    <row r="42" spans="1:10" x14ac:dyDescent="0.3">
      <c r="A42" s="11" t="s">
        <v>47</v>
      </c>
      <c r="C42" s="3"/>
      <c r="D42" s="3"/>
      <c r="E42" s="3"/>
      <c r="G42" s="3"/>
      <c r="H42" s="3">
        <v>445</v>
      </c>
      <c r="I42" s="3">
        <v>467</v>
      </c>
      <c r="J42" s="3">
        <v>420</v>
      </c>
    </row>
    <row r="43" spans="1:10" x14ac:dyDescent="0.3">
      <c r="A43" s="11" t="s">
        <v>12</v>
      </c>
      <c r="C43" s="3">
        <v>3949</v>
      </c>
      <c r="D43" s="3">
        <v>3037</v>
      </c>
      <c r="E43" s="3">
        <v>3011</v>
      </c>
      <c r="F43" s="3">
        <v>3269</v>
      </c>
      <c r="G43" s="3">
        <v>5010</v>
      </c>
      <c r="H43" s="3">
        <v>5184</v>
      </c>
      <c r="I43" s="3">
        <v>6063</v>
      </c>
      <c r="J43" s="3">
        <v>6220</v>
      </c>
    </row>
    <row r="44" spans="1:10" x14ac:dyDescent="0.3">
      <c r="A44" s="11" t="s">
        <v>48</v>
      </c>
      <c r="C44" s="3">
        <v>71</v>
      </c>
      <c r="D44" s="3">
        <v>85</v>
      </c>
      <c r="E44" s="3">
        <v>84</v>
      </c>
      <c r="F44" s="3">
        <v>150</v>
      </c>
      <c r="G44" s="3">
        <v>229</v>
      </c>
      <c r="H44" s="3">
        <v>156</v>
      </c>
      <c r="I44" s="3">
        <v>306</v>
      </c>
      <c r="J44" s="3">
        <v>222</v>
      </c>
    </row>
    <row r="45" spans="1:10" x14ac:dyDescent="0.3">
      <c r="A45" s="4" t="s">
        <v>13</v>
      </c>
      <c r="C45" s="5">
        <f t="shared" ref="C45:I45" si="8">+SUM(C39:C44)</f>
        <v>6332</v>
      </c>
      <c r="D45" s="5">
        <f t="shared" si="8"/>
        <v>5358</v>
      </c>
      <c r="E45" s="5">
        <f t="shared" si="8"/>
        <v>5474</v>
      </c>
      <c r="F45" s="5">
        <f t="shared" si="8"/>
        <v>6040</v>
      </c>
      <c r="G45" s="5">
        <f t="shared" si="8"/>
        <v>7866</v>
      </c>
      <c r="H45" s="5">
        <f t="shared" si="8"/>
        <v>8284</v>
      </c>
      <c r="I45" s="5">
        <f t="shared" si="8"/>
        <v>9674</v>
      </c>
      <c r="J45" s="5">
        <f>+SUM(J39:J44)</f>
        <v>10730</v>
      </c>
    </row>
    <row r="46" spans="1:10" x14ac:dyDescent="0.3">
      <c r="A46" s="2" t="s">
        <v>49</v>
      </c>
      <c r="C46" s="3">
        <v>1079</v>
      </c>
      <c r="D46" s="3">
        <v>1993</v>
      </c>
      <c r="E46" s="3">
        <v>3471</v>
      </c>
      <c r="F46" s="3">
        <v>3468</v>
      </c>
      <c r="G46" s="3">
        <v>3464</v>
      </c>
      <c r="H46" s="3">
        <v>9406</v>
      </c>
      <c r="I46" s="3">
        <v>9413</v>
      </c>
      <c r="J46" s="3">
        <v>8920</v>
      </c>
    </row>
    <row r="47" spans="1:10" x14ac:dyDescent="0.3">
      <c r="A47" s="2" t="s">
        <v>50</v>
      </c>
      <c r="C47" s="3"/>
      <c r="D47" s="3"/>
      <c r="E47" s="3"/>
      <c r="F47" s="3"/>
      <c r="G47" s="3"/>
      <c r="H47" s="3">
        <v>2913</v>
      </c>
      <c r="I47" s="3">
        <v>2931</v>
      </c>
      <c r="J47" s="3">
        <v>2777</v>
      </c>
    </row>
    <row r="48" spans="1:10" x14ac:dyDescent="0.3">
      <c r="A48" s="2" t="s">
        <v>51</v>
      </c>
      <c r="C48" s="3">
        <v>1479</v>
      </c>
      <c r="D48" s="3">
        <v>1770</v>
      </c>
      <c r="E48" s="3">
        <v>1907</v>
      </c>
      <c r="F48" s="3">
        <v>3216</v>
      </c>
      <c r="G48" s="3">
        <v>3347</v>
      </c>
      <c r="H48" s="3">
        <v>2684</v>
      </c>
      <c r="I48" s="3">
        <v>2955</v>
      </c>
      <c r="J48" s="3">
        <v>2613</v>
      </c>
    </row>
    <row r="49" spans="1:10" x14ac:dyDescent="0.3">
      <c r="A49" s="2" t="s">
        <v>52</v>
      </c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11" t="s">
        <v>53</v>
      </c>
      <c r="C50" s="3"/>
      <c r="D50" s="3"/>
      <c r="E50" s="3"/>
      <c r="F50" s="3"/>
      <c r="G50" s="3"/>
      <c r="H50" s="3"/>
      <c r="I50" s="3">
        <v>0</v>
      </c>
      <c r="J50" s="3">
        <v>0</v>
      </c>
    </row>
    <row r="51" spans="1:10" x14ac:dyDescent="0.3">
      <c r="A51" s="2" t="s">
        <v>54</v>
      </c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11" t="s">
        <v>55</v>
      </c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17" t="s">
        <v>56</v>
      </c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17" t="s">
        <v>57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</row>
    <row r="55" spans="1:10" x14ac:dyDescent="0.3">
      <c r="A55" s="17" t="s">
        <v>58</v>
      </c>
      <c r="C55" s="3">
        <v>6773</v>
      </c>
      <c r="D55" s="3">
        <v>7786</v>
      </c>
      <c r="E55" s="3">
        <v>5710</v>
      </c>
      <c r="F55" s="3">
        <v>6384</v>
      </c>
      <c r="G55" s="3">
        <v>7163</v>
      </c>
      <c r="H55" s="3">
        <v>8299</v>
      </c>
      <c r="I55" s="3">
        <v>9965</v>
      </c>
      <c r="J55" s="3">
        <v>11484</v>
      </c>
    </row>
    <row r="56" spans="1:10" x14ac:dyDescent="0.3">
      <c r="A56" s="17" t="s">
        <v>59</v>
      </c>
      <c r="C56" s="3">
        <v>1246</v>
      </c>
      <c r="D56" s="3">
        <v>318</v>
      </c>
      <c r="E56" s="3">
        <v>-213</v>
      </c>
      <c r="F56" s="3">
        <v>-92</v>
      </c>
      <c r="G56" s="3">
        <v>231</v>
      </c>
      <c r="H56" s="3">
        <v>-56</v>
      </c>
      <c r="I56" s="3">
        <v>-380</v>
      </c>
      <c r="J56" s="3">
        <v>318</v>
      </c>
    </row>
    <row r="57" spans="1:10" x14ac:dyDescent="0.3">
      <c r="A57" s="17" t="s">
        <v>60</v>
      </c>
      <c r="C57" s="3">
        <v>4685</v>
      </c>
      <c r="D57" s="3">
        <v>4151</v>
      </c>
      <c r="E57" s="3">
        <v>6907</v>
      </c>
      <c r="F57" s="3">
        <v>3517</v>
      </c>
      <c r="G57" s="3">
        <v>1643</v>
      </c>
      <c r="H57" s="3">
        <v>-191</v>
      </c>
      <c r="I57" s="3">
        <v>3179</v>
      </c>
      <c r="J57" s="3">
        <v>3476</v>
      </c>
    </row>
    <row r="58" spans="1:10" x14ac:dyDescent="0.3">
      <c r="A58" s="4" t="s">
        <v>61</v>
      </c>
      <c r="C58" s="5">
        <f t="shared" ref="C58:I58" si="9">+SUM(C53:C57)</f>
        <v>12707</v>
      </c>
      <c r="D58" s="5">
        <f t="shared" si="9"/>
        <v>12258</v>
      </c>
      <c r="E58" s="5">
        <f t="shared" si="9"/>
        <v>12407</v>
      </c>
      <c r="F58" s="5">
        <f t="shared" si="9"/>
        <v>9812</v>
      </c>
      <c r="G58" s="5">
        <f t="shared" si="9"/>
        <v>9040</v>
      </c>
      <c r="H58" s="5">
        <f t="shared" si="9"/>
        <v>8055</v>
      </c>
      <c r="I58" s="5">
        <f t="shared" si="9"/>
        <v>12767</v>
      </c>
      <c r="J58" s="5">
        <f>+SUM(J53:J57)</f>
        <v>15281</v>
      </c>
    </row>
    <row r="59" spans="1:10" ht="15" thickBot="1" x14ac:dyDescent="0.35">
      <c r="A59" s="6" t="s">
        <v>62</v>
      </c>
      <c r="C59" s="7">
        <f t="shared" ref="C59:I59" si="10">+SUM(C45:C50)+C58</f>
        <v>21597</v>
      </c>
      <c r="D59" s="7">
        <f t="shared" si="10"/>
        <v>21379</v>
      </c>
      <c r="E59" s="7">
        <f t="shared" si="10"/>
        <v>23259</v>
      </c>
      <c r="F59" s="7">
        <f t="shared" si="10"/>
        <v>22536</v>
      </c>
      <c r="G59" s="7">
        <f t="shared" si="10"/>
        <v>23717</v>
      </c>
      <c r="H59" s="7">
        <f t="shared" si="10"/>
        <v>31342</v>
      </c>
      <c r="I59" s="7">
        <f t="shared" si="10"/>
        <v>37740</v>
      </c>
      <c r="J59" s="7">
        <f>+SUM(J45:J50)+J58</f>
        <v>40321</v>
      </c>
    </row>
    <row r="60" spans="1:10" s="12" customFormat="1" ht="15" thickTop="1" x14ac:dyDescent="0.3">
      <c r="A60" s="12" t="s">
        <v>3</v>
      </c>
      <c r="C60" s="13">
        <f t="shared" ref="C60:I60" si="11">+C59-C36</f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 t="shared" si="11"/>
        <v>0</v>
      </c>
      <c r="J60" s="13">
        <f>+J59-J36</f>
        <v>0</v>
      </c>
    </row>
    <row r="61" spans="1:10" x14ac:dyDescent="0.3">
      <c r="A61" s="14" t="s">
        <v>1</v>
      </c>
      <c r="C61" s="14"/>
      <c r="D61" s="14"/>
      <c r="E61" s="14"/>
      <c r="F61" s="14"/>
      <c r="G61" s="14"/>
      <c r="H61" s="14"/>
      <c r="I61" s="14"/>
      <c r="J61" s="14"/>
    </row>
    <row r="62" spans="1:10" x14ac:dyDescent="0.3">
      <c r="A62" t="s">
        <v>15</v>
      </c>
    </row>
    <row r="63" spans="1:10" x14ac:dyDescent="0.3">
      <c r="A63" s="1" t="s">
        <v>63</v>
      </c>
    </row>
    <row r="64" spans="1:10" s="1" customFormat="1" x14ac:dyDescent="0.3">
      <c r="A64" s="10" t="s">
        <v>64</v>
      </c>
      <c r="C64" s="9">
        <v>3273</v>
      </c>
      <c r="D64" s="9">
        <v>3760</v>
      </c>
      <c r="E64" s="9">
        <v>4240</v>
      </c>
      <c r="F64" s="9">
        <v>1933</v>
      </c>
      <c r="G64" s="9">
        <v>4029</v>
      </c>
      <c r="H64" s="9">
        <v>2539</v>
      </c>
      <c r="I64" s="9">
        <f>+I12</f>
        <v>5727</v>
      </c>
      <c r="J64" s="9">
        <f>+J12</f>
        <v>6046</v>
      </c>
    </row>
    <row r="65" spans="1:10" s="1" customFormat="1" x14ac:dyDescent="0.3">
      <c r="A65" s="2" t="s">
        <v>65</v>
      </c>
      <c r="C65" s="3"/>
      <c r="D65" s="3"/>
      <c r="F65" s="3"/>
      <c r="G65" s="3"/>
      <c r="H65" s="3"/>
      <c r="I65" s="3"/>
      <c r="J65" s="3"/>
    </row>
    <row r="66" spans="1:10" x14ac:dyDescent="0.3">
      <c r="A66" s="11" t="s">
        <v>66</v>
      </c>
      <c r="C66" s="3">
        <v>606</v>
      </c>
      <c r="D66" s="3">
        <v>649</v>
      </c>
      <c r="E66" s="3">
        <v>706</v>
      </c>
      <c r="F66" s="3">
        <v>747</v>
      </c>
      <c r="G66" s="3">
        <v>705</v>
      </c>
      <c r="H66" s="3">
        <v>721</v>
      </c>
      <c r="I66" s="3">
        <v>744</v>
      </c>
      <c r="J66" s="3">
        <v>717</v>
      </c>
    </row>
    <row r="67" spans="1:10" x14ac:dyDescent="0.3">
      <c r="A67" s="11" t="s">
        <v>67</v>
      </c>
      <c r="C67" s="3">
        <v>-113</v>
      </c>
      <c r="D67" s="3">
        <v>-80</v>
      </c>
      <c r="E67" s="3">
        <v>-273</v>
      </c>
      <c r="F67" s="3">
        <v>647</v>
      </c>
      <c r="G67" s="3">
        <v>34</v>
      </c>
      <c r="H67" s="3">
        <v>-380</v>
      </c>
      <c r="I67" s="3">
        <v>-385</v>
      </c>
      <c r="J67" s="3">
        <v>-650</v>
      </c>
    </row>
    <row r="68" spans="1:10" x14ac:dyDescent="0.3">
      <c r="A68" s="11" t="s">
        <v>68</v>
      </c>
      <c r="C68" s="3">
        <v>191</v>
      </c>
      <c r="D68" s="3">
        <v>236</v>
      </c>
      <c r="E68" s="3">
        <v>215</v>
      </c>
      <c r="F68" s="3">
        <v>218</v>
      </c>
      <c r="G68" s="3">
        <v>325</v>
      </c>
      <c r="H68" s="3">
        <v>429</v>
      </c>
      <c r="I68" s="3">
        <v>611</v>
      </c>
      <c r="J68" s="3">
        <v>638</v>
      </c>
    </row>
    <row r="69" spans="1:10" x14ac:dyDescent="0.3">
      <c r="A69" s="11" t="s">
        <v>69</v>
      </c>
      <c r="C69" s="3">
        <v>43</v>
      </c>
      <c r="D69" s="3">
        <v>13</v>
      </c>
      <c r="E69" s="3">
        <v>10</v>
      </c>
      <c r="F69" s="3">
        <v>27</v>
      </c>
      <c r="G69" s="3">
        <v>15</v>
      </c>
      <c r="H69" s="3">
        <v>398</v>
      </c>
      <c r="I69" s="3">
        <v>53</v>
      </c>
      <c r="J69" s="3">
        <v>123</v>
      </c>
    </row>
    <row r="70" spans="1:10" x14ac:dyDescent="0.3">
      <c r="A70" s="11" t="s">
        <v>70</v>
      </c>
      <c r="C70" s="3">
        <v>424</v>
      </c>
      <c r="D70" s="3">
        <v>98</v>
      </c>
      <c r="E70" s="3">
        <v>-117</v>
      </c>
      <c r="F70" s="3">
        <v>-99</v>
      </c>
      <c r="G70" s="3">
        <v>233</v>
      </c>
      <c r="H70" s="3">
        <v>23</v>
      </c>
      <c r="I70" s="3">
        <v>-138</v>
      </c>
      <c r="J70" s="3">
        <v>-26</v>
      </c>
    </row>
    <row r="71" spans="1:10" x14ac:dyDescent="0.3">
      <c r="A71" s="2" t="s">
        <v>71</v>
      </c>
      <c r="C71" s="3"/>
      <c r="D71" s="3"/>
      <c r="F71" s="3"/>
      <c r="G71" s="3"/>
      <c r="H71" s="3"/>
      <c r="I71" s="3"/>
      <c r="J71" s="3"/>
    </row>
    <row r="72" spans="1:10" x14ac:dyDescent="0.3">
      <c r="A72" s="11" t="s">
        <v>72</v>
      </c>
      <c r="C72" s="3">
        <v>-216</v>
      </c>
      <c r="D72" s="3">
        <v>60</v>
      </c>
      <c r="E72" s="3">
        <v>-426</v>
      </c>
      <c r="F72" s="3">
        <v>187</v>
      </c>
      <c r="G72" s="3">
        <v>-270</v>
      </c>
      <c r="H72" s="3">
        <v>1239</v>
      </c>
      <c r="I72" s="3">
        <v>-1606</v>
      </c>
      <c r="J72" s="3">
        <v>-504</v>
      </c>
    </row>
    <row r="73" spans="1:10" x14ac:dyDescent="0.3">
      <c r="A73" s="11" t="s">
        <v>73</v>
      </c>
      <c r="C73" s="3">
        <v>-621</v>
      </c>
      <c r="D73" s="3">
        <v>-590</v>
      </c>
      <c r="E73" s="3">
        <v>-231</v>
      </c>
      <c r="F73" s="3">
        <v>-255</v>
      </c>
      <c r="G73" s="3">
        <v>-490</v>
      </c>
      <c r="H73" s="3">
        <v>-1854</v>
      </c>
      <c r="I73" s="3">
        <v>507</v>
      </c>
      <c r="J73" s="3">
        <v>-1676</v>
      </c>
    </row>
    <row r="74" spans="1:10" x14ac:dyDescent="0.3">
      <c r="A74" s="11" t="s">
        <v>98</v>
      </c>
      <c r="C74" s="3">
        <v>-144</v>
      </c>
      <c r="D74" s="3">
        <v>-161</v>
      </c>
      <c r="E74" s="3">
        <v>-120</v>
      </c>
      <c r="F74" s="3">
        <v>35</v>
      </c>
      <c r="G74" s="3">
        <v>-203</v>
      </c>
      <c r="H74" s="3">
        <v>-654</v>
      </c>
      <c r="I74" s="3">
        <v>-182</v>
      </c>
      <c r="J74" s="3">
        <v>-845</v>
      </c>
    </row>
    <row r="75" spans="1:10" x14ac:dyDescent="0.3">
      <c r="A75" s="11" t="s">
        <v>97</v>
      </c>
      <c r="C75" s="3">
        <v>1237</v>
      </c>
      <c r="D75" s="3">
        <v>-889</v>
      </c>
      <c r="E75" s="3">
        <v>-158</v>
      </c>
      <c r="F75" s="3">
        <v>1515</v>
      </c>
      <c r="G75" s="3">
        <v>1525</v>
      </c>
      <c r="H75" s="3">
        <v>24</v>
      </c>
      <c r="I75" s="3">
        <v>1326</v>
      </c>
      <c r="J75" s="3">
        <v>1365</v>
      </c>
    </row>
    <row r="76" spans="1:10" x14ac:dyDescent="0.3">
      <c r="A76" s="25" t="s">
        <v>74</v>
      </c>
      <c r="C76" s="26">
        <f t="shared" ref="C76:I76" si="12">+SUM(C64:C75)</f>
        <v>4680</v>
      </c>
      <c r="D76" s="26">
        <f t="shared" si="12"/>
        <v>3096</v>
      </c>
      <c r="E76" s="26">
        <f>+SUM(E64:E75)</f>
        <v>3846</v>
      </c>
      <c r="F76" s="26">
        <f t="shared" si="12"/>
        <v>4955</v>
      </c>
      <c r="G76" s="26">
        <f t="shared" si="12"/>
        <v>5903</v>
      </c>
      <c r="H76" s="26">
        <f t="shared" si="12"/>
        <v>2485</v>
      </c>
      <c r="I76" s="26">
        <f t="shared" si="12"/>
        <v>6657</v>
      </c>
      <c r="J76" s="26">
        <f>+SUM(J64:J75)</f>
        <v>5188</v>
      </c>
    </row>
    <row r="77" spans="1:10" x14ac:dyDescent="0.3">
      <c r="A77" s="1" t="s">
        <v>75</v>
      </c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2" t="s">
        <v>76</v>
      </c>
      <c r="C78" s="3">
        <v>-4936</v>
      </c>
      <c r="D78" s="3">
        <v>-5367</v>
      </c>
      <c r="E78" s="3">
        <v>-5928</v>
      </c>
      <c r="F78" s="3">
        <v>-4783</v>
      </c>
      <c r="G78" s="3">
        <v>-2937</v>
      </c>
      <c r="H78" s="3">
        <v>-2426</v>
      </c>
      <c r="I78" s="3">
        <v>-9961</v>
      </c>
      <c r="J78" s="3">
        <v>-12913</v>
      </c>
    </row>
    <row r="79" spans="1:10" x14ac:dyDescent="0.3">
      <c r="A79" s="2" t="s">
        <v>77</v>
      </c>
      <c r="C79" s="3">
        <v>3655</v>
      </c>
      <c r="D79" s="3">
        <v>2924</v>
      </c>
      <c r="E79" s="3">
        <v>3623</v>
      </c>
      <c r="F79" s="3">
        <v>3613</v>
      </c>
      <c r="G79" s="3">
        <v>1715</v>
      </c>
      <c r="H79" s="3">
        <v>74</v>
      </c>
      <c r="I79" s="3">
        <v>4236</v>
      </c>
      <c r="J79" s="3">
        <v>8199</v>
      </c>
    </row>
    <row r="80" spans="1:10" x14ac:dyDescent="0.3">
      <c r="A80" s="2" t="s">
        <v>78</v>
      </c>
      <c r="C80" s="3">
        <v>2216</v>
      </c>
      <c r="D80" s="3">
        <v>2386</v>
      </c>
      <c r="E80" s="3">
        <v>2423</v>
      </c>
      <c r="F80" s="3">
        <v>2496</v>
      </c>
      <c r="G80" s="3">
        <v>2072</v>
      </c>
      <c r="H80" s="3">
        <v>2379</v>
      </c>
      <c r="I80" s="3">
        <v>2449</v>
      </c>
      <c r="J80" s="3">
        <v>3967</v>
      </c>
    </row>
    <row r="81" spans="1:10" x14ac:dyDescent="0.3">
      <c r="A81" s="2" t="s">
        <v>14</v>
      </c>
      <c r="C81" s="3">
        <v>-963</v>
      </c>
      <c r="D81" s="3">
        <v>-1143</v>
      </c>
      <c r="E81" s="3">
        <v>-1105</v>
      </c>
      <c r="F81" s="3">
        <v>-1028</v>
      </c>
      <c r="G81" s="3">
        <v>-1119</v>
      </c>
      <c r="H81" s="3">
        <v>-1086</v>
      </c>
      <c r="I81" s="3">
        <v>-695</v>
      </c>
      <c r="J81" s="3">
        <v>-758</v>
      </c>
    </row>
    <row r="82" spans="1:10" x14ac:dyDescent="0.3">
      <c r="A82" s="2" t="s">
        <v>79</v>
      </c>
      <c r="C82" s="3">
        <f>3+-150</f>
        <v>-147</v>
      </c>
      <c r="D82" s="3">
        <f>156+10</f>
        <v>166</v>
      </c>
      <c r="E82" s="3">
        <v>-21</v>
      </c>
      <c r="F82" s="3">
        <v>-22</v>
      </c>
      <c r="G82" s="3">
        <v>5</v>
      </c>
      <c r="H82" s="3">
        <v>31</v>
      </c>
      <c r="I82" s="3">
        <v>171</v>
      </c>
      <c r="J82" s="3">
        <v>-19</v>
      </c>
    </row>
    <row r="83" spans="1:10" x14ac:dyDescent="0.3">
      <c r="A83" s="27" t="s">
        <v>80</v>
      </c>
      <c r="C83" s="26">
        <f t="shared" ref="C83:I83" si="13">+SUM(C78:C82)</f>
        <v>-175</v>
      </c>
      <c r="D83" s="26">
        <f>SUM(D78:D82)</f>
        <v>-1034</v>
      </c>
      <c r="E83" s="26">
        <f>SUM(E78:E82)</f>
        <v>-1008</v>
      </c>
      <c r="F83" s="26">
        <f t="shared" si="13"/>
        <v>276</v>
      </c>
      <c r="G83" s="26">
        <f t="shared" si="13"/>
        <v>-264</v>
      </c>
      <c r="H83" s="26">
        <f t="shared" si="13"/>
        <v>-1028</v>
      </c>
      <c r="I83" s="26">
        <f t="shared" si="13"/>
        <v>-3800</v>
      </c>
      <c r="J83" s="26">
        <f>+SUM(J78:J82)</f>
        <v>-1524</v>
      </c>
    </row>
    <row r="84" spans="1:10" x14ac:dyDescent="0.3">
      <c r="A84" s="1" t="s">
        <v>81</v>
      </c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2" t="s">
        <v>82</v>
      </c>
      <c r="C85" s="3" t="s">
        <v>147</v>
      </c>
      <c r="D85" s="3">
        <v>981</v>
      </c>
      <c r="E85" s="3">
        <v>1482</v>
      </c>
      <c r="F85" s="3" t="s">
        <v>147</v>
      </c>
      <c r="G85" s="3" t="s">
        <v>147</v>
      </c>
      <c r="H85" s="3">
        <v>6134</v>
      </c>
      <c r="I85" s="3">
        <v>0</v>
      </c>
      <c r="J85" s="3">
        <v>0</v>
      </c>
    </row>
    <row r="86" spans="1:10" x14ac:dyDescent="0.3">
      <c r="A86" s="2" t="s">
        <v>83</v>
      </c>
      <c r="C86" s="3">
        <v>-63</v>
      </c>
      <c r="D86" s="3">
        <v>-67</v>
      </c>
      <c r="E86" s="3">
        <v>327</v>
      </c>
      <c r="F86" s="3">
        <v>13</v>
      </c>
      <c r="G86" s="3">
        <v>-325</v>
      </c>
      <c r="H86" s="3">
        <v>49</v>
      </c>
      <c r="I86" s="3">
        <v>-52</v>
      </c>
      <c r="J86" s="3">
        <v>15</v>
      </c>
    </row>
    <row r="87" spans="1:10" x14ac:dyDescent="0.3">
      <c r="A87" s="2" t="s">
        <v>84</v>
      </c>
      <c r="C87" s="3"/>
      <c r="E87" s="3"/>
      <c r="F87" s="3"/>
      <c r="G87" s="3"/>
      <c r="I87" s="3">
        <v>-197</v>
      </c>
      <c r="J87" s="3">
        <v>0</v>
      </c>
    </row>
    <row r="88" spans="1:10" x14ac:dyDescent="0.3">
      <c r="A88" s="2" t="s">
        <v>85</v>
      </c>
      <c r="C88" s="3">
        <v>514</v>
      </c>
      <c r="D88">
        <v>507</v>
      </c>
      <c r="E88" s="3">
        <v>489</v>
      </c>
      <c r="F88" s="3">
        <v>733</v>
      </c>
      <c r="G88" s="3">
        <v>700</v>
      </c>
      <c r="H88" s="3">
        <v>885</v>
      </c>
      <c r="I88" s="3">
        <v>1172</v>
      </c>
      <c r="J88" s="3">
        <v>1151</v>
      </c>
    </row>
    <row r="89" spans="1:10" x14ac:dyDescent="0.3">
      <c r="A89" s="2" t="s">
        <v>16</v>
      </c>
      <c r="C89" s="3">
        <v>-2534</v>
      </c>
      <c r="D89" s="3">
        <v>-3238</v>
      </c>
      <c r="E89" s="3">
        <v>-3223</v>
      </c>
      <c r="F89" s="3">
        <v>-4254</v>
      </c>
      <c r="G89" s="3">
        <v>-4286</v>
      </c>
      <c r="H89" s="3">
        <v>-3067</v>
      </c>
      <c r="I89" s="3">
        <v>-608</v>
      </c>
      <c r="J89" s="3">
        <v>-4014</v>
      </c>
    </row>
    <row r="90" spans="1:10" x14ac:dyDescent="0.3">
      <c r="A90" s="2" t="s">
        <v>86</v>
      </c>
      <c r="C90" s="3">
        <v>-899</v>
      </c>
      <c r="D90" s="3">
        <v>-1022</v>
      </c>
      <c r="E90" s="3">
        <v>-1133</v>
      </c>
      <c r="F90" s="3">
        <v>-1243</v>
      </c>
      <c r="G90" s="3">
        <v>-1332</v>
      </c>
      <c r="H90" s="3">
        <v>-1452</v>
      </c>
      <c r="I90" s="3">
        <v>-1638</v>
      </c>
      <c r="J90" s="3">
        <v>-1837</v>
      </c>
    </row>
    <row r="91" spans="1:10" x14ac:dyDescent="0.3">
      <c r="A91" s="2" t="s">
        <v>87</v>
      </c>
      <c r="C91" s="3">
        <f>218-7-19</f>
        <v>192</v>
      </c>
      <c r="D91" s="3">
        <f>281-106-7</f>
        <v>168</v>
      </c>
      <c r="E91" s="3">
        <f>-44+-17+-29</f>
        <v>-90</v>
      </c>
      <c r="F91" s="3">
        <v>-84</v>
      </c>
      <c r="G91" s="3">
        <v>-50</v>
      </c>
      <c r="H91" s="3">
        <v>-58</v>
      </c>
      <c r="I91" s="3">
        <v>-136</v>
      </c>
      <c r="J91" s="3">
        <v>-151</v>
      </c>
    </row>
    <row r="92" spans="1:10" x14ac:dyDescent="0.3">
      <c r="A92" s="27" t="s">
        <v>88</v>
      </c>
      <c r="C92" s="26">
        <f t="shared" ref="C92:I92" si="14">+SUM(C85:C91)</f>
        <v>-2790</v>
      </c>
      <c r="D92" s="26">
        <f>+SUM(D85:D91)</f>
        <v>-2671</v>
      </c>
      <c r="E92" s="26">
        <f>SUM(E85:E91)</f>
        <v>-2148</v>
      </c>
      <c r="F92" s="26">
        <f>+SUM(F85:F91)</f>
        <v>-4835</v>
      </c>
      <c r="G92" s="26">
        <f t="shared" si="14"/>
        <v>-5293</v>
      </c>
      <c r="H92" s="26">
        <f>+SUM(H85:H91)</f>
        <v>2491</v>
      </c>
      <c r="I92" s="26">
        <f t="shared" si="14"/>
        <v>-1459</v>
      </c>
      <c r="J92" s="26">
        <f>+SUM(J85:J91)</f>
        <v>-4836</v>
      </c>
    </row>
    <row r="93" spans="1:10" x14ac:dyDescent="0.3">
      <c r="A93" s="2" t="s">
        <v>89</v>
      </c>
      <c r="C93" s="3">
        <v>-83</v>
      </c>
      <c r="D93" s="3">
        <v>-105</v>
      </c>
      <c r="E93" s="3">
        <v>-20</v>
      </c>
      <c r="F93" s="3">
        <v>45</v>
      </c>
      <c r="G93" s="3">
        <v>-129</v>
      </c>
      <c r="H93" s="3">
        <v>-66</v>
      </c>
      <c r="I93" s="3">
        <v>143</v>
      </c>
      <c r="J93" s="3">
        <v>-143</v>
      </c>
    </row>
    <row r="94" spans="1:10" x14ac:dyDescent="0.3">
      <c r="A94" s="27" t="s">
        <v>90</v>
      </c>
      <c r="C94" s="26">
        <f>+C76+C83+C92+C93</f>
        <v>1632</v>
      </c>
      <c r="D94" s="26">
        <f>+D76+D83+D92+D93</f>
        <v>-714</v>
      </c>
      <c r="E94" s="26">
        <f>+E76+E83+E92+E93</f>
        <v>670</v>
      </c>
      <c r="F94" s="26">
        <f t="shared" ref="F94:I94" si="15">+F76+F83+F92+F93</f>
        <v>441</v>
      </c>
      <c r="G94" s="26">
        <f t="shared" si="15"/>
        <v>217</v>
      </c>
      <c r="H94" s="26">
        <f t="shared" si="15"/>
        <v>3882</v>
      </c>
      <c r="I94" s="26">
        <f t="shared" si="15"/>
        <v>1541</v>
      </c>
      <c r="J94" s="26">
        <f>+J76+J83+J92+J93</f>
        <v>-1315</v>
      </c>
    </row>
    <row r="95" spans="1:10" x14ac:dyDescent="0.3">
      <c r="A95" t="s">
        <v>91</v>
      </c>
      <c r="C95" s="3">
        <v>2220</v>
      </c>
      <c r="D95" s="3">
        <v>3852</v>
      </c>
      <c r="E95" s="3">
        <v>3138</v>
      </c>
      <c r="F95" s="3">
        <v>3808</v>
      </c>
      <c r="G95" s="3">
        <v>4249</v>
      </c>
      <c r="H95" s="3">
        <v>4466</v>
      </c>
      <c r="I95" s="3">
        <v>8348</v>
      </c>
      <c r="J95" s="3">
        <f>+I96</f>
        <v>9889</v>
      </c>
    </row>
    <row r="96" spans="1:10" ht="15" thickBot="1" x14ac:dyDescent="0.35">
      <c r="A96" s="6" t="s">
        <v>92</v>
      </c>
      <c r="C96" s="7">
        <f>C95+C94</f>
        <v>3852</v>
      </c>
      <c r="D96" s="7">
        <f>D95+D94</f>
        <v>3138</v>
      </c>
      <c r="E96" s="7">
        <f>E94+E95</f>
        <v>3808</v>
      </c>
      <c r="F96" s="7">
        <f>F94+F95</f>
        <v>4249</v>
      </c>
      <c r="G96" s="7">
        <f>G94+G95</f>
        <v>4466</v>
      </c>
      <c r="H96" s="7">
        <f>H94+H95</f>
        <v>8348</v>
      </c>
      <c r="I96" s="7">
        <f>+I94+I95</f>
        <v>9889</v>
      </c>
      <c r="J96" s="7">
        <f>+J94+J95</f>
        <v>8574</v>
      </c>
    </row>
    <row r="97" spans="1:10" s="12" customFormat="1" ht="15" thickTop="1" x14ac:dyDescent="0.3">
      <c r="A97" s="12" t="s">
        <v>19</v>
      </c>
      <c r="C97" s="13">
        <f>+C96-C25</f>
        <v>0</v>
      </c>
      <c r="D97" s="13">
        <f>+D96-D25</f>
        <v>0</v>
      </c>
      <c r="E97" s="13">
        <f>+E96-E25</f>
        <v>0</v>
      </c>
      <c r="F97" s="13">
        <f>+F96-F25</f>
        <v>0</v>
      </c>
      <c r="G97" s="13">
        <f t="shared" ref="G97:I97" si="16">+G96-G25</f>
        <v>0</v>
      </c>
      <c r="H97" s="13">
        <f t="shared" si="16"/>
        <v>0</v>
      </c>
      <c r="I97" s="13">
        <f t="shared" si="16"/>
        <v>0</v>
      </c>
      <c r="J97" s="13">
        <f>+J96-J25</f>
        <v>0</v>
      </c>
    </row>
    <row r="98" spans="1:10" x14ac:dyDescent="0.3">
      <c r="A98" t="s">
        <v>93</v>
      </c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2" t="s">
        <v>17</v>
      </c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11" t="s">
        <v>94</v>
      </c>
      <c r="C100" s="3">
        <v>53</v>
      </c>
      <c r="D100" s="3">
        <v>70</v>
      </c>
      <c r="E100" s="3">
        <v>98</v>
      </c>
      <c r="F100" s="3">
        <v>125</v>
      </c>
      <c r="G100" s="3">
        <v>153</v>
      </c>
      <c r="H100" s="3">
        <v>140</v>
      </c>
      <c r="I100" s="3">
        <v>293</v>
      </c>
      <c r="J100" s="3">
        <v>290</v>
      </c>
    </row>
    <row r="101" spans="1:10" x14ac:dyDescent="0.3">
      <c r="A101" s="11" t="s">
        <v>18</v>
      </c>
      <c r="C101" s="3">
        <v>1262</v>
      </c>
      <c r="D101" s="3">
        <v>748</v>
      </c>
      <c r="E101" s="3">
        <v>703</v>
      </c>
      <c r="F101" s="3">
        <v>529</v>
      </c>
      <c r="G101" s="3">
        <v>757</v>
      </c>
      <c r="H101" s="3">
        <v>1028</v>
      </c>
      <c r="I101" s="3">
        <v>1177</v>
      </c>
      <c r="J101" s="3">
        <v>1231</v>
      </c>
    </row>
    <row r="102" spans="1:10" x14ac:dyDescent="0.3">
      <c r="A102" s="11" t="s">
        <v>95</v>
      </c>
      <c r="C102" s="3">
        <v>206</v>
      </c>
      <c r="D102" s="3">
        <v>252</v>
      </c>
      <c r="E102" s="3">
        <v>266</v>
      </c>
      <c r="F102" s="3">
        <v>294</v>
      </c>
      <c r="G102" s="3">
        <v>160</v>
      </c>
      <c r="H102" s="3">
        <v>121</v>
      </c>
      <c r="I102" s="3">
        <v>179</v>
      </c>
      <c r="J102" s="3">
        <v>160</v>
      </c>
    </row>
    <row r="103" spans="1:10" x14ac:dyDescent="0.3">
      <c r="A103" s="11" t="s">
        <v>96</v>
      </c>
      <c r="C103" s="3">
        <v>240</v>
      </c>
      <c r="D103" s="3">
        <v>271</v>
      </c>
      <c r="E103" s="3">
        <v>300</v>
      </c>
      <c r="F103" s="3">
        <v>320</v>
      </c>
      <c r="G103" s="3">
        <v>347</v>
      </c>
      <c r="H103" s="3">
        <v>385</v>
      </c>
      <c r="I103" s="3">
        <v>438</v>
      </c>
      <c r="J103" s="3">
        <v>480</v>
      </c>
    </row>
    <row r="105" spans="1:10" x14ac:dyDescent="0.3">
      <c r="A105" s="14" t="s">
        <v>99</v>
      </c>
      <c r="C105" s="14"/>
      <c r="D105" s="14"/>
      <c r="E105" s="14"/>
      <c r="F105" s="14"/>
      <c r="G105" s="14"/>
      <c r="H105" s="14"/>
      <c r="I105" s="14"/>
      <c r="J105" s="14"/>
    </row>
    <row r="106" spans="1:10" x14ac:dyDescent="0.3">
      <c r="A106" s="28" t="s">
        <v>109</v>
      </c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2" t="s">
        <v>100</v>
      </c>
      <c r="B107" s="3">
        <f>+SUM(B108:B110)</f>
        <v>12299</v>
      </c>
      <c r="C107" s="3">
        <f t="shared" ref="C107:I107" si="17">+SUM(C108:C110)</f>
        <v>13740</v>
      </c>
      <c r="D107" s="3">
        <f t="shared" si="17"/>
        <v>14764</v>
      </c>
      <c r="E107" s="3">
        <f t="shared" si="17"/>
        <v>15216</v>
      </c>
      <c r="F107" s="3">
        <f t="shared" si="17"/>
        <v>14855</v>
      </c>
      <c r="G107" s="3">
        <f t="shared" si="17"/>
        <v>15902</v>
      </c>
      <c r="H107" s="3">
        <f t="shared" si="17"/>
        <v>14484</v>
      </c>
      <c r="I107" s="3">
        <f t="shared" si="17"/>
        <v>17179</v>
      </c>
      <c r="J107" s="3">
        <f>+SUM(J108:J110)</f>
        <v>18353</v>
      </c>
    </row>
    <row r="108" spans="1:10" x14ac:dyDescent="0.3">
      <c r="A108" s="11" t="s">
        <v>113</v>
      </c>
      <c r="B108">
        <v>7495</v>
      </c>
      <c r="C108">
        <v>8506</v>
      </c>
      <c r="D108">
        <v>9299</v>
      </c>
      <c r="E108">
        <v>9684</v>
      </c>
      <c r="F108">
        <v>9322</v>
      </c>
      <c r="G108">
        <v>10045</v>
      </c>
      <c r="H108">
        <v>9329</v>
      </c>
      <c r="I108" s="8">
        <v>11644</v>
      </c>
      <c r="J108" s="8">
        <v>12228</v>
      </c>
    </row>
    <row r="109" spans="1:10" x14ac:dyDescent="0.3">
      <c r="A109" s="11" t="s">
        <v>114</v>
      </c>
      <c r="B109">
        <v>3937</v>
      </c>
      <c r="C109">
        <v>4410</v>
      </c>
      <c r="D109">
        <v>4746</v>
      </c>
      <c r="E109">
        <v>4886</v>
      </c>
      <c r="F109">
        <v>4938</v>
      </c>
      <c r="G109">
        <v>5260</v>
      </c>
      <c r="H109">
        <v>4639</v>
      </c>
      <c r="I109" s="8">
        <v>5028</v>
      </c>
      <c r="J109" s="8">
        <v>5492</v>
      </c>
    </row>
    <row r="110" spans="1:10" x14ac:dyDescent="0.3">
      <c r="A110" s="11" t="s">
        <v>115</v>
      </c>
      <c r="B110">
        <v>867</v>
      </c>
      <c r="C110">
        <v>824</v>
      </c>
      <c r="D110">
        <v>719</v>
      </c>
      <c r="E110">
        <v>646</v>
      </c>
      <c r="F110">
        <v>595</v>
      </c>
      <c r="G110">
        <v>597</v>
      </c>
      <c r="H110">
        <v>516</v>
      </c>
      <c r="I110">
        <v>507</v>
      </c>
      <c r="J110">
        <v>633</v>
      </c>
    </row>
    <row r="111" spans="1:10" x14ac:dyDescent="0.3">
      <c r="A111" s="2" t="s">
        <v>101</v>
      </c>
      <c r="B111" s="3">
        <f>+SUM(B112:B114)</f>
        <v>6366</v>
      </c>
      <c r="C111" s="3">
        <f t="shared" ref="C111:I111" si="18">+SUM(C112:C114)</f>
        <v>7126</v>
      </c>
      <c r="D111" s="3">
        <f t="shared" si="18"/>
        <v>7568</v>
      </c>
      <c r="E111" s="3">
        <f t="shared" si="18"/>
        <v>7970</v>
      </c>
      <c r="F111" s="3">
        <f t="shared" si="18"/>
        <v>9242</v>
      </c>
      <c r="G111" s="3">
        <f t="shared" si="18"/>
        <v>9812</v>
      </c>
      <c r="H111" s="3">
        <f t="shared" si="18"/>
        <v>9347</v>
      </c>
      <c r="I111" s="3">
        <f t="shared" si="18"/>
        <v>11456</v>
      </c>
      <c r="J111" s="3">
        <f>+SUM(J112:J114)</f>
        <v>12479</v>
      </c>
    </row>
    <row r="112" spans="1:10" x14ac:dyDescent="0.3">
      <c r="A112" s="11" t="s">
        <v>113</v>
      </c>
      <c r="B112">
        <f>3299+763</f>
        <v>4062</v>
      </c>
      <c r="C112">
        <f>3876+827</f>
        <v>4703</v>
      </c>
      <c r="D112">
        <v>5043</v>
      </c>
      <c r="E112">
        <v>5192</v>
      </c>
      <c r="F112">
        <v>5875</v>
      </c>
      <c r="G112">
        <v>6293</v>
      </c>
      <c r="H112">
        <v>5892</v>
      </c>
      <c r="I112" s="8">
        <v>6970</v>
      </c>
      <c r="J112" s="8">
        <v>7388</v>
      </c>
    </row>
    <row r="113" spans="1:10" x14ac:dyDescent="0.3">
      <c r="A113" s="11" t="s">
        <v>114</v>
      </c>
      <c r="B113">
        <f>532+1427</f>
        <v>1959</v>
      </c>
      <c r="C113">
        <f>1552+499</f>
        <v>2051</v>
      </c>
      <c r="D113">
        <v>2149</v>
      </c>
      <c r="E113">
        <v>2395</v>
      </c>
      <c r="F113">
        <v>2940</v>
      </c>
      <c r="G113">
        <v>3087</v>
      </c>
      <c r="H113">
        <v>3053</v>
      </c>
      <c r="I113" s="8">
        <v>3996</v>
      </c>
      <c r="J113" s="8">
        <v>4527</v>
      </c>
    </row>
    <row r="114" spans="1:10" x14ac:dyDescent="0.3">
      <c r="A114" s="11" t="s">
        <v>115</v>
      </c>
      <c r="B114">
        <f>253+92</f>
        <v>345</v>
      </c>
      <c r="C114">
        <f>277+95</f>
        <v>372</v>
      </c>
      <c r="D114">
        <v>376</v>
      </c>
      <c r="E114">
        <v>383</v>
      </c>
      <c r="F114">
        <v>427</v>
      </c>
      <c r="G114">
        <v>432</v>
      </c>
      <c r="H114">
        <v>402</v>
      </c>
      <c r="I114">
        <v>490</v>
      </c>
      <c r="J114">
        <v>564</v>
      </c>
    </row>
    <row r="115" spans="1:10" x14ac:dyDescent="0.3">
      <c r="A115" s="2" t="s">
        <v>102</v>
      </c>
      <c r="B115" s="3">
        <f>+SUM(B116:B118)</f>
        <v>2602</v>
      </c>
      <c r="C115" s="3">
        <f t="shared" ref="C115:I115" si="19">+SUM(C116:C118)</f>
        <v>3067</v>
      </c>
      <c r="D115" s="3">
        <f t="shared" si="19"/>
        <v>3785</v>
      </c>
      <c r="E115" s="3">
        <f t="shared" si="19"/>
        <v>4237</v>
      </c>
      <c r="F115" s="3">
        <f t="shared" si="19"/>
        <v>5134</v>
      </c>
      <c r="G115" s="3">
        <f t="shared" si="19"/>
        <v>6208</v>
      </c>
      <c r="H115" s="3">
        <f t="shared" si="19"/>
        <v>6679</v>
      </c>
      <c r="I115" s="3">
        <f t="shared" si="19"/>
        <v>8290</v>
      </c>
      <c r="J115" s="3">
        <f>+SUM(J116:J118)</f>
        <v>7547</v>
      </c>
    </row>
    <row r="116" spans="1:10" x14ac:dyDescent="0.3">
      <c r="A116" s="11" t="s">
        <v>113</v>
      </c>
      <c r="B116">
        <v>1600</v>
      </c>
      <c r="C116">
        <v>2016</v>
      </c>
      <c r="D116">
        <v>2599</v>
      </c>
      <c r="E116">
        <v>2920</v>
      </c>
      <c r="F116">
        <v>3496</v>
      </c>
      <c r="G116">
        <v>4262</v>
      </c>
      <c r="H116">
        <v>4635</v>
      </c>
      <c r="I116" s="8">
        <v>5748</v>
      </c>
      <c r="J116" s="8">
        <v>5416</v>
      </c>
    </row>
    <row r="117" spans="1:10" x14ac:dyDescent="0.3">
      <c r="A117" s="11" t="s">
        <v>114</v>
      </c>
      <c r="B117">
        <v>876</v>
      </c>
      <c r="C117">
        <v>925</v>
      </c>
      <c r="D117">
        <v>1055</v>
      </c>
      <c r="E117">
        <v>1188</v>
      </c>
      <c r="F117">
        <v>1508</v>
      </c>
      <c r="G117">
        <v>1808</v>
      </c>
      <c r="H117">
        <v>1896</v>
      </c>
      <c r="I117" s="8">
        <v>2347</v>
      </c>
      <c r="J117" s="8">
        <v>1938</v>
      </c>
    </row>
    <row r="118" spans="1:10" x14ac:dyDescent="0.3">
      <c r="A118" s="11" t="s">
        <v>115</v>
      </c>
      <c r="B118">
        <v>126</v>
      </c>
      <c r="C118">
        <v>126</v>
      </c>
      <c r="D118">
        <v>131</v>
      </c>
      <c r="E118">
        <v>129</v>
      </c>
      <c r="F118">
        <v>130</v>
      </c>
      <c r="G118">
        <v>138</v>
      </c>
      <c r="H118">
        <v>148</v>
      </c>
      <c r="I118">
        <v>195</v>
      </c>
      <c r="J118">
        <v>193</v>
      </c>
    </row>
    <row r="119" spans="1:10" x14ac:dyDescent="0.3">
      <c r="A119" s="2" t="s">
        <v>106</v>
      </c>
      <c r="B119" s="3">
        <f>+SUM(B120:B122)</f>
        <v>4720</v>
      </c>
      <c r="C119" s="3">
        <f t="shared" ref="C119:I119" si="20">+SUM(C120:C122)</f>
        <v>4653</v>
      </c>
      <c r="D119" s="3">
        <f t="shared" si="20"/>
        <v>4317</v>
      </c>
      <c r="E119" s="3">
        <f t="shared" si="20"/>
        <v>4737</v>
      </c>
      <c r="F119" s="3">
        <f t="shared" si="20"/>
        <v>5166</v>
      </c>
      <c r="G119" s="3">
        <f t="shared" si="20"/>
        <v>5254</v>
      </c>
      <c r="H119" s="3">
        <f t="shared" si="20"/>
        <v>5028</v>
      </c>
      <c r="I119" s="3">
        <f t="shared" si="20"/>
        <v>5343</v>
      </c>
      <c r="J119" s="3">
        <f>+SUM(J120:J122)</f>
        <v>5955</v>
      </c>
    </row>
    <row r="120" spans="1:10" x14ac:dyDescent="0.3">
      <c r="A120" s="11" t="s">
        <v>113</v>
      </c>
      <c r="B120">
        <f>409+2642</f>
        <v>3051</v>
      </c>
      <c r="C120">
        <f>452+2641</f>
        <v>3093</v>
      </c>
      <c r="D120">
        <v>2930</v>
      </c>
      <c r="E120">
        <v>3285</v>
      </c>
      <c r="F120">
        <v>3575</v>
      </c>
      <c r="G120">
        <v>3622</v>
      </c>
      <c r="H120">
        <v>3449</v>
      </c>
      <c r="I120" s="8">
        <v>3659</v>
      </c>
      <c r="J120" s="8">
        <v>4111</v>
      </c>
    </row>
    <row r="121" spans="1:10" x14ac:dyDescent="0.3">
      <c r="A121" s="11" t="s">
        <v>114</v>
      </c>
      <c r="B121">
        <f>276+1061</f>
        <v>1337</v>
      </c>
      <c r="C121">
        <f>1021+230</f>
        <v>1251</v>
      </c>
      <c r="D121">
        <v>1117</v>
      </c>
      <c r="E121">
        <v>1185</v>
      </c>
      <c r="F121">
        <v>1347</v>
      </c>
      <c r="G121">
        <v>1395</v>
      </c>
      <c r="H121">
        <v>1365</v>
      </c>
      <c r="I121" s="8">
        <v>1494</v>
      </c>
      <c r="J121" s="8">
        <v>1610</v>
      </c>
    </row>
    <row r="122" spans="1:10" x14ac:dyDescent="0.3">
      <c r="A122" s="11" t="s">
        <v>115</v>
      </c>
      <c r="B122">
        <f>86+246</f>
        <v>332</v>
      </c>
      <c r="C122">
        <f>73+236</f>
        <v>309</v>
      </c>
      <c r="D122">
        <v>270</v>
      </c>
      <c r="E122">
        <v>267</v>
      </c>
      <c r="F122">
        <v>244</v>
      </c>
      <c r="G122">
        <v>237</v>
      </c>
      <c r="H122">
        <v>214</v>
      </c>
      <c r="I122">
        <v>190</v>
      </c>
      <c r="J122">
        <v>234</v>
      </c>
    </row>
    <row r="123" spans="1:10" x14ac:dyDescent="0.3">
      <c r="A123" s="2" t="s">
        <v>107</v>
      </c>
      <c r="B123" s="3">
        <v>125</v>
      </c>
      <c r="C123" s="3">
        <v>115</v>
      </c>
      <c r="D123" s="3">
        <v>73</v>
      </c>
      <c r="E123" s="3">
        <v>73</v>
      </c>
      <c r="F123" s="3">
        <v>88</v>
      </c>
      <c r="G123" s="3">
        <v>42</v>
      </c>
      <c r="H123" s="3">
        <v>30</v>
      </c>
      <c r="I123" s="3">
        <v>25</v>
      </c>
      <c r="J123" s="3">
        <v>102</v>
      </c>
    </row>
    <row r="124" spans="1:10" x14ac:dyDescent="0.3">
      <c r="A124" s="4" t="s">
        <v>103</v>
      </c>
      <c r="B124" s="5">
        <f t="shared" ref="B124:J124" si="21">+B107+B111+B115+B119+B123</f>
        <v>26112</v>
      </c>
      <c r="C124" s="5">
        <f t="shared" si="21"/>
        <v>28701</v>
      </c>
      <c r="D124" s="5">
        <f t="shared" si="21"/>
        <v>30507</v>
      </c>
      <c r="E124" s="5">
        <f t="shared" si="21"/>
        <v>32233</v>
      </c>
      <c r="F124" s="5">
        <f t="shared" si="21"/>
        <v>34485</v>
      </c>
      <c r="G124" s="5">
        <f t="shared" si="21"/>
        <v>37218</v>
      </c>
      <c r="H124" s="5">
        <f t="shared" si="21"/>
        <v>35568</v>
      </c>
      <c r="I124" s="5">
        <f t="shared" si="21"/>
        <v>42293</v>
      </c>
      <c r="J124" s="5">
        <f t="shared" si="21"/>
        <v>44436</v>
      </c>
    </row>
    <row r="125" spans="1:10" x14ac:dyDescent="0.3">
      <c r="A125" s="2" t="s">
        <v>104</v>
      </c>
      <c r="B125">
        <v>1684</v>
      </c>
      <c r="C125" s="3">
        <v>1982</v>
      </c>
      <c r="D125" s="3">
        <v>1955</v>
      </c>
      <c r="E125" s="3">
        <v>2042</v>
      </c>
      <c r="F125" s="3">
        <f t="shared" ref="F125:G125" si="22">SUM(F126:F129)</f>
        <v>1886</v>
      </c>
      <c r="G125" s="3">
        <f t="shared" si="22"/>
        <v>1906</v>
      </c>
      <c r="H125" s="3">
        <f>SUM(H126:H129)</f>
        <v>1846</v>
      </c>
      <c r="I125" s="3">
        <f>+SUM(I126:I129)</f>
        <v>2205</v>
      </c>
      <c r="J125" s="3">
        <f>+SUM(J126:J129)</f>
        <v>2346</v>
      </c>
    </row>
    <row r="126" spans="1:10" x14ac:dyDescent="0.3">
      <c r="A126" s="11" t="s">
        <v>113</v>
      </c>
      <c r="C126" s="49" t="s">
        <v>148</v>
      </c>
      <c r="D126" s="49"/>
      <c r="E126" s="49"/>
      <c r="F126" s="3">
        <v>1611</v>
      </c>
      <c r="G126" s="3">
        <v>1658</v>
      </c>
      <c r="H126" s="3">
        <v>1642</v>
      </c>
      <c r="I126" s="3">
        <v>1986</v>
      </c>
      <c r="J126" s="3">
        <v>2094</v>
      </c>
    </row>
    <row r="127" spans="1:10" x14ac:dyDescent="0.3">
      <c r="A127" s="11" t="s">
        <v>114</v>
      </c>
      <c r="C127" s="49"/>
      <c r="D127" s="49"/>
      <c r="E127" s="49"/>
      <c r="F127" s="3">
        <v>144</v>
      </c>
      <c r="G127" s="3">
        <v>118</v>
      </c>
      <c r="H127" s="3">
        <v>89</v>
      </c>
      <c r="I127" s="3">
        <v>104</v>
      </c>
      <c r="J127" s="3">
        <v>103</v>
      </c>
    </row>
    <row r="128" spans="1:10" x14ac:dyDescent="0.3">
      <c r="A128" s="11" t="s">
        <v>115</v>
      </c>
      <c r="C128" s="49"/>
      <c r="D128" s="49"/>
      <c r="E128" s="49"/>
      <c r="F128" s="3">
        <v>28</v>
      </c>
      <c r="G128" s="3">
        <v>24</v>
      </c>
      <c r="H128" s="3">
        <v>25</v>
      </c>
      <c r="I128" s="3">
        <v>29</v>
      </c>
      <c r="J128" s="3">
        <v>26</v>
      </c>
    </row>
    <row r="129" spans="1:10" x14ac:dyDescent="0.3">
      <c r="A129" s="11" t="s">
        <v>121</v>
      </c>
      <c r="C129" s="49"/>
      <c r="D129" s="49"/>
      <c r="E129" s="49"/>
      <c r="F129" s="3">
        <v>103</v>
      </c>
      <c r="G129" s="3">
        <v>106</v>
      </c>
      <c r="H129" s="3">
        <v>90</v>
      </c>
      <c r="I129" s="3">
        <v>86</v>
      </c>
      <c r="J129" s="3">
        <v>123</v>
      </c>
    </row>
    <row r="130" spans="1:10" x14ac:dyDescent="0.3">
      <c r="A130" s="2" t="s">
        <v>108</v>
      </c>
      <c r="B130" s="3">
        <v>3</v>
      </c>
      <c r="C130" s="3">
        <v>-82</v>
      </c>
      <c r="D130" s="3">
        <v>-86</v>
      </c>
      <c r="E130" s="3">
        <v>75</v>
      </c>
      <c r="F130" s="3">
        <v>26</v>
      </c>
      <c r="G130" s="3">
        <v>-7</v>
      </c>
      <c r="H130" s="3">
        <v>-11</v>
      </c>
      <c r="I130" s="3">
        <v>40</v>
      </c>
      <c r="J130" s="3">
        <v>-72</v>
      </c>
    </row>
    <row r="131" spans="1:10" ht="15" thickBot="1" x14ac:dyDescent="0.35">
      <c r="A131" s="6" t="s">
        <v>105</v>
      </c>
      <c r="B131" s="7">
        <f>B124+B125+B130</f>
        <v>27799</v>
      </c>
      <c r="C131" s="7">
        <f t="shared" ref="C131:J131" si="23">C124+C125+C130</f>
        <v>30601</v>
      </c>
      <c r="D131" s="7">
        <f t="shared" si="23"/>
        <v>32376</v>
      </c>
      <c r="E131" s="7">
        <f t="shared" si="23"/>
        <v>34350</v>
      </c>
      <c r="F131" s="7">
        <f t="shared" si="23"/>
        <v>36397</v>
      </c>
      <c r="G131" s="7">
        <f t="shared" si="23"/>
        <v>39117</v>
      </c>
      <c r="H131" s="7">
        <f t="shared" si="23"/>
        <v>37403</v>
      </c>
      <c r="I131" s="7">
        <f t="shared" si="23"/>
        <v>44538</v>
      </c>
      <c r="J131" s="7">
        <f t="shared" si="23"/>
        <v>46710</v>
      </c>
    </row>
    <row r="132" spans="1:10" s="12" customFormat="1" ht="15" thickTop="1" x14ac:dyDescent="0.3">
      <c r="A132" s="12" t="s">
        <v>111</v>
      </c>
      <c r="C132" s="13">
        <f t="shared" ref="C132:I132" si="24">+C131-C2</f>
        <v>0</v>
      </c>
      <c r="D132" s="13">
        <f t="shared" si="24"/>
        <v>0</v>
      </c>
      <c r="E132" s="13">
        <f t="shared" si="24"/>
        <v>0</v>
      </c>
      <c r="F132" s="13">
        <f t="shared" si="24"/>
        <v>0</v>
      </c>
      <c r="G132" s="13">
        <f t="shared" si="24"/>
        <v>0</v>
      </c>
      <c r="H132" s="13">
        <f t="shared" si="24"/>
        <v>0</v>
      </c>
      <c r="I132" s="13">
        <f t="shared" si="24"/>
        <v>0</v>
      </c>
    </row>
    <row r="133" spans="1:10" x14ac:dyDescent="0.3">
      <c r="A133" s="1" t="s">
        <v>110</v>
      </c>
    </row>
    <row r="134" spans="1:10" x14ac:dyDescent="0.3">
      <c r="A134" s="2" t="s">
        <v>100</v>
      </c>
      <c r="B134">
        <v>3077</v>
      </c>
      <c r="C134" s="3">
        <v>3645</v>
      </c>
      <c r="D134" s="3">
        <v>3763</v>
      </c>
      <c r="E134" s="3">
        <v>3875</v>
      </c>
      <c r="F134" s="3">
        <v>3600</v>
      </c>
      <c r="G134" s="3">
        <v>3925</v>
      </c>
      <c r="H134" s="3">
        <v>2899</v>
      </c>
      <c r="I134" s="3">
        <v>5089</v>
      </c>
      <c r="J134" s="3">
        <v>5114</v>
      </c>
    </row>
    <row r="135" spans="1:10" x14ac:dyDescent="0.3">
      <c r="A135" s="2" t="s">
        <v>101</v>
      </c>
      <c r="B135">
        <f>855+279</f>
        <v>1134</v>
      </c>
      <c r="C135" s="3">
        <f>249+1275</f>
        <v>1524</v>
      </c>
      <c r="D135" s="3">
        <v>1787</v>
      </c>
      <c r="E135" s="3">
        <v>1507</v>
      </c>
      <c r="F135" s="3">
        <v>1587</v>
      </c>
      <c r="G135" s="3">
        <v>1995</v>
      </c>
      <c r="H135" s="3">
        <v>1541</v>
      </c>
      <c r="I135" s="3">
        <v>2435</v>
      </c>
      <c r="J135" s="3">
        <v>3293</v>
      </c>
    </row>
    <row r="136" spans="1:10" x14ac:dyDescent="0.3">
      <c r="A136" s="2" t="s">
        <v>102</v>
      </c>
      <c r="B136">
        <v>816</v>
      </c>
      <c r="C136" s="3">
        <v>993</v>
      </c>
      <c r="D136" s="3">
        <v>1372</v>
      </c>
      <c r="E136" s="3">
        <v>1507</v>
      </c>
      <c r="F136" s="3">
        <v>1807</v>
      </c>
      <c r="G136" s="3">
        <v>2376</v>
      </c>
      <c r="H136" s="3">
        <v>2490</v>
      </c>
      <c r="I136" s="3">
        <v>3243</v>
      </c>
      <c r="J136" s="3">
        <v>2365</v>
      </c>
    </row>
    <row r="137" spans="1:10" x14ac:dyDescent="0.3">
      <c r="A137" s="2" t="s">
        <v>106</v>
      </c>
      <c r="B137">
        <f>131+952</f>
        <v>1083</v>
      </c>
      <c r="C137" s="3">
        <f>818+100</f>
        <v>918</v>
      </c>
      <c r="D137" s="3">
        <v>1002</v>
      </c>
      <c r="E137" s="3">
        <v>980</v>
      </c>
      <c r="F137" s="3">
        <v>1189</v>
      </c>
      <c r="G137" s="3">
        <v>1323</v>
      </c>
      <c r="H137" s="3">
        <v>1184</v>
      </c>
      <c r="I137" s="3">
        <v>1530</v>
      </c>
      <c r="J137" s="3">
        <v>1896</v>
      </c>
    </row>
    <row r="138" spans="1:10" x14ac:dyDescent="0.3">
      <c r="A138" s="2" t="s">
        <v>107</v>
      </c>
      <c r="B138">
        <v>-1993</v>
      </c>
      <c r="C138" s="3">
        <v>-2267</v>
      </c>
      <c r="D138" s="3">
        <v>-2596</v>
      </c>
      <c r="E138" s="3">
        <v>-2677</v>
      </c>
      <c r="F138" s="3">
        <v>-2658</v>
      </c>
      <c r="G138" s="3">
        <v>-3262</v>
      </c>
      <c r="H138" s="3">
        <v>-3468</v>
      </c>
      <c r="I138" s="3">
        <v>-3656</v>
      </c>
      <c r="J138" s="3">
        <v>-4262</v>
      </c>
    </row>
    <row r="139" spans="1:10" x14ac:dyDescent="0.3">
      <c r="A139" s="4" t="s">
        <v>103</v>
      </c>
      <c r="B139">
        <f>SUM(B134:B138)</f>
        <v>4117</v>
      </c>
      <c r="C139" s="5">
        <f t="shared" ref="C139:H139" si="25">+SUM(C134:C138)</f>
        <v>4813</v>
      </c>
      <c r="D139" s="5">
        <f t="shared" si="25"/>
        <v>5328</v>
      </c>
      <c r="E139" s="5">
        <f t="shared" si="25"/>
        <v>5192</v>
      </c>
      <c r="F139" s="5">
        <f t="shared" si="25"/>
        <v>5525</v>
      </c>
      <c r="G139" s="5">
        <f t="shared" si="25"/>
        <v>6357</v>
      </c>
      <c r="H139" s="5">
        <f t="shared" si="25"/>
        <v>4646</v>
      </c>
      <c r="I139" s="5">
        <f t="shared" ref="I139:J139" si="26">+SUM(I134:I138)</f>
        <v>8641</v>
      </c>
      <c r="J139" s="5">
        <f t="shared" si="26"/>
        <v>8406</v>
      </c>
    </row>
    <row r="140" spans="1:10" x14ac:dyDescent="0.3">
      <c r="A140" s="2" t="s">
        <v>104</v>
      </c>
      <c r="B140">
        <v>496</v>
      </c>
      <c r="C140" s="3">
        <v>517</v>
      </c>
      <c r="D140" s="3">
        <v>487</v>
      </c>
      <c r="E140" s="3">
        <v>477</v>
      </c>
      <c r="F140" s="3">
        <v>310</v>
      </c>
      <c r="G140" s="3">
        <v>303</v>
      </c>
      <c r="H140" s="3">
        <v>297</v>
      </c>
      <c r="I140" s="3">
        <v>543</v>
      </c>
      <c r="J140" s="3">
        <v>669</v>
      </c>
    </row>
    <row r="141" spans="1:10" x14ac:dyDescent="0.3">
      <c r="A141" s="2" t="s">
        <v>108</v>
      </c>
      <c r="B141">
        <v>-1036</v>
      </c>
      <c r="C141" s="3">
        <v>-1097</v>
      </c>
      <c r="D141" s="3">
        <v>-1173</v>
      </c>
      <c r="E141" s="3">
        <v>-724</v>
      </c>
      <c r="F141" s="3">
        <v>-1456</v>
      </c>
      <c r="G141" s="3">
        <v>-1810</v>
      </c>
      <c r="H141" s="3">
        <v>-1967</v>
      </c>
      <c r="I141" s="3">
        <v>-2261</v>
      </c>
      <c r="J141" s="3">
        <v>-2219</v>
      </c>
    </row>
    <row r="142" spans="1:10" ht="15" thickBot="1" x14ac:dyDescent="0.35">
      <c r="A142" s="6" t="s">
        <v>112</v>
      </c>
      <c r="B142">
        <f>B139+B140+B141</f>
        <v>3577</v>
      </c>
      <c r="C142" s="7">
        <f>+SUM(C139:C141)</f>
        <v>4233</v>
      </c>
      <c r="D142" s="7">
        <f t="shared" ref="D142:I142" si="27">+SUM(D139:D141)</f>
        <v>4642</v>
      </c>
      <c r="E142" s="7">
        <f t="shared" si="27"/>
        <v>4945</v>
      </c>
      <c r="F142" s="7">
        <f t="shared" si="27"/>
        <v>4379</v>
      </c>
      <c r="G142" s="7">
        <f t="shared" si="27"/>
        <v>4850</v>
      </c>
      <c r="H142" s="7">
        <f t="shared" si="27"/>
        <v>2976</v>
      </c>
      <c r="I142" s="7">
        <f t="shared" si="27"/>
        <v>6923</v>
      </c>
      <c r="J142" s="7">
        <f>+SUM(J139:J141)</f>
        <v>6856</v>
      </c>
    </row>
    <row r="143" spans="1:10" s="12" customFormat="1" ht="15" thickTop="1" x14ac:dyDescent="0.3">
      <c r="A143" s="12" t="s">
        <v>111</v>
      </c>
      <c r="C143" s="13">
        <f>+C142-C10-C8</f>
        <v>0</v>
      </c>
      <c r="D143" s="13">
        <f t="shared" ref="D143:J143" si="28">+D142-D10-D8</f>
        <v>0</v>
      </c>
      <c r="E143" s="13">
        <f t="shared" si="28"/>
        <v>0</v>
      </c>
      <c r="F143" s="13">
        <f t="shared" si="28"/>
        <v>0</v>
      </c>
      <c r="G143" s="13">
        <f t="shared" si="28"/>
        <v>0</v>
      </c>
      <c r="H143" s="13">
        <f t="shared" si="28"/>
        <v>0</v>
      </c>
      <c r="I143" s="13">
        <f t="shared" si="28"/>
        <v>0</v>
      </c>
      <c r="J143" s="13">
        <f t="shared" si="28"/>
        <v>0</v>
      </c>
    </row>
    <row r="144" spans="1:10" x14ac:dyDescent="0.3">
      <c r="A144" s="1" t="s">
        <v>117</v>
      </c>
    </row>
    <row r="145" spans="1:10" x14ac:dyDescent="0.3">
      <c r="A145" s="2" t="s">
        <v>100</v>
      </c>
      <c r="B145">
        <v>545</v>
      </c>
      <c r="C145">
        <v>632</v>
      </c>
      <c r="D145">
        <v>742</v>
      </c>
      <c r="E145">
        <v>819</v>
      </c>
      <c r="F145">
        <v>848</v>
      </c>
      <c r="G145">
        <v>814</v>
      </c>
      <c r="H145">
        <v>645</v>
      </c>
      <c r="I145" s="3">
        <v>617</v>
      </c>
      <c r="J145" s="3">
        <v>639</v>
      </c>
    </row>
    <row r="146" spans="1:10" x14ac:dyDescent="0.3">
      <c r="A146" s="2" t="s">
        <v>101</v>
      </c>
      <c r="B146">
        <f>384+51</f>
        <v>435</v>
      </c>
      <c r="C146">
        <f>451+47</f>
        <v>498</v>
      </c>
      <c r="D146">
        <f>589+50</f>
        <v>639</v>
      </c>
      <c r="E146">
        <v>709</v>
      </c>
      <c r="F146">
        <v>849</v>
      </c>
      <c r="G146">
        <v>929</v>
      </c>
      <c r="H146">
        <v>885</v>
      </c>
      <c r="I146" s="3">
        <v>982</v>
      </c>
      <c r="J146" s="3">
        <v>920</v>
      </c>
    </row>
    <row r="147" spans="1:10" x14ac:dyDescent="0.3">
      <c r="A147" s="2" t="s">
        <v>102</v>
      </c>
      <c r="B147">
        <v>232</v>
      </c>
      <c r="C147">
        <v>254</v>
      </c>
      <c r="D147">
        <v>234</v>
      </c>
      <c r="E147">
        <v>225</v>
      </c>
      <c r="F147">
        <v>256</v>
      </c>
      <c r="G147">
        <v>237</v>
      </c>
      <c r="H147">
        <v>214</v>
      </c>
      <c r="I147" s="3">
        <v>288</v>
      </c>
      <c r="J147" s="3">
        <v>303</v>
      </c>
    </row>
    <row r="148" spans="1:10" x14ac:dyDescent="0.3">
      <c r="A148" s="2" t="s">
        <v>118</v>
      </c>
      <c r="B148">
        <f>258+115</f>
        <v>373</v>
      </c>
      <c r="C148">
        <f>205+103</f>
        <v>308</v>
      </c>
      <c r="D148">
        <f>223+109</f>
        <v>332</v>
      </c>
      <c r="E148">
        <v>340</v>
      </c>
      <c r="F148">
        <v>339</v>
      </c>
      <c r="G148">
        <v>326</v>
      </c>
      <c r="H148">
        <v>296</v>
      </c>
      <c r="I148" s="3">
        <v>304</v>
      </c>
      <c r="J148" s="3">
        <v>274</v>
      </c>
    </row>
    <row r="149" spans="1:10" x14ac:dyDescent="0.3">
      <c r="A149" s="2" t="s">
        <v>107</v>
      </c>
      <c r="B149">
        <v>537</v>
      </c>
      <c r="C149">
        <v>484</v>
      </c>
      <c r="D149">
        <v>511</v>
      </c>
      <c r="E149">
        <v>533</v>
      </c>
      <c r="F149">
        <v>597</v>
      </c>
      <c r="G149">
        <v>665</v>
      </c>
      <c r="H149">
        <v>830</v>
      </c>
      <c r="I149" s="3">
        <v>780</v>
      </c>
      <c r="J149" s="3">
        <v>789</v>
      </c>
    </row>
    <row r="150" spans="1:10" x14ac:dyDescent="0.3">
      <c r="A150" s="4" t="s">
        <v>119</v>
      </c>
      <c r="B150">
        <f>SUM(B145:B149)</f>
        <v>2122</v>
      </c>
      <c r="C150" s="5">
        <f t="shared" ref="C150:J150" si="29">+SUM(C145:C149)</f>
        <v>2176</v>
      </c>
      <c r="D150" s="5">
        <f t="shared" si="29"/>
        <v>2458</v>
      </c>
      <c r="E150" s="5">
        <f t="shared" si="29"/>
        <v>2626</v>
      </c>
      <c r="F150" s="5">
        <f t="shared" si="29"/>
        <v>2889</v>
      </c>
      <c r="G150" s="5">
        <f t="shared" si="29"/>
        <v>2971</v>
      </c>
      <c r="H150" s="5">
        <f t="shared" si="29"/>
        <v>2870</v>
      </c>
      <c r="I150" s="5">
        <f t="shared" si="29"/>
        <v>2971</v>
      </c>
      <c r="J150" s="5">
        <f t="shared" si="29"/>
        <v>2925</v>
      </c>
    </row>
    <row r="151" spans="1:10" x14ac:dyDescent="0.3">
      <c r="A151" s="2" t="s">
        <v>104</v>
      </c>
      <c r="B151">
        <v>70</v>
      </c>
      <c r="C151">
        <v>122</v>
      </c>
      <c r="D151">
        <v>125</v>
      </c>
      <c r="E151">
        <v>125</v>
      </c>
      <c r="F151">
        <v>115</v>
      </c>
      <c r="G151">
        <v>100</v>
      </c>
      <c r="H151">
        <v>80</v>
      </c>
      <c r="I151" s="3">
        <v>63</v>
      </c>
      <c r="J151" s="3">
        <v>49</v>
      </c>
    </row>
    <row r="152" spans="1:10" x14ac:dyDescent="0.3">
      <c r="A152" s="2" t="s">
        <v>108</v>
      </c>
      <c r="B152">
        <v>642</v>
      </c>
      <c r="C152">
        <v>713</v>
      </c>
      <c r="D152">
        <v>937</v>
      </c>
      <c r="E152">
        <v>1238</v>
      </c>
      <c r="F152">
        <v>1450</v>
      </c>
      <c r="G152">
        <v>1673</v>
      </c>
      <c r="H152">
        <v>1916</v>
      </c>
      <c r="I152" s="3">
        <v>1870</v>
      </c>
      <c r="J152" s="3">
        <v>1817</v>
      </c>
    </row>
    <row r="153" spans="1:10" ht="15" thickBot="1" x14ac:dyDescent="0.35">
      <c r="A153" s="6" t="s">
        <v>120</v>
      </c>
      <c r="B153">
        <f>B150+B151+B152</f>
        <v>2834</v>
      </c>
      <c r="C153" s="7">
        <f t="shared" ref="C153:I153" si="30">+SUM(C150:C152)</f>
        <v>3011</v>
      </c>
      <c r="D153" s="7">
        <f t="shared" si="30"/>
        <v>3520</v>
      </c>
      <c r="E153" s="7">
        <f t="shared" si="30"/>
        <v>3989</v>
      </c>
      <c r="F153" s="7">
        <f>+SUM(F150:F152)</f>
        <v>4454</v>
      </c>
      <c r="G153" s="7">
        <f t="shared" si="30"/>
        <v>4744</v>
      </c>
      <c r="H153" s="7">
        <f t="shared" si="30"/>
        <v>4866</v>
      </c>
      <c r="I153" s="7">
        <f t="shared" si="30"/>
        <v>4904</v>
      </c>
      <c r="J153" s="7">
        <f>+SUM(J150:J152)</f>
        <v>4791</v>
      </c>
    </row>
    <row r="154" spans="1:10" ht="15" thickTop="1" x14ac:dyDescent="0.3">
      <c r="A154" s="12" t="s">
        <v>111</v>
      </c>
      <c r="C154" s="13">
        <f t="shared" ref="C154:J154" si="31">+C153-C31</f>
        <v>0</v>
      </c>
      <c r="D154" s="13">
        <f t="shared" si="31"/>
        <v>0</v>
      </c>
      <c r="E154" s="13">
        <f t="shared" si="31"/>
        <v>0</v>
      </c>
      <c r="F154" s="13">
        <f t="shared" si="31"/>
        <v>0</v>
      </c>
      <c r="G154" s="13">
        <f t="shared" si="31"/>
        <v>0</v>
      </c>
      <c r="H154" s="13">
        <f t="shared" si="31"/>
        <v>0</v>
      </c>
      <c r="I154" s="13">
        <f t="shared" si="31"/>
        <v>0</v>
      </c>
      <c r="J154" s="13">
        <f t="shared" si="31"/>
        <v>0</v>
      </c>
    </row>
    <row r="155" spans="1:10" x14ac:dyDescent="0.3">
      <c r="A155" s="1" t="s">
        <v>122</v>
      </c>
    </row>
    <row r="156" spans="1:10" x14ac:dyDescent="0.3">
      <c r="A156" s="2" t="s">
        <v>100</v>
      </c>
      <c r="B156">
        <v>240</v>
      </c>
      <c r="C156" s="3">
        <v>208</v>
      </c>
      <c r="D156" s="3">
        <v>242</v>
      </c>
      <c r="E156" s="3">
        <v>223</v>
      </c>
      <c r="F156" s="3">
        <v>196</v>
      </c>
      <c r="G156" s="3">
        <v>117</v>
      </c>
      <c r="H156" s="3">
        <v>110</v>
      </c>
      <c r="I156" s="3">
        <v>98</v>
      </c>
      <c r="J156" s="3">
        <v>146</v>
      </c>
    </row>
    <row r="157" spans="1:10" x14ac:dyDescent="0.3">
      <c r="A157" s="2" t="s">
        <v>101</v>
      </c>
      <c r="B157">
        <f>120+19</f>
        <v>139</v>
      </c>
      <c r="C157" s="3">
        <f>216+20</f>
        <v>236</v>
      </c>
      <c r="D157" s="3">
        <v>234</v>
      </c>
      <c r="E157" s="3">
        <v>173</v>
      </c>
      <c r="F157" s="3">
        <v>240</v>
      </c>
      <c r="G157" s="3">
        <v>233</v>
      </c>
      <c r="H157" s="3">
        <v>139</v>
      </c>
      <c r="I157" s="3">
        <v>153</v>
      </c>
      <c r="J157" s="3">
        <v>197</v>
      </c>
    </row>
    <row r="158" spans="1:10" x14ac:dyDescent="0.3">
      <c r="A158" s="2" t="s">
        <v>102</v>
      </c>
      <c r="B158">
        <v>63</v>
      </c>
      <c r="C158" s="3">
        <v>69</v>
      </c>
      <c r="D158" s="3">
        <v>44</v>
      </c>
      <c r="E158" s="3">
        <v>51</v>
      </c>
      <c r="F158" s="3">
        <v>76</v>
      </c>
      <c r="G158" s="3">
        <v>49</v>
      </c>
      <c r="H158" s="3">
        <v>28</v>
      </c>
      <c r="I158" s="3">
        <v>94</v>
      </c>
      <c r="J158" s="3">
        <v>78</v>
      </c>
    </row>
    <row r="159" spans="1:10" x14ac:dyDescent="0.3">
      <c r="A159" s="2" t="s">
        <v>118</v>
      </c>
      <c r="B159">
        <f>9+55</f>
        <v>64</v>
      </c>
      <c r="C159" s="3">
        <f>15+37</f>
        <v>52</v>
      </c>
      <c r="D159" s="3">
        <v>62</v>
      </c>
      <c r="E159" s="3">
        <v>59</v>
      </c>
      <c r="F159" s="3">
        <v>49</v>
      </c>
      <c r="G159" s="3">
        <v>47</v>
      </c>
      <c r="H159" s="3">
        <v>41</v>
      </c>
      <c r="I159" s="3">
        <v>54</v>
      </c>
      <c r="J159" s="3">
        <v>56</v>
      </c>
    </row>
    <row r="160" spans="1:10" x14ac:dyDescent="0.3">
      <c r="A160" s="2" t="s">
        <v>107</v>
      </c>
      <c r="B160">
        <v>225</v>
      </c>
      <c r="C160" s="3">
        <v>225</v>
      </c>
      <c r="D160" s="3">
        <v>258</v>
      </c>
      <c r="E160" s="3">
        <v>278</v>
      </c>
      <c r="F160" s="3">
        <v>286</v>
      </c>
      <c r="G160" s="3">
        <v>278</v>
      </c>
      <c r="H160" s="3">
        <v>438</v>
      </c>
      <c r="I160" s="3">
        <v>278</v>
      </c>
      <c r="J160" s="3">
        <v>222</v>
      </c>
    </row>
    <row r="161" spans="1:10" x14ac:dyDescent="0.3">
      <c r="A161" s="4" t="s">
        <v>119</v>
      </c>
      <c r="B161">
        <f>SUM(B156:B160)</f>
        <v>731</v>
      </c>
      <c r="C161" s="5">
        <f>SUM(C156:C160)</f>
        <v>790</v>
      </c>
      <c r="D161" s="5">
        <f t="shared" ref="D161:J161" si="32">+SUM(D156:D160)</f>
        <v>840</v>
      </c>
      <c r="E161" s="5">
        <f t="shared" si="32"/>
        <v>784</v>
      </c>
      <c r="F161" s="5">
        <f t="shared" si="32"/>
        <v>847</v>
      </c>
      <c r="G161" s="5">
        <f t="shared" si="32"/>
        <v>724</v>
      </c>
      <c r="H161" s="5">
        <f t="shared" si="32"/>
        <v>756</v>
      </c>
      <c r="I161" s="5">
        <f t="shared" si="32"/>
        <v>677</v>
      </c>
      <c r="J161" s="5">
        <f t="shared" si="32"/>
        <v>699</v>
      </c>
    </row>
    <row r="162" spans="1:10" x14ac:dyDescent="0.3">
      <c r="A162" s="2" t="s">
        <v>104</v>
      </c>
      <c r="B162">
        <v>30</v>
      </c>
      <c r="C162" s="3">
        <v>69</v>
      </c>
      <c r="D162" s="3">
        <v>39</v>
      </c>
      <c r="E162" s="3">
        <v>30</v>
      </c>
      <c r="F162" s="3">
        <v>22</v>
      </c>
      <c r="G162" s="3">
        <v>18</v>
      </c>
      <c r="H162" s="3">
        <v>12</v>
      </c>
      <c r="I162" s="3">
        <v>7</v>
      </c>
      <c r="J162" s="3">
        <v>9</v>
      </c>
    </row>
    <row r="163" spans="1:10" x14ac:dyDescent="0.3">
      <c r="A163" s="2" t="s">
        <v>108</v>
      </c>
      <c r="B163">
        <v>161</v>
      </c>
      <c r="C163" s="3">
        <v>144</v>
      </c>
      <c r="D163" s="3">
        <v>312</v>
      </c>
      <c r="E163" s="3">
        <v>387</v>
      </c>
      <c r="F163" s="3">
        <v>325</v>
      </c>
      <c r="G163" s="3">
        <v>333</v>
      </c>
      <c r="H163" s="3">
        <v>356</v>
      </c>
      <c r="I163" s="3">
        <f>-(SUM(I161:I162)+I81)</f>
        <v>11</v>
      </c>
      <c r="J163" s="3">
        <f>-(SUM(J161:J162)+J81)</f>
        <v>50</v>
      </c>
    </row>
    <row r="164" spans="1:10" ht="15" thickBot="1" x14ac:dyDescent="0.35">
      <c r="A164" s="6" t="s">
        <v>123</v>
      </c>
      <c r="B164">
        <f>B161+B162+B163</f>
        <v>922</v>
      </c>
      <c r="C164" s="7">
        <f t="shared" ref="C164:I164" si="33">+SUM(C161:C163)</f>
        <v>1003</v>
      </c>
      <c r="D164" s="7">
        <f>+SUM(D161:D163)</f>
        <v>1191</v>
      </c>
      <c r="E164" s="7">
        <f t="shared" si="33"/>
        <v>1201</v>
      </c>
      <c r="F164" s="7">
        <f t="shared" si="33"/>
        <v>1194</v>
      </c>
      <c r="G164" s="7">
        <f t="shared" si="33"/>
        <v>1075</v>
      </c>
      <c r="H164" s="7">
        <f t="shared" si="33"/>
        <v>1124</v>
      </c>
      <c r="I164" s="7">
        <f t="shared" si="33"/>
        <v>695</v>
      </c>
      <c r="J164" s="7">
        <f>+SUM(J161:J163)</f>
        <v>758</v>
      </c>
    </row>
    <row r="165" spans="1:10" ht="15" thickTop="1" x14ac:dyDescent="0.3">
      <c r="A165" s="12" t="s">
        <v>111</v>
      </c>
      <c r="C165" s="13">
        <f t="shared" ref="C165:J165" si="34">+C164+C81</f>
        <v>40</v>
      </c>
      <c r="D165" s="13">
        <f t="shared" si="34"/>
        <v>48</v>
      </c>
      <c r="E165" s="13">
        <f t="shared" si="34"/>
        <v>96</v>
      </c>
      <c r="F165" s="13">
        <f t="shared" si="34"/>
        <v>166</v>
      </c>
      <c r="G165" s="13">
        <f t="shared" si="34"/>
        <v>-44</v>
      </c>
      <c r="H165" s="13">
        <f t="shared" si="34"/>
        <v>38</v>
      </c>
      <c r="I165" s="13">
        <f t="shared" si="34"/>
        <v>0</v>
      </c>
      <c r="J165" s="13">
        <f t="shared" si="34"/>
        <v>0</v>
      </c>
    </row>
    <row r="166" spans="1:10" x14ac:dyDescent="0.3">
      <c r="A166" s="1" t="s">
        <v>124</v>
      </c>
    </row>
    <row r="167" spans="1:10" x14ac:dyDescent="0.3">
      <c r="A167" s="2" t="s">
        <v>100</v>
      </c>
      <c r="B167">
        <v>109</v>
      </c>
      <c r="C167" s="3">
        <v>121</v>
      </c>
      <c r="D167" s="3">
        <v>133</v>
      </c>
      <c r="E167" s="3">
        <v>140</v>
      </c>
      <c r="F167" s="3">
        <v>160</v>
      </c>
      <c r="G167" s="3">
        <v>149</v>
      </c>
      <c r="H167" s="3">
        <v>148</v>
      </c>
      <c r="I167" s="3">
        <v>130</v>
      </c>
      <c r="J167" s="3">
        <v>124</v>
      </c>
    </row>
    <row r="168" spans="1:10" x14ac:dyDescent="0.3">
      <c r="A168" s="2" t="s">
        <v>101</v>
      </c>
      <c r="B168">
        <f>71+11</f>
        <v>82</v>
      </c>
      <c r="C168" s="3">
        <f>75+12</f>
        <v>87</v>
      </c>
      <c r="D168" s="3">
        <f>72+12</f>
        <v>84</v>
      </c>
      <c r="E168" s="3">
        <v>106</v>
      </c>
      <c r="F168" s="3">
        <v>116</v>
      </c>
      <c r="G168" s="3">
        <v>111</v>
      </c>
      <c r="H168" s="3">
        <v>132</v>
      </c>
      <c r="I168" s="3">
        <v>136</v>
      </c>
      <c r="J168" s="3">
        <v>134</v>
      </c>
    </row>
    <row r="169" spans="1:10" x14ac:dyDescent="0.3">
      <c r="A169" s="2" t="s">
        <v>102</v>
      </c>
      <c r="B169">
        <v>38</v>
      </c>
      <c r="C169" s="3">
        <v>46</v>
      </c>
      <c r="D169" s="3">
        <v>48</v>
      </c>
      <c r="E169" s="3">
        <v>54</v>
      </c>
      <c r="F169" s="3">
        <v>56</v>
      </c>
      <c r="G169" s="3">
        <v>50</v>
      </c>
      <c r="H169" s="3">
        <v>44</v>
      </c>
      <c r="I169" s="3">
        <v>46</v>
      </c>
      <c r="J169" s="3">
        <v>41</v>
      </c>
    </row>
    <row r="170" spans="1:10" x14ac:dyDescent="0.3">
      <c r="A170" s="2" t="s">
        <v>106</v>
      </c>
      <c r="B170">
        <f>19+25</f>
        <v>44</v>
      </c>
      <c r="C170" s="3">
        <f>22+27</f>
        <v>49</v>
      </c>
      <c r="D170" s="3">
        <f>18+25</f>
        <v>43</v>
      </c>
      <c r="E170" s="3">
        <v>54</v>
      </c>
      <c r="F170" s="3">
        <v>55</v>
      </c>
      <c r="G170" s="3">
        <v>53</v>
      </c>
      <c r="H170" s="3">
        <v>46</v>
      </c>
      <c r="I170" s="3">
        <v>43</v>
      </c>
      <c r="J170" s="3">
        <v>42</v>
      </c>
    </row>
    <row r="171" spans="1:10" x14ac:dyDescent="0.3">
      <c r="A171" s="2" t="s">
        <v>107</v>
      </c>
      <c r="B171">
        <v>175</v>
      </c>
      <c r="C171" s="3">
        <v>210</v>
      </c>
      <c r="D171" s="3">
        <v>230</v>
      </c>
      <c r="E171" s="3">
        <v>233</v>
      </c>
      <c r="F171" s="3">
        <v>217</v>
      </c>
      <c r="G171" s="3">
        <v>195</v>
      </c>
      <c r="H171" s="3">
        <v>214</v>
      </c>
      <c r="I171" s="3">
        <v>222</v>
      </c>
      <c r="J171" s="3">
        <v>220</v>
      </c>
    </row>
    <row r="172" spans="1:10" x14ac:dyDescent="0.3">
      <c r="A172" s="4" t="s">
        <v>119</v>
      </c>
      <c r="B172">
        <f>SUM(B167:B171)</f>
        <v>448</v>
      </c>
      <c r="C172" s="5">
        <f t="shared" ref="C172:J172" si="35">+SUM(C167:C171)</f>
        <v>513</v>
      </c>
      <c r="D172" s="5">
        <f t="shared" si="35"/>
        <v>538</v>
      </c>
      <c r="E172" s="5">
        <f t="shared" si="35"/>
        <v>587</v>
      </c>
      <c r="F172" s="5">
        <f t="shared" si="35"/>
        <v>604</v>
      </c>
      <c r="G172" s="5">
        <f t="shared" si="35"/>
        <v>558</v>
      </c>
      <c r="H172" s="5">
        <f t="shared" si="35"/>
        <v>584</v>
      </c>
      <c r="I172" s="5">
        <f t="shared" si="35"/>
        <v>577</v>
      </c>
      <c r="J172" s="5">
        <f t="shared" si="35"/>
        <v>561</v>
      </c>
    </row>
    <row r="173" spans="1:10" x14ac:dyDescent="0.3">
      <c r="A173" s="2" t="s">
        <v>104</v>
      </c>
      <c r="B173">
        <v>16</v>
      </c>
      <c r="C173" s="3">
        <v>18</v>
      </c>
      <c r="D173" s="3">
        <v>27</v>
      </c>
      <c r="E173" s="3">
        <v>28</v>
      </c>
      <c r="F173" s="3">
        <v>33</v>
      </c>
      <c r="G173" s="3">
        <v>31</v>
      </c>
      <c r="H173" s="3">
        <v>25</v>
      </c>
      <c r="I173" s="3">
        <v>26</v>
      </c>
      <c r="J173" s="3">
        <v>22</v>
      </c>
    </row>
    <row r="174" spans="1:10" x14ac:dyDescent="0.3">
      <c r="A174" s="2" t="s">
        <v>108</v>
      </c>
      <c r="B174">
        <v>54</v>
      </c>
      <c r="C174" s="3">
        <v>75</v>
      </c>
      <c r="D174" s="3">
        <v>84</v>
      </c>
      <c r="E174" s="3">
        <v>91</v>
      </c>
      <c r="F174" s="3">
        <v>110</v>
      </c>
      <c r="G174" s="3">
        <v>116</v>
      </c>
      <c r="H174" s="3">
        <v>112</v>
      </c>
      <c r="I174" s="3">
        <v>141</v>
      </c>
      <c r="J174" s="3">
        <v>134</v>
      </c>
    </row>
    <row r="175" spans="1:10" ht="15" thickBot="1" x14ac:dyDescent="0.35">
      <c r="A175" s="6" t="s">
        <v>125</v>
      </c>
      <c r="B175">
        <f>B172+B173+B174</f>
        <v>518</v>
      </c>
      <c r="C175" s="7">
        <f t="shared" ref="C175:I175" si="36">+SUM(C172:C174)</f>
        <v>606</v>
      </c>
      <c r="D175" s="7">
        <f t="shared" si="36"/>
        <v>649</v>
      </c>
      <c r="E175" s="7">
        <f t="shared" si="36"/>
        <v>706</v>
      </c>
      <c r="F175" s="7">
        <f t="shared" si="36"/>
        <v>747</v>
      </c>
      <c r="G175" s="7">
        <f t="shared" si="36"/>
        <v>705</v>
      </c>
      <c r="H175" s="7">
        <f t="shared" si="36"/>
        <v>721</v>
      </c>
      <c r="I175" s="7">
        <f t="shared" si="36"/>
        <v>744</v>
      </c>
      <c r="J175" s="7">
        <f>+SUM(J172:J174)</f>
        <v>717</v>
      </c>
    </row>
    <row r="176" spans="1:10" ht="15" thickTop="1" x14ac:dyDescent="0.3">
      <c r="A176" s="12" t="s">
        <v>111</v>
      </c>
      <c r="C176" s="13">
        <f t="shared" ref="C176:J176" si="37">+C175-C66</f>
        <v>0</v>
      </c>
      <c r="D176" s="13">
        <f t="shared" si="37"/>
        <v>0</v>
      </c>
      <c r="E176" s="13">
        <f t="shared" si="37"/>
        <v>0</v>
      </c>
      <c r="F176" s="13">
        <f t="shared" si="37"/>
        <v>0</v>
      </c>
      <c r="G176" s="13">
        <f t="shared" si="37"/>
        <v>0</v>
      </c>
      <c r="H176" s="13">
        <f t="shared" si="37"/>
        <v>0</v>
      </c>
      <c r="I176" s="13">
        <f t="shared" si="37"/>
        <v>0</v>
      </c>
      <c r="J176" s="13">
        <f t="shared" si="37"/>
        <v>0</v>
      </c>
    </row>
    <row r="177" spans="1:10" x14ac:dyDescent="0.3">
      <c r="A177" s="14" t="s">
        <v>126</v>
      </c>
      <c r="C177" s="14"/>
      <c r="D177" s="14"/>
      <c r="E177" s="14"/>
      <c r="F177" s="14"/>
      <c r="G177" s="14"/>
      <c r="H177" s="14"/>
      <c r="I177" s="14"/>
      <c r="J177" s="14"/>
    </row>
    <row r="178" spans="1:10" x14ac:dyDescent="0.3">
      <c r="A178" s="28" t="s">
        <v>127</v>
      </c>
    </row>
    <row r="179" spans="1:10" x14ac:dyDescent="0.3">
      <c r="A179" s="33" t="s">
        <v>100</v>
      </c>
      <c r="C179" s="50">
        <f>(C107-B107)/B107</f>
        <v>0.11716399707293276</v>
      </c>
      <c r="D179" s="51">
        <f t="shared" ref="D179:I194" si="38">(D107-C107)/C107</f>
        <v>7.4526928675400297E-2</v>
      </c>
      <c r="E179" s="51">
        <f t="shared" si="38"/>
        <v>3.061500948252506E-2</v>
      </c>
      <c r="F179" s="51">
        <f t="shared" si="38"/>
        <v>-2.3725026288117772E-2</v>
      </c>
      <c r="G179" s="51">
        <f t="shared" si="38"/>
        <v>7.0481319421070346E-2</v>
      </c>
      <c r="H179" s="51">
        <f t="shared" si="38"/>
        <v>-8.9171173437303478E-2</v>
      </c>
      <c r="I179" s="51">
        <f t="shared" si="38"/>
        <v>0.18606738470035902</v>
      </c>
      <c r="J179" s="34">
        <v>7.0000000000000007E-2</v>
      </c>
    </row>
    <row r="180" spans="1:10" x14ac:dyDescent="0.3">
      <c r="A180" s="31" t="s">
        <v>113</v>
      </c>
      <c r="C180" s="50">
        <f t="shared" ref="C180:I195" si="39">(C108-B108)/B108</f>
        <v>0.13488992661774515</v>
      </c>
      <c r="D180" s="51">
        <f t="shared" si="38"/>
        <v>9.3228309428638606E-2</v>
      </c>
      <c r="E180" s="51">
        <f t="shared" si="38"/>
        <v>4.1402301322722872E-2</v>
      </c>
      <c r="F180" s="51">
        <f t="shared" si="38"/>
        <v>-3.7381247418422137E-2</v>
      </c>
      <c r="G180" s="51">
        <f t="shared" si="38"/>
        <v>7.7558463848959452E-2</v>
      </c>
      <c r="H180" s="51">
        <f t="shared" si="38"/>
        <v>-7.1279243404678949E-2</v>
      </c>
      <c r="I180" s="51">
        <f t="shared" si="38"/>
        <v>0.24815092721620752</v>
      </c>
      <c r="J180" s="30">
        <v>0.05</v>
      </c>
    </row>
    <row r="181" spans="1:10" x14ac:dyDescent="0.3">
      <c r="A181" s="31" t="s">
        <v>114</v>
      </c>
      <c r="C181" s="50">
        <f t="shared" si="39"/>
        <v>0.12014224028448058</v>
      </c>
      <c r="D181" s="51">
        <f t="shared" si="38"/>
        <v>7.6190476190476197E-2</v>
      </c>
      <c r="E181" s="51">
        <f t="shared" si="38"/>
        <v>2.9498525073746312E-2</v>
      </c>
      <c r="F181" s="51">
        <f t="shared" si="38"/>
        <v>1.0642652476463364E-2</v>
      </c>
      <c r="G181" s="51">
        <f t="shared" si="38"/>
        <v>6.5208586472255969E-2</v>
      </c>
      <c r="H181" s="51">
        <f t="shared" si="38"/>
        <v>-0.11806083650190113</v>
      </c>
      <c r="I181" s="51">
        <f t="shared" si="38"/>
        <v>8.3854278939426596E-2</v>
      </c>
      <c r="J181" s="30">
        <v>0.09</v>
      </c>
    </row>
    <row r="182" spans="1:10" x14ac:dyDescent="0.3">
      <c r="A182" s="31" t="s">
        <v>115</v>
      </c>
      <c r="C182" s="50">
        <f t="shared" si="39"/>
        <v>-4.9596309111880045E-2</v>
      </c>
      <c r="D182" s="51">
        <f t="shared" si="38"/>
        <v>-0.12742718446601942</v>
      </c>
      <c r="E182" s="51">
        <f t="shared" si="38"/>
        <v>-0.10152990264255911</v>
      </c>
      <c r="F182" s="51">
        <f t="shared" si="38"/>
        <v>-7.8947368421052627E-2</v>
      </c>
      <c r="G182" s="51">
        <f t="shared" si="38"/>
        <v>3.3613445378151263E-3</v>
      </c>
      <c r="H182" s="51">
        <f t="shared" si="38"/>
        <v>-0.135678391959799</v>
      </c>
      <c r="I182" s="51">
        <f t="shared" si="38"/>
        <v>-1.7441860465116279E-2</v>
      </c>
      <c r="J182" s="30">
        <v>0.25</v>
      </c>
    </row>
    <row r="183" spans="1:10" x14ac:dyDescent="0.3">
      <c r="A183" s="33" t="s">
        <v>101</v>
      </c>
      <c r="C183" s="50">
        <f>(C111-B111)/B111</f>
        <v>0.1193842287150487</v>
      </c>
      <c r="D183" s="51">
        <f t="shared" si="38"/>
        <v>6.2026382262138649E-2</v>
      </c>
      <c r="E183" s="51">
        <f t="shared" si="38"/>
        <v>5.3118393234672302E-2</v>
      </c>
      <c r="F183" s="51">
        <f t="shared" si="38"/>
        <v>0.15959849435382686</v>
      </c>
      <c r="G183" s="51">
        <f t="shared" si="38"/>
        <v>6.1674962129409219E-2</v>
      </c>
      <c r="H183" s="51">
        <f t="shared" si="38"/>
        <v>-4.7390949857317573E-2</v>
      </c>
      <c r="I183" s="51">
        <f t="shared" si="38"/>
        <v>0.22563389322777361</v>
      </c>
      <c r="J183" s="34">
        <v>0.12</v>
      </c>
    </row>
    <row r="184" spans="1:10" x14ac:dyDescent="0.3">
      <c r="A184" s="31" t="s">
        <v>113</v>
      </c>
      <c r="C184" s="51">
        <f t="shared" si="39"/>
        <v>0.15780403741999016</v>
      </c>
      <c r="D184" s="51">
        <f t="shared" si="38"/>
        <v>7.2294280246651077E-2</v>
      </c>
      <c r="E184" s="51">
        <f t="shared" si="38"/>
        <v>2.9545905215149711E-2</v>
      </c>
      <c r="F184" s="51">
        <f t="shared" si="38"/>
        <v>0.13154853620955315</v>
      </c>
      <c r="G184" s="51">
        <f t="shared" si="38"/>
        <v>7.114893617021277E-2</v>
      </c>
      <c r="H184" s="51">
        <f t="shared" si="38"/>
        <v>-6.3721595423486418E-2</v>
      </c>
      <c r="I184" s="51">
        <f t="shared" si="38"/>
        <v>0.18295994568906992</v>
      </c>
      <c r="J184" s="30">
        <v>0.09</v>
      </c>
    </row>
    <row r="185" spans="1:10" x14ac:dyDescent="0.3">
      <c r="A185" s="31" t="s">
        <v>114</v>
      </c>
      <c r="C185" s="50">
        <f>(C113-B113)/B113</f>
        <v>4.6962736089841757E-2</v>
      </c>
      <c r="D185" s="51">
        <f t="shared" si="38"/>
        <v>4.778156996587031E-2</v>
      </c>
      <c r="E185" s="51">
        <f t="shared" si="38"/>
        <v>0.11447184737087017</v>
      </c>
      <c r="F185" s="51">
        <f t="shared" si="38"/>
        <v>0.22755741127348644</v>
      </c>
      <c r="G185" s="51">
        <f t="shared" si="38"/>
        <v>0.05</v>
      </c>
      <c r="H185" s="51">
        <f t="shared" si="38"/>
        <v>-1.101392938127632E-2</v>
      </c>
      <c r="I185" s="51">
        <f t="shared" si="38"/>
        <v>0.30887651490337376</v>
      </c>
      <c r="J185" s="30">
        <v>0.16</v>
      </c>
    </row>
    <row r="186" spans="1:10" x14ac:dyDescent="0.3">
      <c r="A186" s="31" t="s">
        <v>115</v>
      </c>
      <c r="C186" s="50">
        <f t="shared" si="39"/>
        <v>7.8260869565217397E-2</v>
      </c>
      <c r="D186" s="51">
        <f t="shared" si="38"/>
        <v>1.0752688172043012E-2</v>
      </c>
      <c r="E186" s="51">
        <f t="shared" si="38"/>
        <v>1.8617021276595744E-2</v>
      </c>
      <c r="F186" s="51">
        <f t="shared" si="38"/>
        <v>0.11488250652741515</v>
      </c>
      <c r="G186" s="51">
        <f t="shared" si="38"/>
        <v>1.1709601873536301E-2</v>
      </c>
      <c r="H186" s="51">
        <f t="shared" si="38"/>
        <v>-6.9444444444444448E-2</v>
      </c>
      <c r="I186" s="51">
        <f t="shared" si="38"/>
        <v>0.21890547263681592</v>
      </c>
      <c r="J186" s="30">
        <v>0.17</v>
      </c>
    </row>
    <row r="187" spans="1:10" x14ac:dyDescent="0.3">
      <c r="A187" s="33" t="s">
        <v>102</v>
      </c>
      <c r="C187" s="50">
        <f t="shared" si="39"/>
        <v>0.17870868562644121</v>
      </c>
      <c r="D187" s="51">
        <f t="shared" si="38"/>
        <v>0.23410498858819692</v>
      </c>
      <c r="E187" s="51">
        <f t="shared" si="38"/>
        <v>0.11941875825627477</v>
      </c>
      <c r="F187" s="51">
        <f t="shared" si="38"/>
        <v>0.21170639603493038</v>
      </c>
      <c r="G187" s="51">
        <f t="shared" si="38"/>
        <v>0.20919361121932217</v>
      </c>
      <c r="H187" s="51">
        <f t="shared" si="38"/>
        <v>7.5869845360824736E-2</v>
      </c>
      <c r="I187" s="51">
        <f t="shared" si="38"/>
        <v>0.24120377301991316</v>
      </c>
      <c r="J187" s="34">
        <v>-0.13</v>
      </c>
    </row>
    <row r="188" spans="1:10" x14ac:dyDescent="0.3">
      <c r="A188" s="31" t="s">
        <v>113</v>
      </c>
      <c r="C188" s="50">
        <f t="shared" si="39"/>
        <v>0.26</v>
      </c>
      <c r="D188" s="51">
        <f t="shared" si="38"/>
        <v>0.28918650793650796</v>
      </c>
      <c r="E188" s="51">
        <f t="shared" si="38"/>
        <v>0.12350904193920739</v>
      </c>
      <c r="F188" s="51">
        <f t="shared" si="38"/>
        <v>0.19726027397260273</v>
      </c>
      <c r="G188" s="51">
        <f t="shared" si="38"/>
        <v>0.21910755148741418</v>
      </c>
      <c r="H188" s="51">
        <f t="shared" si="38"/>
        <v>8.7517597372125763E-2</v>
      </c>
      <c r="I188" s="51">
        <f t="shared" si="38"/>
        <v>0.24012944983818771</v>
      </c>
      <c r="J188" s="30">
        <v>-0.1</v>
      </c>
    </row>
    <row r="189" spans="1:10" x14ac:dyDescent="0.3">
      <c r="A189" s="31" t="s">
        <v>114</v>
      </c>
      <c r="C189" s="50">
        <f t="shared" si="39"/>
        <v>5.5936073059360727E-2</v>
      </c>
      <c r="D189" s="51">
        <f t="shared" si="38"/>
        <v>0.14054054054054055</v>
      </c>
      <c r="E189" s="51">
        <f t="shared" si="38"/>
        <v>0.12606635071090047</v>
      </c>
      <c r="F189" s="51">
        <f t="shared" si="38"/>
        <v>0.26936026936026936</v>
      </c>
      <c r="G189" s="51">
        <f t="shared" si="38"/>
        <v>0.19893899204244031</v>
      </c>
      <c r="H189" s="51">
        <f t="shared" si="38"/>
        <v>4.8672566371681415E-2</v>
      </c>
      <c r="I189" s="51">
        <f t="shared" si="38"/>
        <v>0.2378691983122363</v>
      </c>
      <c r="J189" s="30">
        <v>-0.21</v>
      </c>
    </row>
    <row r="190" spans="1:10" x14ac:dyDescent="0.3">
      <c r="A190" s="31" t="s">
        <v>115</v>
      </c>
      <c r="C190" s="50">
        <f t="shared" si="39"/>
        <v>0</v>
      </c>
      <c r="D190" s="51">
        <f t="shared" si="38"/>
        <v>3.968253968253968E-2</v>
      </c>
      <c r="E190" s="51">
        <f t="shared" si="38"/>
        <v>-1.5267175572519083E-2</v>
      </c>
      <c r="F190" s="51">
        <f t="shared" si="38"/>
        <v>7.7519379844961239E-3</v>
      </c>
      <c r="G190" s="51">
        <f t="shared" si="38"/>
        <v>6.1538461538461542E-2</v>
      </c>
      <c r="H190" s="51">
        <f t="shared" si="38"/>
        <v>7.2463768115942032E-2</v>
      </c>
      <c r="I190" s="51">
        <f t="shared" si="38"/>
        <v>0.31756756756756754</v>
      </c>
      <c r="J190" s="30">
        <v>-0.06</v>
      </c>
    </row>
    <row r="191" spans="1:10" x14ac:dyDescent="0.3">
      <c r="A191" s="33" t="s">
        <v>106</v>
      </c>
      <c r="C191" s="50">
        <f t="shared" si="39"/>
        <v>-1.4194915254237288E-2</v>
      </c>
      <c r="D191" s="51">
        <f t="shared" si="38"/>
        <v>-7.2211476466795613E-2</v>
      </c>
      <c r="E191" s="51">
        <f t="shared" si="38"/>
        <v>9.7289784572619872E-2</v>
      </c>
      <c r="F191" s="51">
        <f t="shared" si="38"/>
        <v>9.0563647878404055E-2</v>
      </c>
      <c r="G191" s="51">
        <f t="shared" si="38"/>
        <v>1.7034456058846303E-2</v>
      </c>
      <c r="H191" s="51">
        <f t="shared" si="38"/>
        <v>-4.3014845831747243E-2</v>
      </c>
      <c r="I191" s="51">
        <f t="shared" si="38"/>
        <v>6.2649164677804292E-2</v>
      </c>
      <c r="J191" s="34">
        <v>0.16</v>
      </c>
    </row>
    <row r="192" spans="1:10" x14ac:dyDescent="0.3">
      <c r="A192" s="31" t="s">
        <v>113</v>
      </c>
      <c r="C192" s="50">
        <f t="shared" si="39"/>
        <v>1.376597836774828E-2</v>
      </c>
      <c r="D192" s="51">
        <f t="shared" si="38"/>
        <v>-5.2699644358228256E-2</v>
      </c>
      <c r="E192" s="51">
        <f t="shared" si="38"/>
        <v>0.12116040955631399</v>
      </c>
      <c r="F192" s="51">
        <f t="shared" si="38"/>
        <v>8.8280060882800604E-2</v>
      </c>
      <c r="G192" s="51">
        <f t="shared" si="38"/>
        <v>1.3146853146853148E-2</v>
      </c>
      <c r="H192" s="51">
        <f t="shared" si="38"/>
        <v>-4.7763666482606291E-2</v>
      </c>
      <c r="I192" s="51">
        <f t="shared" si="38"/>
        <v>6.0887213685126125E-2</v>
      </c>
      <c r="J192" s="30">
        <v>0.17</v>
      </c>
    </row>
    <row r="193" spans="1:10" x14ac:dyDescent="0.3">
      <c r="A193" s="31" t="s">
        <v>114</v>
      </c>
      <c r="C193" s="50">
        <f t="shared" si="39"/>
        <v>-6.4323111443530298E-2</v>
      </c>
      <c r="D193" s="51">
        <f>(D121-C121)/C121</f>
        <v>-0.10711430855315747</v>
      </c>
      <c r="E193" s="51">
        <f t="shared" si="38"/>
        <v>6.087735004476276E-2</v>
      </c>
      <c r="F193" s="51">
        <f t="shared" si="38"/>
        <v>0.13670886075949368</v>
      </c>
      <c r="G193" s="51">
        <f t="shared" si="38"/>
        <v>3.5634743875278395E-2</v>
      </c>
      <c r="H193" s="51">
        <f t="shared" si="38"/>
        <v>-2.1505376344086023E-2</v>
      </c>
      <c r="I193" s="51">
        <f t="shared" si="38"/>
        <v>9.4505494505494503E-2</v>
      </c>
      <c r="J193" s="30">
        <v>0.12</v>
      </c>
    </row>
    <row r="194" spans="1:10" x14ac:dyDescent="0.3">
      <c r="A194" s="31" t="s">
        <v>115</v>
      </c>
      <c r="C194" s="50">
        <f t="shared" si="39"/>
        <v>-6.9277108433734941E-2</v>
      </c>
      <c r="D194" s="51">
        <f t="shared" si="38"/>
        <v>-0.12621359223300971</v>
      </c>
      <c r="E194" s="51">
        <f t="shared" si="38"/>
        <v>-1.1111111111111112E-2</v>
      </c>
      <c r="F194" s="51">
        <f t="shared" si="38"/>
        <v>-8.6142322097378279E-2</v>
      </c>
      <c r="G194" s="51">
        <f t="shared" si="38"/>
        <v>-2.8688524590163935E-2</v>
      </c>
      <c r="H194" s="51">
        <f t="shared" si="38"/>
        <v>-9.7046413502109699E-2</v>
      </c>
      <c r="I194" s="51">
        <f t="shared" si="38"/>
        <v>-0.11214953271028037</v>
      </c>
      <c r="J194" s="30">
        <v>0.28000000000000003</v>
      </c>
    </row>
    <row r="195" spans="1:10" x14ac:dyDescent="0.3">
      <c r="A195" s="33" t="s">
        <v>107</v>
      </c>
      <c r="C195" s="50">
        <f t="shared" si="39"/>
        <v>-0.08</v>
      </c>
      <c r="D195" s="51">
        <f t="shared" si="39"/>
        <v>-0.36521739130434783</v>
      </c>
      <c r="E195" s="51">
        <f t="shared" si="39"/>
        <v>0</v>
      </c>
      <c r="F195" s="51">
        <f t="shared" si="39"/>
        <v>0.20547945205479451</v>
      </c>
      <c r="G195" s="51">
        <f t="shared" si="39"/>
        <v>-0.52272727272727271</v>
      </c>
      <c r="H195" s="51">
        <f t="shared" si="39"/>
        <v>-0.2857142857142857</v>
      </c>
      <c r="I195" s="51">
        <f t="shared" si="39"/>
        <v>-0.16666666666666666</v>
      </c>
      <c r="J195" s="34">
        <v>3.02</v>
      </c>
    </row>
    <row r="196" spans="1:10" x14ac:dyDescent="0.3">
      <c r="A196" s="35" t="s">
        <v>103</v>
      </c>
      <c r="C196" s="50">
        <f t="shared" ref="C196:I203" si="40">(C124-B124)/B124</f>
        <v>9.914981617647059E-2</v>
      </c>
      <c r="D196" s="51">
        <f t="shared" si="40"/>
        <v>6.2924636772237905E-2</v>
      </c>
      <c r="E196" s="51">
        <f t="shared" si="40"/>
        <v>5.6577179008096501E-2</v>
      </c>
      <c r="F196" s="51">
        <f t="shared" si="40"/>
        <v>6.9866286104303038E-2</v>
      </c>
      <c r="G196" s="51">
        <f t="shared" si="40"/>
        <v>7.9251848629839056E-2</v>
      </c>
      <c r="H196" s="51">
        <f t="shared" si="40"/>
        <v>-4.4333387070772209E-2</v>
      </c>
      <c r="I196" s="51">
        <f t="shared" si="40"/>
        <v>0.18907444894286998</v>
      </c>
      <c r="J196" s="37">
        <v>0.06</v>
      </c>
    </row>
    <row r="197" spans="1:10" x14ac:dyDescent="0.3">
      <c r="A197" s="33" t="s">
        <v>104</v>
      </c>
      <c r="C197" s="50">
        <f t="shared" si="40"/>
        <v>0.17695961995249407</v>
      </c>
      <c r="D197" s="51">
        <f t="shared" si="40"/>
        <v>-1.3622603430877902E-2</v>
      </c>
      <c r="E197" s="51">
        <f t="shared" si="40"/>
        <v>4.4501278772378514E-2</v>
      </c>
      <c r="F197" s="51">
        <f t="shared" si="40"/>
        <v>-7.6395690499510283E-2</v>
      </c>
      <c r="G197" s="51">
        <f t="shared" si="40"/>
        <v>1.0604453870625663E-2</v>
      </c>
      <c r="H197" s="51">
        <f t="shared" si="40"/>
        <v>-3.1479538300104928E-2</v>
      </c>
      <c r="I197" s="51">
        <f t="shared" si="40"/>
        <v>0.19447453954496208</v>
      </c>
      <c r="J197" s="34">
        <v>7.0000000000000007E-2</v>
      </c>
    </row>
    <row r="198" spans="1:10" x14ac:dyDescent="0.3">
      <c r="A198" s="31" t="s">
        <v>113</v>
      </c>
      <c r="C198" s="50"/>
      <c r="D198" s="51"/>
      <c r="E198" s="51"/>
      <c r="F198" s="51"/>
      <c r="G198" s="51">
        <f t="shared" si="40"/>
        <v>2.9174425822470516E-2</v>
      </c>
      <c r="H198" s="51">
        <f t="shared" si="40"/>
        <v>-9.6501809408926411E-3</v>
      </c>
      <c r="I198" s="51">
        <f t="shared" si="40"/>
        <v>0.20950060901339829</v>
      </c>
      <c r="J198" s="30">
        <v>0.06</v>
      </c>
    </row>
    <row r="199" spans="1:10" x14ac:dyDescent="0.3">
      <c r="A199" s="31" t="s">
        <v>114</v>
      </c>
      <c r="C199" s="50"/>
      <c r="D199" s="51"/>
      <c r="E199" s="51"/>
      <c r="F199" s="51"/>
      <c r="G199" s="51">
        <f t="shared" si="40"/>
        <v>-0.18055555555555555</v>
      </c>
      <c r="H199" s="51">
        <f t="shared" si="40"/>
        <v>-0.24576271186440679</v>
      </c>
      <c r="I199" s="51">
        <f t="shared" si="40"/>
        <v>0.16853932584269662</v>
      </c>
      <c r="J199" s="30">
        <v>-0.03</v>
      </c>
    </row>
    <row r="200" spans="1:10" x14ac:dyDescent="0.3">
      <c r="A200" s="31" t="s">
        <v>115</v>
      </c>
      <c r="C200" s="50"/>
      <c r="D200" s="51"/>
      <c r="E200" s="51"/>
      <c r="F200" s="51"/>
      <c r="G200" s="51">
        <f t="shared" si="40"/>
        <v>-0.14285714285714285</v>
      </c>
      <c r="H200" s="51">
        <f t="shared" si="40"/>
        <v>4.1666666666666664E-2</v>
      </c>
      <c r="I200" s="51">
        <f t="shared" si="40"/>
        <v>0.16</v>
      </c>
      <c r="J200" s="30">
        <v>-0.16</v>
      </c>
    </row>
    <row r="201" spans="1:10" x14ac:dyDescent="0.3">
      <c r="A201" s="31" t="s">
        <v>121</v>
      </c>
      <c r="C201" s="50"/>
      <c r="D201" s="51"/>
      <c r="E201" s="51"/>
      <c r="F201" s="51"/>
      <c r="G201" s="51">
        <f t="shared" si="40"/>
        <v>2.9126213592233011E-2</v>
      </c>
      <c r="H201" s="51">
        <f t="shared" si="40"/>
        <v>-0.15094339622641509</v>
      </c>
      <c r="I201" s="51">
        <f t="shared" si="40"/>
        <v>-4.4444444444444446E-2</v>
      </c>
      <c r="J201" s="30">
        <v>0.42</v>
      </c>
    </row>
    <row r="202" spans="1:10" x14ac:dyDescent="0.3">
      <c r="A202" s="29" t="s">
        <v>108</v>
      </c>
      <c r="C202" s="50">
        <f t="shared" si="40"/>
        <v>-28.333333333333332</v>
      </c>
      <c r="D202" s="51">
        <f t="shared" si="40"/>
        <v>4.878048780487805E-2</v>
      </c>
      <c r="E202" s="51">
        <f t="shared" si="40"/>
        <v>-1.8720930232558139</v>
      </c>
      <c r="F202" s="51">
        <f t="shared" si="40"/>
        <v>-0.65333333333333332</v>
      </c>
      <c r="G202" s="51">
        <f t="shared" si="40"/>
        <v>-1.2692307692307692</v>
      </c>
      <c r="H202" s="51">
        <f t="shared" si="40"/>
        <v>0.5714285714285714</v>
      </c>
      <c r="I202" s="51">
        <f t="shared" si="40"/>
        <v>-4.6363636363636367</v>
      </c>
      <c r="J202" s="30">
        <v>0</v>
      </c>
    </row>
    <row r="203" spans="1:10" ht="15" thickBot="1" x14ac:dyDescent="0.35">
      <c r="A203" s="32" t="s">
        <v>105</v>
      </c>
      <c r="C203" s="50">
        <f t="shared" si="40"/>
        <v>0.10079499262563402</v>
      </c>
      <c r="D203" s="51">
        <f t="shared" si="40"/>
        <v>5.8004640371229696E-2</v>
      </c>
      <c r="E203" s="51">
        <f t="shared" si="40"/>
        <v>6.0971089696071165E-2</v>
      </c>
      <c r="F203" s="51">
        <f t="shared" si="40"/>
        <v>5.9592430858806403E-2</v>
      </c>
      <c r="G203" s="51">
        <f t="shared" si="40"/>
        <v>7.4731433909388134E-2</v>
      </c>
      <c r="H203" s="51">
        <f t="shared" si="40"/>
        <v>-4.3817266150267146E-2</v>
      </c>
      <c r="I203" s="51">
        <f t="shared" si="40"/>
        <v>0.1907600994572628</v>
      </c>
      <c r="J203" s="36">
        <v>0.06</v>
      </c>
    </row>
    <row r="204" spans="1:10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00"/>
  <sheetViews>
    <sheetView zoomScale="91" workbookViewId="0">
      <selection activeCell="H56" sqref="H56"/>
    </sheetView>
  </sheetViews>
  <sheetFormatPr defaultRowHeight="14.4" x14ac:dyDescent="0.3"/>
  <cols>
    <col min="1" max="1" width="48.77734375" customWidth="1"/>
    <col min="2" max="14" width="11.77734375" customWidth="1"/>
    <col min="15" max="15" width="11.5546875" bestFit="1" customWidth="1"/>
    <col min="16" max="16" width="10.77734375" bestFit="1" customWidth="1"/>
  </cols>
  <sheetData>
    <row r="1" spans="1:15" ht="60" customHeight="1" x14ac:dyDescent="0.3">
      <c r="A1" s="15" t="s">
        <v>116</v>
      </c>
      <c r="B1" s="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  <c r="K1" s="39">
        <f>+J1+1</f>
        <v>2023</v>
      </c>
      <c r="L1" s="39">
        <f t="shared" ref="L1:O1" si="1">+K1+1</f>
        <v>2024</v>
      </c>
      <c r="M1" s="39">
        <f t="shared" si="1"/>
        <v>2025</v>
      </c>
      <c r="N1" s="39">
        <f t="shared" si="1"/>
        <v>2026</v>
      </c>
      <c r="O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40"/>
      <c r="K2" s="39"/>
      <c r="L2" s="39"/>
      <c r="M2" s="39"/>
      <c r="N2" s="39"/>
      <c r="O2" s="39"/>
    </row>
    <row r="3" spans="1:15" x14ac:dyDescent="0.3">
      <c r="A3" s="41" t="s">
        <v>139</v>
      </c>
      <c r="B3" s="9">
        <f>B21+B52+B83+B114+B145+B164+B183</f>
        <v>27799</v>
      </c>
      <c r="C3" s="9">
        <f>C21+C52+C83+C114+C145+C164+C183</f>
        <v>30601</v>
      </c>
      <c r="D3" s="9">
        <f t="shared" ref="D3:I3" si="2">D21+D52+D83+D114+D145+D164+D183</f>
        <v>32376</v>
      </c>
      <c r="E3" s="9">
        <f t="shared" si="2"/>
        <v>34350</v>
      </c>
      <c r="F3" s="9">
        <f t="shared" si="2"/>
        <v>36397</v>
      </c>
      <c r="G3" s="9">
        <f t="shared" si="2"/>
        <v>39117</v>
      </c>
      <c r="H3" s="9">
        <f t="shared" si="2"/>
        <v>37403</v>
      </c>
      <c r="I3" s="9">
        <f t="shared" si="2"/>
        <v>44538</v>
      </c>
      <c r="J3" s="9">
        <f>J21+J52+J83+J114+J145+J164+J183</f>
        <v>46710</v>
      </c>
      <c r="K3" s="9">
        <f>(J3*K4)+J3</f>
        <v>48987.922672773813</v>
      </c>
      <c r="L3" s="9">
        <f t="shared" ref="L3:N3" si="3">(K3*L4)+K3</f>
        <v>51376.933585820312</v>
      </c>
      <c r="M3" s="9">
        <f t="shared" si="3"/>
        <v>53882.450217649355</v>
      </c>
      <c r="N3" s="9">
        <f t="shared" si="3"/>
        <v>56510.154242812911</v>
      </c>
      <c r="O3" s="9">
        <f>(N3*O4)+N3</f>
        <v>59266.004416044525</v>
      </c>
    </row>
    <row r="4" spans="1:15" x14ac:dyDescent="0.3">
      <c r="A4" s="42" t="s">
        <v>129</v>
      </c>
      <c r="C4" s="46">
        <f>+IFERROR(C3/B3-1,"nm")</f>
        <v>0.10079499262563396</v>
      </c>
      <c r="D4" s="46">
        <f t="shared" ref="D4:J4" si="4">+IFERROR(D3/C3-1,"nm")</f>
        <v>5.8004640371229765E-2</v>
      </c>
      <c r="E4" s="46">
        <f t="shared" si="4"/>
        <v>6.0971089696071123E-2</v>
      </c>
      <c r="F4" s="46">
        <f t="shared" si="4"/>
        <v>5.95924308588065E-2</v>
      </c>
      <c r="G4" s="46">
        <f t="shared" si="4"/>
        <v>7.4731433909388079E-2</v>
      </c>
      <c r="H4" s="46">
        <f t="shared" si="4"/>
        <v>-4.3817266150267153E-2</v>
      </c>
      <c r="I4" s="46">
        <f t="shared" si="4"/>
        <v>0.19076009945726269</v>
      </c>
      <c r="J4" s="46">
        <f t="shared" si="4"/>
        <v>4.8767344739323759E-2</v>
      </c>
      <c r="K4" s="46">
        <f>+J4</f>
        <v>4.8767344739323759E-2</v>
      </c>
      <c r="L4" s="46">
        <f t="shared" ref="L4:O4" si="5">+K4</f>
        <v>4.8767344739323759E-2</v>
      </c>
      <c r="M4" s="46">
        <f t="shared" si="5"/>
        <v>4.8767344739323759E-2</v>
      </c>
      <c r="N4" s="46">
        <f t="shared" si="5"/>
        <v>4.8767344739323759E-2</v>
      </c>
      <c r="O4" s="46">
        <f t="shared" si="5"/>
        <v>4.8767344739323759E-2</v>
      </c>
    </row>
    <row r="5" spans="1:15" x14ac:dyDescent="0.3">
      <c r="A5" s="41" t="s">
        <v>130</v>
      </c>
      <c r="B5" s="47">
        <f>B35+B66+B97+B128+B147+B166+B185</f>
        <v>4095</v>
      </c>
      <c r="C5" s="47">
        <f>C35+C66+C97+C128+C147+C166+C185</f>
        <v>4839</v>
      </c>
      <c r="D5" s="47">
        <f t="shared" ref="D5:J5" si="6">D35+D66+D97+D128+D147+D166+D185</f>
        <v>5291</v>
      </c>
      <c r="E5" s="47">
        <f t="shared" si="6"/>
        <v>5651</v>
      </c>
      <c r="F5" s="47">
        <f t="shared" si="6"/>
        <v>5126</v>
      </c>
      <c r="G5" s="47">
        <f t="shared" si="6"/>
        <v>5555</v>
      </c>
      <c r="H5" s="47">
        <f t="shared" si="6"/>
        <v>3697</v>
      </c>
      <c r="I5" s="47">
        <f t="shared" si="6"/>
        <v>7667</v>
      </c>
      <c r="J5" s="47">
        <f t="shared" si="6"/>
        <v>7573</v>
      </c>
      <c r="K5" s="47">
        <f>(J5*K6)+J5</f>
        <v>7480.152471631669</v>
      </c>
      <c r="L5" s="47">
        <f t="shared" ref="L5:O5" si="7">(K5*L6)+K5</f>
        <v>7388.4432852049868</v>
      </c>
      <c r="M5" s="47">
        <f t="shared" si="7"/>
        <v>7297.8584842646887</v>
      </c>
      <c r="N5" s="47">
        <f t="shared" si="7"/>
        <v>7208.3842834663483</v>
      </c>
      <c r="O5" s="47">
        <f t="shared" si="7"/>
        <v>7120.0070664784998</v>
      </c>
    </row>
    <row r="6" spans="1:15" x14ac:dyDescent="0.3">
      <c r="A6" s="42" t="s">
        <v>129</v>
      </c>
      <c r="C6" s="46">
        <f>+IFERROR(C5/B5-1,"nm")</f>
        <v>0.18168498168498171</v>
      </c>
      <c r="D6" s="46">
        <f t="shared" ref="D6:J6" si="8">+IFERROR(D5/C5-1,"nm")</f>
        <v>9.3407728869601137E-2</v>
      </c>
      <c r="E6" s="46">
        <f t="shared" si="8"/>
        <v>6.8040068040068125E-2</v>
      </c>
      <c r="F6" s="46">
        <f t="shared" si="8"/>
        <v>-9.2903910812245583E-2</v>
      </c>
      <c r="G6" s="46">
        <f t="shared" si="8"/>
        <v>8.3690987124463545E-2</v>
      </c>
      <c r="H6" s="46">
        <f t="shared" si="8"/>
        <v>-0.3344734473447345</v>
      </c>
      <c r="I6" s="46">
        <f t="shared" si="8"/>
        <v>1.0738436570192049</v>
      </c>
      <c r="J6" s="46">
        <f t="shared" si="8"/>
        <v>-1.2260336507108338E-2</v>
      </c>
      <c r="K6" s="46">
        <f>+J6</f>
        <v>-1.2260336507108338E-2</v>
      </c>
      <c r="L6" s="46">
        <f t="shared" ref="L6:O6" si="9">+K6</f>
        <v>-1.2260336507108338E-2</v>
      </c>
      <c r="M6" s="46">
        <f t="shared" si="9"/>
        <v>-1.2260336507108338E-2</v>
      </c>
      <c r="N6" s="46">
        <f t="shared" si="9"/>
        <v>-1.2260336507108338E-2</v>
      </c>
      <c r="O6" s="46">
        <f t="shared" si="9"/>
        <v>-1.2260336507108338E-2</v>
      </c>
    </row>
    <row r="7" spans="1:15" x14ac:dyDescent="0.3">
      <c r="A7" s="42" t="s">
        <v>131</v>
      </c>
      <c r="C7" s="46">
        <f t="shared" ref="C7:O7" si="10">+IFERROR(C5/C$3,"nm")</f>
        <v>0.15813208718669325</v>
      </c>
      <c r="D7" s="46">
        <f t="shared" si="10"/>
        <v>0.16342352359772672</v>
      </c>
      <c r="E7" s="46">
        <f t="shared" si="10"/>
        <v>0.16451237263464338</v>
      </c>
      <c r="F7" s="46">
        <f t="shared" si="10"/>
        <v>0.14083578316894249</v>
      </c>
      <c r="G7" s="46">
        <f t="shared" si="10"/>
        <v>0.14200986783240024</v>
      </c>
      <c r="H7" s="46">
        <f t="shared" si="10"/>
        <v>9.8842338849824879E-2</v>
      </c>
      <c r="I7" s="46">
        <f t="shared" si="10"/>
        <v>0.17214513449189456</v>
      </c>
      <c r="J7" s="46">
        <f t="shared" si="10"/>
        <v>0.16212802397773496</v>
      </c>
      <c r="K7" s="46">
        <f t="shared" si="10"/>
        <v>0.15269380825958026</v>
      </c>
      <c r="L7" s="46">
        <f t="shared" si="10"/>
        <v>0.14380856873957434</v>
      </c>
      <c r="M7" s="46">
        <f t="shared" si="10"/>
        <v>0.13544036054014214</v>
      </c>
      <c r="N7" s="46">
        <f t="shared" si="10"/>
        <v>0.12755909765337664</v>
      </c>
      <c r="O7" s="46">
        <f t="shared" si="10"/>
        <v>0.12013644477357356</v>
      </c>
    </row>
    <row r="8" spans="1:15" x14ac:dyDescent="0.3">
      <c r="A8" s="41" t="s">
        <v>132</v>
      </c>
      <c r="B8" s="1">
        <f>B38+B69+B100+B131+B150+B169+B188</f>
        <v>518</v>
      </c>
      <c r="C8" s="1">
        <f>C38+'Segmental forecast'!C69+C100+C131+C150+C169+C188</f>
        <v>606</v>
      </c>
      <c r="D8" s="1">
        <f t="shared" ref="D8:J8" si="11">D38+D69+D100+D131+D150+D169+D188</f>
        <v>649</v>
      </c>
      <c r="E8" s="1">
        <f t="shared" si="11"/>
        <v>706</v>
      </c>
      <c r="F8" s="1">
        <f t="shared" si="11"/>
        <v>747</v>
      </c>
      <c r="G8" s="1">
        <f t="shared" si="11"/>
        <v>705</v>
      </c>
      <c r="H8" s="1">
        <f t="shared" si="11"/>
        <v>721</v>
      </c>
      <c r="I8" s="1">
        <f t="shared" si="11"/>
        <v>744</v>
      </c>
      <c r="J8" s="1">
        <f t="shared" si="11"/>
        <v>717</v>
      </c>
      <c r="K8" s="73">
        <f>(J8*K9)+J8</f>
        <v>690.97983870967744</v>
      </c>
      <c r="L8" s="73">
        <f t="shared" ref="L8:O8" si="12">(K8*L9)+K8</f>
        <v>665.90395746618105</v>
      </c>
      <c r="M8" s="73">
        <f t="shared" si="12"/>
        <v>641.73808804200519</v>
      </c>
      <c r="N8" s="73">
        <f t="shared" si="12"/>
        <v>618.44920581467443</v>
      </c>
      <c r="O8" s="73">
        <f t="shared" si="12"/>
        <v>596.0054846359161</v>
      </c>
    </row>
    <row r="9" spans="1:15" x14ac:dyDescent="0.3">
      <c r="A9" s="42" t="s">
        <v>129</v>
      </c>
      <c r="C9" s="46">
        <f>+IFERROR(C8/B8-1,"nm")</f>
        <v>0.16988416988416999</v>
      </c>
      <c r="D9" s="46">
        <f t="shared" ref="D9:J9" si="13">+IFERROR(D8/C8-1,"nm")</f>
        <v>7.0957095709570872E-2</v>
      </c>
      <c r="E9" s="46">
        <f t="shared" si="13"/>
        <v>8.7827426810477727E-2</v>
      </c>
      <c r="F9" s="46">
        <f t="shared" si="13"/>
        <v>5.8073654390934815E-2</v>
      </c>
      <c r="G9" s="46">
        <f t="shared" si="13"/>
        <v>-5.6224899598393607E-2</v>
      </c>
      <c r="H9" s="46">
        <f t="shared" si="13"/>
        <v>2.2695035460992941E-2</v>
      </c>
      <c r="I9" s="46">
        <f t="shared" si="13"/>
        <v>3.1900138696255187E-2</v>
      </c>
      <c r="J9" s="46">
        <f t="shared" si="13"/>
        <v>-3.6290322580645129E-2</v>
      </c>
      <c r="K9" s="46">
        <f>+J9</f>
        <v>-3.6290322580645129E-2</v>
      </c>
      <c r="L9" s="46">
        <f t="shared" ref="L9:O9" si="14">+K9</f>
        <v>-3.6290322580645129E-2</v>
      </c>
      <c r="M9" s="46">
        <f t="shared" si="14"/>
        <v>-3.6290322580645129E-2</v>
      </c>
      <c r="N9" s="46">
        <f t="shared" si="14"/>
        <v>-3.6290322580645129E-2</v>
      </c>
      <c r="O9" s="46">
        <f t="shared" si="14"/>
        <v>-3.6290322580645129E-2</v>
      </c>
    </row>
    <row r="10" spans="1:15" x14ac:dyDescent="0.3">
      <c r="A10" s="42" t="s">
        <v>133</v>
      </c>
      <c r="C10" s="46">
        <f t="shared" ref="C10:O10" si="15">+IFERROR(C8/C$3,"nm")</f>
        <v>1.9803274402797295E-2</v>
      </c>
      <c r="D10" s="46">
        <f t="shared" si="15"/>
        <v>2.0045712873733631E-2</v>
      </c>
      <c r="E10" s="46">
        <f t="shared" si="15"/>
        <v>2.0553129548762736E-2</v>
      </c>
      <c r="F10" s="46">
        <f t="shared" si="15"/>
        <v>2.0523669533203285E-2</v>
      </c>
      <c r="G10" s="46">
        <f t="shared" si="15"/>
        <v>1.8022854513382928E-2</v>
      </c>
      <c r="H10" s="46">
        <f t="shared" si="15"/>
        <v>1.9276528620698875E-2</v>
      </c>
      <c r="I10" s="46">
        <f t="shared" si="15"/>
        <v>1.6704836319547355E-2</v>
      </c>
      <c r="J10" s="46">
        <f t="shared" si="15"/>
        <v>1.5350032113037893E-2</v>
      </c>
      <c r="K10" s="46">
        <f t="shared" si="15"/>
        <v>1.410510593244048E-2</v>
      </c>
      <c r="L10" s="46">
        <f t="shared" si="15"/>
        <v>1.2961146393718719E-2</v>
      </c>
      <c r="M10" s="46">
        <f t="shared" si="15"/>
        <v>1.1909964848476805E-2</v>
      </c>
      <c r="N10" s="46">
        <f t="shared" si="15"/>
        <v>1.0944036768282759E-2</v>
      </c>
      <c r="O10" s="46">
        <f t="shared" si="15"/>
        <v>1.0056447882870356E-2</v>
      </c>
    </row>
    <row r="11" spans="1:15" x14ac:dyDescent="0.3">
      <c r="A11" s="41" t="s">
        <v>134</v>
      </c>
      <c r="B11" s="47">
        <f>B42+B73+B104+B135+B154+B173+B192</f>
        <v>3577</v>
      </c>
      <c r="C11" s="47">
        <f>C42+C73+C104+C135+C154+C173+C192</f>
        <v>4233</v>
      </c>
      <c r="D11" s="47">
        <f t="shared" ref="D11:J11" si="16">D42+D73+D104+D135+D154+D173+D192</f>
        <v>4642</v>
      </c>
      <c r="E11" s="47">
        <f t="shared" si="16"/>
        <v>4945</v>
      </c>
      <c r="F11" s="47">
        <f t="shared" si="16"/>
        <v>4379</v>
      </c>
      <c r="G11" s="47">
        <f t="shared" si="16"/>
        <v>4850</v>
      </c>
      <c r="H11" s="47">
        <f t="shared" si="16"/>
        <v>2976</v>
      </c>
      <c r="I11" s="47">
        <f t="shared" si="16"/>
        <v>6923</v>
      </c>
      <c r="J11" s="47">
        <f t="shared" si="16"/>
        <v>6856</v>
      </c>
      <c r="K11" s="47">
        <f>(J11*K12)+J11</f>
        <v>6789.648418315759</v>
      </c>
      <c r="L11" s="47">
        <f t="shared" ref="L11:O11" si="17">(K11*L12)+K11</f>
        <v>6723.9389796291844</v>
      </c>
      <c r="M11" s="47">
        <f t="shared" si="17"/>
        <v>6658.865469353992</v>
      </c>
      <c r="N11" s="47">
        <f t="shared" si="17"/>
        <v>6594.4217330479514</v>
      </c>
      <c r="O11" s="47">
        <f t="shared" si="17"/>
        <v>6530.6016758308178</v>
      </c>
    </row>
    <row r="12" spans="1:15" x14ac:dyDescent="0.3">
      <c r="A12" s="42" t="s">
        <v>129</v>
      </c>
      <c r="C12" s="46">
        <f>+IFERROR(C11/B11-1,"nm")</f>
        <v>0.18339390550740853</v>
      </c>
      <c r="D12" s="46">
        <f t="shared" ref="D12:J12" si="18">+IFERROR(D11/C11-1,"nm")</f>
        <v>9.6621781242617555E-2</v>
      </c>
      <c r="E12" s="46">
        <f t="shared" si="18"/>
        <v>6.5273588970271357E-2</v>
      </c>
      <c r="F12" s="46">
        <f t="shared" si="18"/>
        <v>-0.11445904954499497</v>
      </c>
      <c r="G12" s="46">
        <f t="shared" si="18"/>
        <v>0.10755880337976698</v>
      </c>
      <c r="H12" s="46">
        <f t="shared" si="18"/>
        <v>-0.38639175257731961</v>
      </c>
      <c r="I12" s="46">
        <f t="shared" si="18"/>
        <v>1.32627688172043</v>
      </c>
      <c r="J12" s="46">
        <f t="shared" si="18"/>
        <v>-9.67788530983682E-3</v>
      </c>
      <c r="K12" s="46">
        <f>+J12</f>
        <v>-9.67788530983682E-3</v>
      </c>
      <c r="L12" s="46">
        <f t="shared" ref="L12:O12" si="19">+K12</f>
        <v>-9.67788530983682E-3</v>
      </c>
      <c r="M12" s="46">
        <f t="shared" si="19"/>
        <v>-9.67788530983682E-3</v>
      </c>
      <c r="N12" s="46">
        <f t="shared" si="19"/>
        <v>-9.67788530983682E-3</v>
      </c>
      <c r="O12" s="46">
        <f t="shared" si="19"/>
        <v>-9.67788530983682E-3</v>
      </c>
    </row>
    <row r="13" spans="1:15" x14ac:dyDescent="0.3">
      <c r="A13" s="42" t="s">
        <v>131</v>
      </c>
      <c r="C13" s="46">
        <f t="shared" ref="C13:O13" si="20">+IFERROR(C11/C$3,"nm")</f>
        <v>0.13832881278389594</v>
      </c>
      <c r="D13" s="46">
        <f t="shared" si="20"/>
        <v>0.14337781072399308</v>
      </c>
      <c r="E13" s="46">
        <f t="shared" si="20"/>
        <v>0.14395924308588065</v>
      </c>
      <c r="F13" s="46">
        <f t="shared" si="20"/>
        <v>0.12031211363573921</v>
      </c>
      <c r="G13" s="46">
        <f t="shared" si="20"/>
        <v>0.12398701331901731</v>
      </c>
      <c r="H13" s="46">
        <f t="shared" si="20"/>
        <v>7.9565810229126011E-2</v>
      </c>
      <c r="I13" s="46">
        <f t="shared" si="20"/>
        <v>0.1554402981723472</v>
      </c>
      <c r="J13" s="46">
        <f t="shared" si="20"/>
        <v>0.14677799186469706</v>
      </c>
      <c r="K13" s="46">
        <f t="shared" si="20"/>
        <v>0.1385984146269845</v>
      </c>
      <c r="L13" s="46">
        <f t="shared" si="20"/>
        <v>0.13087466515294222</v>
      </c>
      <c r="M13" s="46">
        <f t="shared" si="20"/>
        <v>0.12358134128007529</v>
      </c>
      <c r="N13" s="46">
        <f t="shared" si="20"/>
        <v>0.11669445644605801</v>
      </c>
      <c r="O13" s="46">
        <f t="shared" si="20"/>
        <v>0.11019136080081096</v>
      </c>
    </row>
    <row r="14" spans="1:15" x14ac:dyDescent="0.3">
      <c r="A14" s="41" t="s">
        <v>135</v>
      </c>
      <c r="B14" s="1">
        <f>B45+B76+B107+B138+B157+B176+B195</f>
        <v>0</v>
      </c>
      <c r="C14" s="1">
        <f>C45+C76+C107+C138+C157+C176+C195</f>
        <v>783</v>
      </c>
      <c r="D14" s="1">
        <f t="shared" ref="D14:J14" si="21">D45+D76+D107+D138+D157+D176+D195</f>
        <v>1158</v>
      </c>
      <c r="E14" s="1">
        <f t="shared" si="21"/>
        <v>1175</v>
      </c>
      <c r="F14" s="1">
        <f t="shared" si="21"/>
        <v>1212</v>
      </c>
      <c r="G14" s="1">
        <f t="shared" si="21"/>
        <v>995</v>
      </c>
      <c r="H14" s="1">
        <f t="shared" si="21"/>
        <v>843</v>
      </c>
      <c r="I14" s="1">
        <f t="shared" si="21"/>
        <v>782</v>
      </c>
      <c r="J14" s="1">
        <f t="shared" si="21"/>
        <v>604</v>
      </c>
      <c r="K14" s="73">
        <f>(J14*K15)+J14</f>
        <v>466.5166240409207</v>
      </c>
      <c r="L14" s="73">
        <f t="shared" ref="L14:O14" si="22">(K14*L15)+K14</f>
        <v>360.32741805718172</v>
      </c>
      <c r="M14" s="73">
        <f t="shared" si="22"/>
        <v>278.30915665797664</v>
      </c>
      <c r="N14" s="73">
        <f t="shared" si="22"/>
        <v>214.96001358237581</v>
      </c>
      <c r="O14" s="73">
        <f t="shared" si="22"/>
        <v>166.03049642423912</v>
      </c>
    </row>
    <row r="15" spans="1:15" x14ac:dyDescent="0.3">
      <c r="A15" s="42" t="s">
        <v>129</v>
      </c>
      <c r="C15" s="46" t="str">
        <f>+IFERROR(C14/B14-1,"nm")</f>
        <v>nm</v>
      </c>
      <c r="D15" s="46">
        <f t="shared" ref="D15:J15" si="23">+IFERROR(D14/C14-1,"nm")</f>
        <v>0.47892720306513414</v>
      </c>
      <c r="E15" s="46">
        <f t="shared" si="23"/>
        <v>1.4680483592400595E-2</v>
      </c>
      <c r="F15" s="46">
        <f t="shared" si="23"/>
        <v>3.1489361702127683E-2</v>
      </c>
      <c r="G15" s="46">
        <f t="shared" si="23"/>
        <v>-0.17904290429042902</v>
      </c>
      <c r="H15" s="46">
        <f t="shared" si="23"/>
        <v>-0.15276381909547743</v>
      </c>
      <c r="I15" s="46">
        <f t="shared" si="23"/>
        <v>-7.2360616844602599E-2</v>
      </c>
      <c r="J15" s="46">
        <f t="shared" si="23"/>
        <v>-0.22762148337595911</v>
      </c>
      <c r="K15" s="46">
        <f>+J15</f>
        <v>-0.22762148337595911</v>
      </c>
      <c r="L15" s="46">
        <f t="shared" ref="L15:O15" si="24">+K15</f>
        <v>-0.22762148337595911</v>
      </c>
      <c r="M15" s="46">
        <f t="shared" si="24"/>
        <v>-0.22762148337595911</v>
      </c>
      <c r="N15" s="46">
        <f t="shared" si="24"/>
        <v>-0.22762148337595911</v>
      </c>
      <c r="O15" s="46">
        <f t="shared" si="24"/>
        <v>-0.22762148337595911</v>
      </c>
    </row>
    <row r="16" spans="1:15" x14ac:dyDescent="0.3">
      <c r="A16" s="42" t="s">
        <v>133</v>
      </c>
      <c r="C16" s="46">
        <f t="shared" ref="C16:O16" si="25">+IFERROR(C14/C$3,"nm")</f>
        <v>2.5587399104604426E-2</v>
      </c>
      <c r="D16" s="46">
        <f t="shared" si="25"/>
        <v>3.5767234988880653E-2</v>
      </c>
      <c r="E16" s="46">
        <f t="shared" si="25"/>
        <v>3.4206695778748179E-2</v>
      </c>
      <c r="F16" s="46">
        <f t="shared" si="25"/>
        <v>3.329944775668324E-2</v>
      </c>
      <c r="G16" s="46">
        <f t="shared" si="25"/>
        <v>2.543651097988087E-2</v>
      </c>
      <c r="H16" s="46">
        <f t="shared" si="25"/>
        <v>2.2538299066919766E-2</v>
      </c>
      <c r="I16" s="46">
        <f t="shared" si="25"/>
        <v>1.7558040325115633E-2</v>
      </c>
      <c r="J16" s="46">
        <f t="shared" si="25"/>
        <v>1.2930849925069578E-2</v>
      </c>
      <c r="K16" s="46">
        <f t="shared" si="25"/>
        <v>9.5230946443091019E-3</v>
      </c>
      <c r="L16" s="46">
        <f t="shared" si="25"/>
        <v>7.0134084093455831E-3</v>
      </c>
      <c r="M16" s="46">
        <f t="shared" si="25"/>
        <v>5.1651169450125647E-3</v>
      </c>
      <c r="N16" s="46">
        <f t="shared" si="25"/>
        <v>3.8039183658698811E-3</v>
      </c>
      <c r="O16" s="46">
        <f t="shared" si="25"/>
        <v>2.8014457539386819E-3</v>
      </c>
    </row>
    <row r="17" spans="1:16" x14ac:dyDescent="0.3">
      <c r="A17" s="9" t="s">
        <v>143</v>
      </c>
      <c r="B17" s="1">
        <f>B48+B79+B110+B141+B160+B179+B198</f>
        <v>2834</v>
      </c>
      <c r="C17" s="1">
        <f>C48+C79+C110+C141+C160+C179+C198</f>
        <v>3011</v>
      </c>
      <c r="D17" s="1">
        <f t="shared" ref="D17:J17" si="26">D48+D79+D110+D141+D160+D179+D198</f>
        <v>3520</v>
      </c>
      <c r="E17" s="1">
        <f t="shared" si="26"/>
        <v>3989</v>
      </c>
      <c r="F17" s="1">
        <f t="shared" si="26"/>
        <v>4454</v>
      </c>
      <c r="G17" s="1">
        <f t="shared" si="26"/>
        <v>4744</v>
      </c>
      <c r="H17" s="1">
        <f t="shared" si="26"/>
        <v>4866</v>
      </c>
      <c r="I17" s="1">
        <f t="shared" si="26"/>
        <v>4904</v>
      </c>
      <c r="J17" s="1">
        <f t="shared" si="26"/>
        <v>4791</v>
      </c>
      <c r="K17" s="73">
        <f>(J17*K18)+J17</f>
        <v>4680.6037928221858</v>
      </c>
      <c r="L17" s="73">
        <f t="shared" ref="L17:O17" si="27">(K17*L18)+K17</f>
        <v>4572.7513807934529</v>
      </c>
      <c r="M17" s="73">
        <f t="shared" si="27"/>
        <v>4467.3841487319396</v>
      </c>
      <c r="N17" s="73">
        <f t="shared" si="27"/>
        <v>4364.4448320910933</v>
      </c>
      <c r="O17" s="73">
        <f t="shared" si="27"/>
        <v>4263.877485837771</v>
      </c>
    </row>
    <row r="18" spans="1:16" x14ac:dyDescent="0.3">
      <c r="A18" s="42" t="s">
        <v>129</v>
      </c>
      <c r="C18" s="46">
        <f>+IFERROR(C17/B17-1,"nm")</f>
        <v>6.2455892731122065E-2</v>
      </c>
      <c r="D18" s="46">
        <f t="shared" ref="D18:J18" si="28">+IFERROR(D17/C17-1,"nm")</f>
        <v>0.16904682829624718</v>
      </c>
      <c r="E18" s="46">
        <f t="shared" si="28"/>
        <v>0.13323863636363642</v>
      </c>
      <c r="F18" s="46">
        <f t="shared" si="28"/>
        <v>0.11657056906492858</v>
      </c>
      <c r="G18" s="46">
        <f t="shared" si="28"/>
        <v>6.5110013471037176E-2</v>
      </c>
      <c r="H18" s="46">
        <f t="shared" si="28"/>
        <v>2.5716694772343951E-2</v>
      </c>
      <c r="I18" s="46">
        <f t="shared" si="28"/>
        <v>7.8092889436909285E-3</v>
      </c>
      <c r="J18" s="46">
        <f t="shared" si="28"/>
        <v>-2.3042414355628038E-2</v>
      </c>
      <c r="K18" s="46">
        <f>+J18</f>
        <v>-2.3042414355628038E-2</v>
      </c>
      <c r="L18" s="46">
        <f t="shared" ref="L18:O18" si="29">+K18</f>
        <v>-2.3042414355628038E-2</v>
      </c>
      <c r="M18" s="46">
        <f t="shared" si="29"/>
        <v>-2.3042414355628038E-2</v>
      </c>
      <c r="N18" s="46">
        <f t="shared" si="29"/>
        <v>-2.3042414355628038E-2</v>
      </c>
      <c r="O18" s="46">
        <f t="shared" si="29"/>
        <v>-2.3042414355628038E-2</v>
      </c>
    </row>
    <row r="19" spans="1:16" x14ac:dyDescent="0.3">
      <c r="A19" s="42" t="s">
        <v>133</v>
      </c>
      <c r="C19" s="46">
        <f t="shared" ref="C19:O19" si="30">+IFERROR(C17/C$3,"nm")</f>
        <v>9.8395477271984569E-2</v>
      </c>
      <c r="D19" s="46">
        <f t="shared" si="30"/>
        <v>0.10872251050160613</v>
      </c>
      <c r="E19" s="46">
        <f t="shared" si="30"/>
        <v>0.11612809315866085</v>
      </c>
      <c r="F19" s="46">
        <f t="shared" si="30"/>
        <v>0.12237272302662307</v>
      </c>
      <c r="G19" s="46">
        <f t="shared" si="30"/>
        <v>0.1212771940588491</v>
      </c>
      <c r="H19" s="46">
        <f t="shared" si="30"/>
        <v>0.13009651632222013</v>
      </c>
      <c r="I19" s="46">
        <f t="shared" si="30"/>
        <v>0.11010822219228523</v>
      </c>
      <c r="J19" s="46">
        <f t="shared" si="30"/>
        <v>0.10256904303147078</v>
      </c>
      <c r="K19" s="46">
        <f t="shared" si="30"/>
        <v>9.5546076205095781E-2</v>
      </c>
      <c r="L19" s="46">
        <f t="shared" si="30"/>
        <v>8.9003976330255363E-2</v>
      </c>
      <c r="M19" s="46">
        <f t="shared" si="30"/>
        <v>8.29098181446217E-2</v>
      </c>
      <c r="N19" s="46">
        <f t="shared" si="30"/>
        <v>7.7232930799267338E-2</v>
      </c>
      <c r="O19" s="46">
        <f t="shared" si="30"/>
        <v>7.1944743497563191E-2</v>
      </c>
    </row>
    <row r="20" spans="1:16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43"/>
      <c r="K20" s="39"/>
      <c r="L20" s="39"/>
      <c r="M20" s="39"/>
      <c r="N20" s="39"/>
      <c r="O20" s="39"/>
      <c r="P20" s="77"/>
    </row>
    <row r="21" spans="1:16" x14ac:dyDescent="0.3">
      <c r="A21" s="9" t="s">
        <v>136</v>
      </c>
      <c r="B21" s="1">
        <f>B23+B27+B31</f>
        <v>12299</v>
      </c>
      <c r="C21" s="9">
        <f>C23+C27+C31</f>
        <v>13740</v>
      </c>
      <c r="D21" s="9">
        <f>D23+D27+D31</f>
        <v>14764</v>
      </c>
      <c r="E21" s="9">
        <f t="shared" ref="E21:J21" si="31">E23+E27+E31</f>
        <v>15216</v>
      </c>
      <c r="F21" s="9">
        <f t="shared" si="31"/>
        <v>14855</v>
      </c>
      <c r="G21" s="9">
        <f t="shared" si="31"/>
        <v>15902</v>
      </c>
      <c r="H21" s="9">
        <f t="shared" si="31"/>
        <v>14484</v>
      </c>
      <c r="I21" s="9">
        <f t="shared" si="31"/>
        <v>17179</v>
      </c>
      <c r="J21" s="9">
        <f t="shared" si="31"/>
        <v>18353</v>
      </c>
      <c r="K21" s="9">
        <f>(J21*K22)+J21</f>
        <v>19607.230281157226</v>
      </c>
      <c r="L21" s="9">
        <f t="shared" ref="L21:O21" si="32">(K21*L22)+K21</f>
        <v>20947.173720826508</v>
      </c>
      <c r="M21" s="9">
        <f t="shared" si="32"/>
        <v>22378.687892096681</v>
      </c>
      <c r="N21" s="9">
        <f t="shared" si="32"/>
        <v>23908.030670216565</v>
      </c>
      <c r="O21" s="9">
        <f t="shared" si="32"/>
        <v>25541.887588944912</v>
      </c>
    </row>
    <row r="22" spans="1:16" x14ac:dyDescent="0.3">
      <c r="A22" s="44" t="s">
        <v>129</v>
      </c>
      <c r="C22" s="46">
        <f t="shared" ref="C22:J22" si="33">+IFERROR(C21/B21-1,"nm")</f>
        <v>0.11716399707293279</v>
      </c>
      <c r="D22" s="46">
        <f t="shared" si="33"/>
        <v>7.4526928675400228E-2</v>
      </c>
      <c r="E22" s="46">
        <f t="shared" si="33"/>
        <v>3.0615009482525046E-2</v>
      </c>
      <c r="F22" s="46">
        <f t="shared" si="33"/>
        <v>-2.372502628811779E-2</v>
      </c>
      <c r="G22" s="46">
        <f t="shared" si="33"/>
        <v>7.0481319421070276E-2</v>
      </c>
      <c r="H22" s="46">
        <f t="shared" si="33"/>
        <v>-8.9171173437303519E-2</v>
      </c>
      <c r="I22" s="46">
        <f t="shared" si="33"/>
        <v>0.18606738470035911</v>
      </c>
      <c r="J22" s="46">
        <f t="shared" si="33"/>
        <v>6.8339251411607238E-2</v>
      </c>
      <c r="K22" s="46">
        <f>+J22</f>
        <v>6.8339251411607238E-2</v>
      </c>
      <c r="L22" s="46">
        <f t="shared" ref="L22:O22" si="34">+K22</f>
        <v>6.8339251411607238E-2</v>
      </c>
      <c r="M22" s="46">
        <f t="shared" si="34"/>
        <v>6.8339251411607238E-2</v>
      </c>
      <c r="N22" s="46">
        <f t="shared" si="34"/>
        <v>6.8339251411607238E-2</v>
      </c>
      <c r="O22" s="46">
        <f t="shared" si="34"/>
        <v>6.8339251411607238E-2</v>
      </c>
      <c r="P22" s="46"/>
    </row>
    <row r="23" spans="1:16" s="1" customFormat="1" x14ac:dyDescent="0.3">
      <c r="A23" s="60" t="s">
        <v>113</v>
      </c>
      <c r="B23" s="1">
        <f>Historicals!B108</f>
        <v>7495</v>
      </c>
      <c r="C23" s="1">
        <f>Historicals!C108</f>
        <v>8506</v>
      </c>
      <c r="D23" s="1">
        <f>Historicals!D108</f>
        <v>9299</v>
      </c>
      <c r="E23" s="1">
        <f>Historicals!E108</f>
        <v>9684</v>
      </c>
      <c r="F23" s="1">
        <f>Historicals!F108</f>
        <v>9322</v>
      </c>
      <c r="G23" s="1">
        <f>Historicals!G108</f>
        <v>10045</v>
      </c>
      <c r="H23" s="1">
        <f>Historicals!H108</f>
        <v>9329</v>
      </c>
      <c r="I23" s="1">
        <f>Historicals!I108</f>
        <v>11644</v>
      </c>
      <c r="J23" s="1">
        <f>Historicals!J108</f>
        <v>12228</v>
      </c>
      <c r="K23" s="9">
        <f>(J23*K24)+J23</f>
        <v>12841.290278254895</v>
      </c>
      <c r="L23" s="9">
        <f t="shared" ref="L23:O23" si="35">(K23*L24)+K23</f>
        <v>13485.339876545935</v>
      </c>
      <c r="M23" s="9">
        <f t="shared" si="35"/>
        <v>14161.691515836799</v>
      </c>
      <c r="N23" s="9">
        <f t="shared" si="35"/>
        <v>14871.965291622499</v>
      </c>
      <c r="O23" s="9">
        <f t="shared" si="35"/>
        <v>15617.862554616962</v>
      </c>
    </row>
    <row r="24" spans="1:16" x14ac:dyDescent="0.3">
      <c r="A24" s="44" t="s">
        <v>129</v>
      </c>
      <c r="C24" s="46">
        <f>+IFERROR(C23/B23-1,"nm")</f>
        <v>0.13488992661774524</v>
      </c>
      <c r="D24" s="46">
        <f t="shared" ref="D24" si="36">+IFERROR(D23/C23-1,"nm")</f>
        <v>9.3228309428638578E-2</v>
      </c>
      <c r="E24" s="46">
        <f t="shared" ref="E24" si="37">+IFERROR(E23/D23-1,"nm")</f>
        <v>4.1402301322722934E-2</v>
      </c>
      <c r="F24" s="46">
        <f t="shared" ref="F24" si="38">+IFERROR(F23/E23-1,"nm")</f>
        <v>-3.7381247418422192E-2</v>
      </c>
      <c r="G24" s="46">
        <f t="shared" ref="G24" si="39">+IFERROR(G23/F23-1,"nm")</f>
        <v>7.755846384895948E-2</v>
      </c>
      <c r="H24" s="46">
        <f t="shared" ref="H24" si="40">+IFERROR(H23/G23-1,"nm")</f>
        <v>-7.1279243404678949E-2</v>
      </c>
      <c r="I24" s="46">
        <f t="shared" ref="I24" si="41">+IFERROR(I23/H23-1,"nm")</f>
        <v>0.24815092721620746</v>
      </c>
      <c r="J24" s="46">
        <f>+IFERROR(J23/I23-1,"nm")</f>
        <v>5.0154586052902683E-2</v>
      </c>
      <c r="K24" s="46">
        <f>K25+K26</f>
        <v>5.015458605290278E-2</v>
      </c>
      <c r="L24" s="46">
        <f t="shared" ref="L24:O24" si="42">+K24</f>
        <v>5.015458605290278E-2</v>
      </c>
      <c r="M24" s="46">
        <f t="shared" si="42"/>
        <v>5.015458605290278E-2</v>
      </c>
      <c r="N24" s="46">
        <f t="shared" si="42"/>
        <v>5.015458605290278E-2</v>
      </c>
      <c r="O24" s="46">
        <f t="shared" si="42"/>
        <v>5.015458605290278E-2</v>
      </c>
    </row>
    <row r="25" spans="1:16" x14ac:dyDescent="0.3">
      <c r="A25" s="44" t="s">
        <v>137</v>
      </c>
      <c r="C25" s="46">
        <f>(C23-B23)/B23</f>
        <v>0.13488992661774515</v>
      </c>
      <c r="D25" s="46">
        <f t="shared" ref="D25:J25" si="43">(D23-C23)/C23</f>
        <v>9.3228309428638606E-2</v>
      </c>
      <c r="E25" s="46">
        <f t="shared" si="43"/>
        <v>4.1402301322722872E-2</v>
      </c>
      <c r="F25" s="46">
        <f t="shared" si="43"/>
        <v>-3.7381247418422137E-2</v>
      </c>
      <c r="G25" s="46">
        <f t="shared" si="43"/>
        <v>7.7558463848959452E-2</v>
      </c>
      <c r="H25" s="46">
        <f t="shared" si="43"/>
        <v>-7.1279243404678949E-2</v>
      </c>
      <c r="I25" s="46">
        <f t="shared" si="43"/>
        <v>0.24815092721620752</v>
      </c>
      <c r="J25" s="46">
        <f t="shared" si="43"/>
        <v>5.015458605290278E-2</v>
      </c>
      <c r="K25" s="48">
        <f>J25</f>
        <v>5.015458605290278E-2</v>
      </c>
      <c r="L25" s="48">
        <f t="shared" ref="L25:O25" si="44">K25</f>
        <v>5.015458605290278E-2</v>
      </c>
      <c r="M25" s="48">
        <f t="shared" si="44"/>
        <v>5.015458605290278E-2</v>
      </c>
      <c r="N25" s="48">
        <f t="shared" si="44"/>
        <v>5.015458605290278E-2</v>
      </c>
      <c r="O25" s="48">
        <f t="shared" si="44"/>
        <v>5.015458605290278E-2</v>
      </c>
    </row>
    <row r="26" spans="1:16" x14ac:dyDescent="0.3">
      <c r="A26" s="44" t="s">
        <v>138</v>
      </c>
      <c r="C26" s="46">
        <f t="shared" ref="C26:I26" si="45">+IFERROR(C24-C25,"nm")</f>
        <v>8.3266726846886741E-17</v>
      </c>
      <c r="D26" s="46">
        <f t="shared" si="45"/>
        <v>-2.7755575615628914E-17</v>
      </c>
      <c r="E26" s="46">
        <f t="shared" si="45"/>
        <v>6.2450045135165055E-17</v>
      </c>
      <c r="F26" s="46">
        <f t="shared" si="45"/>
        <v>-5.5511151231257827E-17</v>
      </c>
      <c r="G26" s="46">
        <f t="shared" si="45"/>
        <v>2.7755575615628914E-17</v>
      </c>
      <c r="H26" s="46">
        <f t="shared" si="45"/>
        <v>0</v>
      </c>
      <c r="I26" s="46">
        <f t="shared" si="45"/>
        <v>-5.5511151231257827E-17</v>
      </c>
      <c r="J26" s="46">
        <f>+IFERROR(J24-J25,"nm")</f>
        <v>-9.7144514654701197E-17</v>
      </c>
      <c r="K26" s="48">
        <v>0</v>
      </c>
      <c r="L26" s="48">
        <f t="shared" ref="L26:O26" si="46">+K26</f>
        <v>0</v>
      </c>
      <c r="M26" s="48">
        <f t="shared" si="46"/>
        <v>0</v>
      </c>
      <c r="N26" s="48">
        <f t="shared" si="46"/>
        <v>0</v>
      </c>
      <c r="O26" s="48">
        <f t="shared" si="46"/>
        <v>0</v>
      </c>
    </row>
    <row r="27" spans="1:16" s="1" customFormat="1" x14ac:dyDescent="0.3">
      <c r="A27" s="60" t="s">
        <v>114</v>
      </c>
      <c r="B27" s="1">
        <f>Historicals!B109</f>
        <v>3937</v>
      </c>
      <c r="C27" s="1">
        <f>Historicals!C109</f>
        <v>4410</v>
      </c>
      <c r="D27" s="1">
        <f>Historicals!D109</f>
        <v>4746</v>
      </c>
      <c r="E27" s="1">
        <f>Historicals!E109</f>
        <v>4886</v>
      </c>
      <c r="F27" s="1">
        <f>Historicals!F109</f>
        <v>4938</v>
      </c>
      <c r="G27" s="1">
        <f>Historicals!G109</f>
        <v>5260</v>
      </c>
      <c r="H27" s="1">
        <f>Historicals!H109</f>
        <v>4639</v>
      </c>
      <c r="I27" s="1">
        <f>Historicals!I109</f>
        <v>5028</v>
      </c>
      <c r="J27" s="1">
        <f>Historicals!J109</f>
        <v>5492</v>
      </c>
      <c r="K27" s="9">
        <f>(J27*K28)+J27</f>
        <v>5998.8194112967385</v>
      </c>
      <c r="L27" s="9">
        <f t="shared" ref="L27:O27" si="47">(K27*L28)+K27</f>
        <v>6552.4097467863339</v>
      </c>
      <c r="M27" s="9">
        <f t="shared" si="47"/>
        <v>7157.0871776751283</v>
      </c>
      <c r="N27" s="9">
        <f t="shared" si="47"/>
        <v>7817.5661853205656</v>
      </c>
      <c r="O27" s="9">
        <f t="shared" si="47"/>
        <v>8538.9963185721062</v>
      </c>
    </row>
    <row r="28" spans="1:16" x14ac:dyDescent="0.3">
      <c r="A28" s="44" t="s">
        <v>129</v>
      </c>
      <c r="C28" s="46">
        <f>+IFERROR(C27/B27-1,"nm")</f>
        <v>0.12014224028448051</v>
      </c>
      <c r="D28" s="46">
        <f t="shared" ref="D28" si="48">+IFERROR(D27/C27-1,"nm")</f>
        <v>7.6190476190476142E-2</v>
      </c>
      <c r="E28" s="46">
        <f t="shared" ref="E28" si="49">+IFERROR(E27/D27-1,"nm")</f>
        <v>2.9498525073746285E-2</v>
      </c>
      <c r="F28" s="46">
        <f t="shared" ref="F28" si="50">+IFERROR(F27/E27-1,"nm")</f>
        <v>1.0642652476463343E-2</v>
      </c>
      <c r="G28" s="46">
        <f t="shared" ref="G28" si="51">+IFERROR(G27/F27-1,"nm")</f>
        <v>6.5208586472256025E-2</v>
      </c>
      <c r="H28" s="46">
        <f t="shared" ref="H28" si="52">+IFERROR(H27/G27-1,"nm")</f>
        <v>-0.11806083650190113</v>
      </c>
      <c r="I28" s="46">
        <f t="shared" ref="I28" si="53">+IFERROR(I27/H27-1,"nm")</f>
        <v>8.3854278939426541E-2</v>
      </c>
      <c r="J28" s="46">
        <f>+IFERROR(J27/I27-1,"nm")</f>
        <v>9.2283214001591007E-2</v>
      </c>
      <c r="K28" s="46">
        <f>K29+K30</f>
        <v>9.2283214001591091E-2</v>
      </c>
      <c r="L28" s="46">
        <f t="shared" ref="L28:O28" si="54">+K28</f>
        <v>9.2283214001591091E-2</v>
      </c>
      <c r="M28" s="46">
        <f t="shared" si="54"/>
        <v>9.2283214001591091E-2</v>
      </c>
      <c r="N28" s="46">
        <f t="shared" si="54"/>
        <v>9.2283214001591091E-2</v>
      </c>
      <c r="O28" s="46">
        <f t="shared" si="54"/>
        <v>9.2283214001591091E-2</v>
      </c>
    </row>
    <row r="29" spans="1:16" x14ac:dyDescent="0.3">
      <c r="A29" s="44" t="s">
        <v>137</v>
      </c>
      <c r="C29" s="46">
        <f>(C27-B27)/B27</f>
        <v>0.12014224028448058</v>
      </c>
      <c r="D29" s="46">
        <f t="shared" ref="D29:J29" si="55">(D27-C27)/C27</f>
        <v>7.6190476190476197E-2</v>
      </c>
      <c r="E29" s="46">
        <f t="shared" si="55"/>
        <v>2.9498525073746312E-2</v>
      </c>
      <c r="F29" s="46">
        <f t="shared" si="55"/>
        <v>1.0642652476463364E-2</v>
      </c>
      <c r="G29" s="46">
        <f t="shared" si="55"/>
        <v>6.5208586472255969E-2</v>
      </c>
      <c r="H29" s="46">
        <f t="shared" si="55"/>
        <v>-0.11806083650190113</v>
      </c>
      <c r="I29" s="46">
        <f t="shared" si="55"/>
        <v>8.3854278939426596E-2</v>
      </c>
      <c r="J29" s="46">
        <f t="shared" si="55"/>
        <v>9.2283214001591091E-2</v>
      </c>
      <c r="K29" s="48">
        <f>J29</f>
        <v>9.2283214001591091E-2</v>
      </c>
      <c r="L29" s="48">
        <f t="shared" ref="L29:O29" si="56">+K29</f>
        <v>9.2283214001591091E-2</v>
      </c>
      <c r="M29" s="48">
        <f t="shared" si="56"/>
        <v>9.2283214001591091E-2</v>
      </c>
      <c r="N29" s="48">
        <f t="shared" si="56"/>
        <v>9.2283214001591091E-2</v>
      </c>
      <c r="O29" s="48">
        <f t="shared" si="56"/>
        <v>9.2283214001591091E-2</v>
      </c>
    </row>
    <row r="30" spans="1:16" x14ac:dyDescent="0.3">
      <c r="A30" s="44" t="s">
        <v>138</v>
      </c>
      <c r="C30" s="46">
        <f>+IFERROR(C28-C29,"nm")</f>
        <v>-6.9388939039072284E-17</v>
      </c>
      <c r="D30" s="46">
        <f t="shared" ref="D30" si="57">+IFERROR(D28-D29,"nm")</f>
        <v>-5.5511151231257827E-17</v>
      </c>
      <c r="E30" s="46">
        <f t="shared" ref="E30" si="58">+IFERROR(E28-E29,"nm")</f>
        <v>-2.7755575615628914E-17</v>
      </c>
      <c r="F30" s="46">
        <f t="shared" ref="F30" si="59">+IFERROR(F28-F29,"nm")</f>
        <v>-2.0816681711721685E-17</v>
      </c>
      <c r="G30" s="46">
        <f t="shared" ref="G30" si="60">+IFERROR(G28-G29,"nm")</f>
        <v>5.5511151231257827E-17</v>
      </c>
      <c r="H30" s="46">
        <f t="shared" ref="H30" si="61">+IFERROR(H28-H29,"nm")</f>
        <v>0</v>
      </c>
      <c r="I30" s="46">
        <f t="shared" ref="I30" si="62">+IFERROR(I28-I29,"nm")</f>
        <v>-5.5511151231257827E-17</v>
      </c>
      <c r="J30" s="46">
        <f>+IFERROR(J28-J29,"nm")</f>
        <v>-8.3266726846886741E-17</v>
      </c>
      <c r="K30" s="48">
        <v>0</v>
      </c>
      <c r="L30" s="48">
        <f t="shared" ref="L30:O30" si="63">+K30</f>
        <v>0</v>
      </c>
      <c r="M30" s="48">
        <f t="shared" si="63"/>
        <v>0</v>
      </c>
      <c r="N30" s="48">
        <f t="shared" si="63"/>
        <v>0</v>
      </c>
      <c r="O30" s="48">
        <f t="shared" si="63"/>
        <v>0</v>
      </c>
    </row>
    <row r="31" spans="1:16" s="1" customFormat="1" x14ac:dyDescent="0.3">
      <c r="A31" s="60" t="s">
        <v>115</v>
      </c>
      <c r="B31" s="1">
        <f>Historicals!B110</f>
        <v>867</v>
      </c>
      <c r="C31" s="1">
        <f>Historicals!C110</f>
        <v>824</v>
      </c>
      <c r="D31" s="1">
        <f>Historicals!D110</f>
        <v>719</v>
      </c>
      <c r="E31" s="1">
        <f>Historicals!E110</f>
        <v>646</v>
      </c>
      <c r="F31" s="1">
        <f>Historicals!F110</f>
        <v>595</v>
      </c>
      <c r="G31" s="1">
        <f>Historicals!G110</f>
        <v>597</v>
      </c>
      <c r="H31" s="1">
        <f>Historicals!H110</f>
        <v>516</v>
      </c>
      <c r="I31" s="1">
        <f>Historicals!I110</f>
        <v>507</v>
      </c>
      <c r="J31" s="1">
        <f>Historicals!J110</f>
        <v>633</v>
      </c>
      <c r="K31" s="9">
        <f>(J31*K32)+J31</f>
        <v>790.31360946745565</v>
      </c>
      <c r="L31" s="9">
        <f t="shared" ref="L31:O31" si="64">(K31*L32)+K31</f>
        <v>986.7229088617346</v>
      </c>
      <c r="M31" s="9">
        <f t="shared" si="64"/>
        <v>1231.9439868037041</v>
      </c>
      <c r="N31" s="9">
        <f t="shared" si="64"/>
        <v>1538.1075811572873</v>
      </c>
      <c r="O31" s="9">
        <f t="shared" si="64"/>
        <v>1920.3591693738913</v>
      </c>
    </row>
    <row r="32" spans="1:16" x14ac:dyDescent="0.3">
      <c r="A32" s="44" t="s">
        <v>129</v>
      </c>
      <c r="C32" s="46">
        <f>+IFERROR(C31/B31-1,"nm")</f>
        <v>-4.9596309111880066E-2</v>
      </c>
      <c r="D32" s="46">
        <f t="shared" ref="D32" si="65">+IFERROR(D31/C31-1,"nm")</f>
        <v>-0.12742718446601942</v>
      </c>
      <c r="E32" s="46">
        <f t="shared" ref="E32" si="66">+IFERROR(E31/D31-1,"nm")</f>
        <v>-0.10152990264255912</v>
      </c>
      <c r="F32" s="46">
        <f t="shared" ref="F32" si="67">+IFERROR(F31/E31-1,"nm")</f>
        <v>-7.8947368421052655E-2</v>
      </c>
      <c r="G32" s="46">
        <f t="shared" ref="G32" si="68">+IFERROR(G31/F31-1,"nm")</f>
        <v>3.3613445378151141E-3</v>
      </c>
      <c r="H32" s="46">
        <f t="shared" ref="H32" si="69">+IFERROR(H31/G31-1,"nm")</f>
        <v>-0.13567839195979903</v>
      </c>
      <c r="I32" s="46">
        <f t="shared" ref="I32" si="70">+IFERROR(I31/H31-1,"nm")</f>
        <v>-1.744186046511631E-2</v>
      </c>
      <c r="J32" s="46">
        <f>+IFERROR(J31/I31-1,"nm")</f>
        <v>0.24852071005917153</v>
      </c>
      <c r="K32" s="46">
        <f>K33+K34</f>
        <v>0.24852071005917159</v>
      </c>
      <c r="L32" s="46">
        <f t="shared" ref="L32:O32" si="71">+K32</f>
        <v>0.24852071005917159</v>
      </c>
      <c r="M32" s="46">
        <f t="shared" si="71"/>
        <v>0.24852071005917159</v>
      </c>
      <c r="N32" s="46">
        <f t="shared" si="71"/>
        <v>0.24852071005917159</v>
      </c>
      <c r="O32" s="46">
        <f t="shared" si="71"/>
        <v>0.24852071005917159</v>
      </c>
    </row>
    <row r="33" spans="1:16" x14ac:dyDescent="0.3">
      <c r="A33" s="44" t="s">
        <v>137</v>
      </c>
      <c r="C33" s="46">
        <f>(C31-B31)/B31</f>
        <v>-4.9596309111880045E-2</v>
      </c>
      <c r="D33" s="46">
        <f t="shared" ref="D33:J33" si="72">(D31-C31)/C31</f>
        <v>-0.12742718446601942</v>
      </c>
      <c r="E33" s="46">
        <f t="shared" si="72"/>
        <v>-0.10152990264255911</v>
      </c>
      <c r="F33" s="46">
        <f t="shared" si="72"/>
        <v>-7.8947368421052627E-2</v>
      </c>
      <c r="G33" s="46">
        <f t="shared" si="72"/>
        <v>3.3613445378151263E-3</v>
      </c>
      <c r="H33" s="46">
        <f t="shared" si="72"/>
        <v>-0.135678391959799</v>
      </c>
      <c r="I33" s="46">
        <f t="shared" si="72"/>
        <v>-1.7441860465116279E-2</v>
      </c>
      <c r="J33" s="46">
        <f t="shared" si="72"/>
        <v>0.24852071005917159</v>
      </c>
      <c r="K33" s="48">
        <f>J33</f>
        <v>0.24852071005917159</v>
      </c>
      <c r="L33" s="48">
        <f t="shared" ref="L33:O33" si="73">+K33</f>
        <v>0.24852071005917159</v>
      </c>
      <c r="M33" s="48">
        <f t="shared" si="73"/>
        <v>0.24852071005917159</v>
      </c>
      <c r="N33" s="48">
        <f t="shared" si="73"/>
        <v>0.24852071005917159</v>
      </c>
      <c r="O33" s="48">
        <f t="shared" si="73"/>
        <v>0.24852071005917159</v>
      </c>
    </row>
    <row r="34" spans="1:16" x14ac:dyDescent="0.3">
      <c r="A34" s="44" t="s">
        <v>138</v>
      </c>
      <c r="C34" s="46">
        <f t="shared" ref="C34" si="74">+IFERROR(C32-C33,"nm")</f>
        <v>-2.0816681711721685E-17</v>
      </c>
      <c r="D34" s="46">
        <f t="shared" ref="D34" si="75">+IFERROR(D32-D33,"nm")</f>
        <v>0</v>
      </c>
      <c r="E34" s="46">
        <f t="shared" ref="E34" si="76">+IFERROR(E32-E33,"nm")</f>
        <v>-1.3877787807814457E-17</v>
      </c>
      <c r="F34" s="46">
        <f t="shared" ref="F34" si="77">+IFERROR(F32-F33,"nm")</f>
        <v>-2.7755575615628914E-17</v>
      </c>
      <c r="G34" s="46">
        <f t="shared" ref="G34" si="78">+IFERROR(G32-G33,"nm")</f>
        <v>-1.214306433183765E-17</v>
      </c>
      <c r="H34" s="46">
        <f t="shared" ref="H34" si="79">+IFERROR(H32-H33,"nm")</f>
        <v>-2.7755575615628914E-17</v>
      </c>
      <c r="I34" s="46">
        <f t="shared" ref="I34" si="80">+IFERROR(I32-I33,"nm")</f>
        <v>-3.1225022567582528E-17</v>
      </c>
      <c r="J34" s="46">
        <f>+IFERROR(J32-J33,"nm")</f>
        <v>-5.5511151231257827E-17</v>
      </c>
      <c r="K34" s="48">
        <v>0</v>
      </c>
      <c r="L34" s="48">
        <f t="shared" ref="L34:O34" si="81">+K34</f>
        <v>0</v>
      </c>
      <c r="M34" s="48">
        <f t="shared" si="81"/>
        <v>0</v>
      </c>
      <c r="N34" s="48">
        <f t="shared" si="81"/>
        <v>0</v>
      </c>
      <c r="O34" s="48">
        <f t="shared" si="81"/>
        <v>0</v>
      </c>
    </row>
    <row r="35" spans="1:16" s="1" customFormat="1" x14ac:dyDescent="0.3">
      <c r="A35" s="9" t="s">
        <v>130</v>
      </c>
      <c r="B35" s="1">
        <f>B38+B42</f>
        <v>3186</v>
      </c>
      <c r="C35" s="47">
        <f>+C42+C38</f>
        <v>3766</v>
      </c>
      <c r="D35" s="47">
        <f t="shared" ref="D35:I35" si="82">+D42+D38</f>
        <v>3896</v>
      </c>
      <c r="E35" s="47">
        <f t="shared" si="82"/>
        <v>4015</v>
      </c>
      <c r="F35" s="47">
        <f t="shared" si="82"/>
        <v>3760</v>
      </c>
      <c r="G35" s="47">
        <f t="shared" si="82"/>
        <v>4074</v>
      </c>
      <c r="H35" s="47">
        <f t="shared" si="82"/>
        <v>3047</v>
      </c>
      <c r="I35" s="47">
        <f t="shared" si="82"/>
        <v>5219</v>
      </c>
      <c r="J35" s="47">
        <f>+J42+J38</f>
        <v>5238</v>
      </c>
      <c r="K35" s="9">
        <f>K37*K21</f>
        <v>5595.9609988939983</v>
      </c>
      <c r="L35" s="9">
        <f t="shared" ref="L35:O35" ca="1" si="83">(K35*L36)+K35</f>
        <v>5595.9609988939983</v>
      </c>
      <c r="M35" s="9">
        <f t="shared" ca="1" si="83"/>
        <v>5595.9609988939983</v>
      </c>
      <c r="N35" s="9">
        <f t="shared" ca="1" si="83"/>
        <v>5595.9609988939983</v>
      </c>
      <c r="O35" s="9">
        <f t="shared" ca="1" si="83"/>
        <v>5595.9609988939983</v>
      </c>
    </row>
    <row r="36" spans="1:16" x14ac:dyDescent="0.3">
      <c r="A36" s="45" t="s">
        <v>129</v>
      </c>
      <c r="C36" s="46">
        <f>+IFERROR(C35/B35-1,"nm")</f>
        <v>0.18204645323289381</v>
      </c>
      <c r="D36" s="46">
        <f t="shared" ref="D36" si="84">+IFERROR(D35/C35-1,"nm")</f>
        <v>3.4519383961763239E-2</v>
      </c>
      <c r="E36" s="46">
        <f t="shared" ref="E36" si="85">+IFERROR(E35/D35-1,"nm")</f>
        <v>3.0544147843942548E-2</v>
      </c>
      <c r="F36" s="46">
        <f t="shared" ref="F36" si="86">+IFERROR(F35/E35-1,"nm")</f>
        <v>-6.3511830635118338E-2</v>
      </c>
      <c r="G36" s="46">
        <f t="shared" ref="G36" si="87">+IFERROR(G35/F35-1,"nm")</f>
        <v>8.3510638297872308E-2</v>
      </c>
      <c r="H36" s="46">
        <f t="shared" ref="H36" si="88">+IFERROR(H35/G35-1,"nm")</f>
        <v>-0.25208640157093765</v>
      </c>
      <c r="I36" s="46">
        <f t="shared" ref="I36" si="89">+IFERROR(I35/H35-1,"nm")</f>
        <v>0.71283229405973092</v>
      </c>
      <c r="J36" s="46">
        <f>+IFERROR(J35/I35-1,"nm")</f>
        <v>3.6405441655489312E-3</v>
      </c>
      <c r="K36" s="46">
        <f>+IFERROR(K35/J35-1,"nm")</f>
        <v>6.8339251411607238E-2</v>
      </c>
      <c r="L36" s="46">
        <f ca="1">+IFERROR(L35/K35-1,"nm")</f>
        <v>0</v>
      </c>
      <c r="M36" s="46">
        <f t="shared" ref="M36:O36" ca="1" si="90">+L36</f>
        <v>0</v>
      </c>
      <c r="N36" s="46">
        <f t="shared" ca="1" si="90"/>
        <v>0</v>
      </c>
      <c r="O36" s="46">
        <f t="shared" ca="1" si="90"/>
        <v>0</v>
      </c>
    </row>
    <row r="37" spans="1:16" x14ac:dyDescent="0.3">
      <c r="A37" s="45" t="s">
        <v>131</v>
      </c>
      <c r="C37" s="46">
        <f t="shared" ref="C37:J37" si="91">+IFERROR(C35/C$21,"nm")</f>
        <v>0.27409024745269289</v>
      </c>
      <c r="D37" s="46">
        <f t="shared" si="91"/>
        <v>0.26388512598211866</v>
      </c>
      <c r="E37" s="46">
        <f t="shared" si="91"/>
        <v>0.26386698212407994</v>
      </c>
      <c r="F37" s="46">
        <f t="shared" si="91"/>
        <v>0.25311342982160889</v>
      </c>
      <c r="G37" s="46">
        <f t="shared" si="91"/>
        <v>0.25619418941013711</v>
      </c>
      <c r="H37" s="46">
        <f t="shared" si="91"/>
        <v>0.2103700635183651</v>
      </c>
      <c r="I37" s="46">
        <f t="shared" si="91"/>
        <v>0.30380115256999823</v>
      </c>
      <c r="J37" s="46">
        <f t="shared" si="91"/>
        <v>0.28540293140086087</v>
      </c>
      <c r="K37" s="48">
        <f>+J37</f>
        <v>0.28540293140086087</v>
      </c>
      <c r="L37" s="48">
        <f t="shared" ref="L37:O37" si="92">+K37</f>
        <v>0.28540293140086087</v>
      </c>
      <c r="M37" s="48">
        <f t="shared" si="92"/>
        <v>0.28540293140086087</v>
      </c>
      <c r="N37" s="48">
        <f t="shared" si="92"/>
        <v>0.28540293140086087</v>
      </c>
      <c r="O37" s="48">
        <f t="shared" si="92"/>
        <v>0.28540293140086087</v>
      </c>
    </row>
    <row r="38" spans="1:16" s="1" customFormat="1" x14ac:dyDescent="0.3">
      <c r="A38" s="9" t="s">
        <v>132</v>
      </c>
      <c r="B38" s="1">
        <f>Historicals!B167</f>
        <v>109</v>
      </c>
      <c r="C38" s="1">
        <f>Historicals!C167</f>
        <v>121</v>
      </c>
      <c r="D38" s="1">
        <f>Historicals!D167</f>
        <v>133</v>
      </c>
      <c r="E38" s="1">
        <f>Historicals!E167</f>
        <v>140</v>
      </c>
      <c r="F38" s="1">
        <f>Historicals!F167</f>
        <v>160</v>
      </c>
      <c r="G38" s="1">
        <f>Historicals!G167</f>
        <v>149</v>
      </c>
      <c r="H38" s="1">
        <f>Historicals!H167</f>
        <v>148</v>
      </c>
      <c r="I38" s="1">
        <f>Historicals!I167</f>
        <v>130</v>
      </c>
      <c r="J38" s="1">
        <f>Historicals!J167</f>
        <v>124</v>
      </c>
      <c r="K38" s="9">
        <f>(J38*K39)+J38</f>
        <v>118.27692307692308</v>
      </c>
      <c r="L38" s="9">
        <f t="shared" ref="L38:O38" si="93">(K38*L39)+K38</f>
        <v>112.81798816568049</v>
      </c>
      <c r="M38" s="9">
        <f t="shared" si="93"/>
        <v>107.61100409649524</v>
      </c>
      <c r="N38" s="9">
        <f t="shared" si="93"/>
        <v>102.64434236896469</v>
      </c>
      <c r="O38" s="9">
        <f t="shared" si="93"/>
        <v>97.906911182704789</v>
      </c>
      <c r="P38" s="9"/>
    </row>
    <row r="39" spans="1:16" x14ac:dyDescent="0.3">
      <c r="A39" s="45" t="s">
        <v>129</v>
      </c>
      <c r="C39" s="46">
        <f>+IFERROR(C38/B38-1,"nm")</f>
        <v>0.11009174311926606</v>
      </c>
      <c r="D39" s="46">
        <f t="shared" ref="D39" si="94">+IFERROR(D38/C38-1,"nm")</f>
        <v>9.9173553719008156E-2</v>
      </c>
      <c r="E39" s="46">
        <f t="shared" ref="E39" si="95">+IFERROR(E38/D38-1,"nm")</f>
        <v>5.2631578947368363E-2</v>
      </c>
      <c r="F39" s="46">
        <f t="shared" ref="F39" si="96">+IFERROR(F38/E38-1,"nm")</f>
        <v>0.14285714285714279</v>
      </c>
      <c r="G39" s="46">
        <f t="shared" ref="G39" si="97">+IFERROR(G38/F38-1,"nm")</f>
        <v>-6.8749999999999978E-2</v>
      </c>
      <c r="H39" s="46">
        <f t="shared" ref="H39" si="98">+IFERROR(H38/G38-1,"nm")</f>
        <v>-6.7114093959731447E-3</v>
      </c>
      <c r="I39" s="46">
        <f t="shared" ref="I39" si="99">+IFERROR(I38/H38-1,"nm")</f>
        <v>-0.1216216216216216</v>
      </c>
      <c r="J39" s="46">
        <f>+IFERROR(J38/I38-1,"nm")</f>
        <v>-4.6153846153846101E-2</v>
      </c>
      <c r="K39" s="46">
        <f>+J39</f>
        <v>-4.6153846153846101E-2</v>
      </c>
      <c r="L39" s="46">
        <f t="shared" ref="L39:O39" si="100">+K39</f>
        <v>-4.6153846153846101E-2</v>
      </c>
      <c r="M39" s="46">
        <f t="shared" si="100"/>
        <v>-4.6153846153846101E-2</v>
      </c>
      <c r="N39" s="46">
        <f t="shared" si="100"/>
        <v>-4.6153846153846101E-2</v>
      </c>
      <c r="O39" s="46">
        <f t="shared" si="100"/>
        <v>-4.6153846153846101E-2</v>
      </c>
    </row>
    <row r="40" spans="1:16" x14ac:dyDescent="0.3">
      <c r="A40" s="45" t="s">
        <v>133</v>
      </c>
      <c r="C40" s="46">
        <f t="shared" ref="C40:O40" si="101">+IFERROR(C38/C$21,"nm")</f>
        <v>8.8064046579330417E-3</v>
      </c>
      <c r="D40" s="46">
        <f t="shared" si="101"/>
        <v>9.0083988079111346E-3</v>
      </c>
      <c r="E40" s="46">
        <f t="shared" si="101"/>
        <v>9.2008412197686646E-3</v>
      </c>
      <c r="F40" s="46">
        <f t="shared" si="101"/>
        <v>1.0770784247728038E-2</v>
      </c>
      <c r="G40" s="46">
        <f t="shared" si="101"/>
        <v>9.3698905798012821E-3</v>
      </c>
      <c r="H40" s="46">
        <f t="shared" si="101"/>
        <v>1.0218171775752554E-2</v>
      </c>
      <c r="I40" s="46">
        <f t="shared" si="101"/>
        <v>7.5673787764130628E-3</v>
      </c>
      <c r="J40" s="46">
        <f t="shared" si="101"/>
        <v>6.7563886013185855E-3</v>
      </c>
      <c r="K40" s="46">
        <f t="shared" si="101"/>
        <v>6.0323116208100321E-3</v>
      </c>
      <c r="L40" s="46">
        <f t="shared" si="101"/>
        <v>5.385833414534219E-3</v>
      </c>
      <c r="M40" s="46">
        <f t="shared" si="101"/>
        <v>4.8086377814178924E-3</v>
      </c>
      <c r="N40" s="46">
        <f t="shared" si="101"/>
        <v>4.2932997612736834E-3</v>
      </c>
      <c r="O40" s="46">
        <f t="shared" si="101"/>
        <v>3.8331901211984443E-3</v>
      </c>
    </row>
    <row r="41" spans="1:16" x14ac:dyDescent="0.3">
      <c r="A41" s="45" t="s">
        <v>142</v>
      </c>
      <c r="C41" s="46">
        <f t="shared" ref="C41:I41" si="102">+IFERROR(C38/C48,"nm")</f>
        <v>0.19145569620253164</v>
      </c>
      <c r="D41" s="46">
        <f t="shared" si="102"/>
        <v>0.17924528301886791</v>
      </c>
      <c r="E41" s="46">
        <f t="shared" si="102"/>
        <v>0.17094017094017094</v>
      </c>
      <c r="F41" s="46">
        <f t="shared" si="102"/>
        <v>0.18867924528301888</v>
      </c>
      <c r="G41" s="46">
        <f t="shared" si="102"/>
        <v>0.18304668304668303</v>
      </c>
      <c r="H41" s="46">
        <f t="shared" si="102"/>
        <v>0.22945736434108527</v>
      </c>
      <c r="I41" s="46">
        <f t="shared" si="102"/>
        <v>0.21069692058346839</v>
      </c>
      <c r="J41" s="46">
        <f>+IFERROR(J38/J48,"nm")</f>
        <v>0.19405320813771518</v>
      </c>
      <c r="K41" s="48">
        <f>+J41</f>
        <v>0.19405320813771518</v>
      </c>
      <c r="L41" s="48">
        <f t="shared" ref="L41:O41" si="103">+K41</f>
        <v>0.19405320813771518</v>
      </c>
      <c r="M41" s="48">
        <f t="shared" si="103"/>
        <v>0.19405320813771518</v>
      </c>
      <c r="N41" s="48">
        <f t="shared" si="103"/>
        <v>0.19405320813771518</v>
      </c>
      <c r="O41" s="48">
        <f t="shared" si="103"/>
        <v>0.19405320813771518</v>
      </c>
    </row>
    <row r="42" spans="1:16" s="1" customFormat="1" x14ac:dyDescent="0.3">
      <c r="A42" s="9" t="s">
        <v>134</v>
      </c>
      <c r="B42" s="1">
        <f>Historicals!B134</f>
        <v>3077</v>
      </c>
      <c r="C42" s="1">
        <f>Historicals!C134</f>
        <v>3645</v>
      </c>
      <c r="D42" s="1">
        <f>Historicals!D134</f>
        <v>3763</v>
      </c>
      <c r="E42" s="1">
        <f>Historicals!E134</f>
        <v>3875</v>
      </c>
      <c r="F42" s="1">
        <f>Historicals!F134</f>
        <v>3600</v>
      </c>
      <c r="G42" s="1">
        <f>Historicals!G134</f>
        <v>3925</v>
      </c>
      <c r="H42" s="1">
        <f>Historicals!H134</f>
        <v>2899</v>
      </c>
      <c r="I42" s="1">
        <f>Historicals!I134</f>
        <v>5089</v>
      </c>
      <c r="J42" s="1">
        <f>Historicals!J134</f>
        <v>5114</v>
      </c>
      <c r="K42" s="9">
        <f>+K35-K38</f>
        <v>5477.6840758170756</v>
      </c>
      <c r="L42" s="9">
        <f t="shared" ref="L42:O42" ca="1" si="104">+L35-L38</f>
        <v>5483.1430107283177</v>
      </c>
      <c r="M42" s="9">
        <f t="shared" ca="1" si="104"/>
        <v>5488.3499947975033</v>
      </c>
      <c r="N42" s="9">
        <f t="shared" ca="1" si="104"/>
        <v>5493.316656525034</v>
      </c>
      <c r="O42" s="9">
        <f t="shared" ca="1" si="104"/>
        <v>5498.0540877112935</v>
      </c>
    </row>
    <row r="43" spans="1:16" x14ac:dyDescent="0.3">
      <c r="A43" s="45" t="s">
        <v>129</v>
      </c>
      <c r="C43" s="46">
        <f>+IFERROR(C42/B42-1,"nm")</f>
        <v>0.1845953851153721</v>
      </c>
      <c r="D43" s="46">
        <f t="shared" ref="D43" si="105">+IFERROR(D42/C42-1,"nm")</f>
        <v>3.2373113854595292E-2</v>
      </c>
      <c r="E43" s="46">
        <f t="shared" ref="E43" si="106">+IFERROR(E42/D42-1,"nm")</f>
        <v>2.9763486579856391E-2</v>
      </c>
      <c r="F43" s="46">
        <f t="shared" ref="F43" si="107">+IFERROR(F42/E42-1,"nm")</f>
        <v>-7.096774193548383E-2</v>
      </c>
      <c r="G43" s="46">
        <f t="shared" ref="G43" si="108">+IFERROR(G42/F42-1,"nm")</f>
        <v>9.0277777777777679E-2</v>
      </c>
      <c r="H43" s="46">
        <f t="shared" ref="H43" si="109">+IFERROR(H42/G42-1,"nm")</f>
        <v>-0.26140127388535028</v>
      </c>
      <c r="I43" s="46">
        <f t="shared" ref="I43" si="110">+IFERROR(I42/H42-1,"nm")</f>
        <v>0.75543290789927564</v>
      </c>
      <c r="J43" s="46">
        <f>+IFERROR(J42/I42-1,"nm")</f>
        <v>4.9125564943997002E-3</v>
      </c>
      <c r="K43" s="46">
        <f t="shared" ref="K43:O43" si="111">+IFERROR(K42/J42-1,"nm")</f>
        <v>7.1115384399115245E-2</v>
      </c>
      <c r="L43" s="46">
        <f t="shared" ca="1" si="111"/>
        <v>4.9125564943997002E-3</v>
      </c>
      <c r="M43" s="46">
        <f t="shared" ca="1" si="111"/>
        <v>4.9125564943997002E-3</v>
      </c>
      <c r="N43" s="46">
        <f t="shared" ca="1" si="111"/>
        <v>4.9125564943997002E-3</v>
      </c>
      <c r="O43" s="46">
        <f t="shared" ca="1" si="111"/>
        <v>4.9125564943997002E-3</v>
      </c>
    </row>
    <row r="44" spans="1:16" x14ac:dyDescent="0.3">
      <c r="A44" s="45" t="s">
        <v>131</v>
      </c>
      <c r="C44" s="46">
        <f t="shared" ref="C44:O44" si="112">+IFERROR(C42/C$21,"nm")</f>
        <v>0.26528384279475981</v>
      </c>
      <c r="D44" s="46">
        <f t="shared" si="112"/>
        <v>0.25487672717420751</v>
      </c>
      <c r="E44" s="46">
        <f t="shared" si="112"/>
        <v>0.25466614090431128</v>
      </c>
      <c r="F44" s="46">
        <f t="shared" si="112"/>
        <v>0.24234264557388085</v>
      </c>
      <c r="G44" s="46">
        <f t="shared" si="112"/>
        <v>0.2468242988303358</v>
      </c>
      <c r="H44" s="46">
        <f t="shared" si="112"/>
        <v>0.20015189174261253</v>
      </c>
      <c r="I44" s="46">
        <f t="shared" si="112"/>
        <v>0.29623377379358518</v>
      </c>
      <c r="J44" s="46">
        <f t="shared" si="112"/>
        <v>0.27864654279954232</v>
      </c>
      <c r="K44" s="46">
        <f t="shared" si="112"/>
        <v>0.2793706197800509</v>
      </c>
      <c r="L44" s="46">
        <f t="shared" ca="1" si="112"/>
        <v>0.26176051642120868</v>
      </c>
      <c r="M44" s="46">
        <f t="shared" ca="1" si="112"/>
        <v>0.2452489628194772</v>
      </c>
      <c r="N44" s="46">
        <f t="shared" ca="1" si="112"/>
        <v>0.22976868033586448</v>
      </c>
      <c r="O44" s="46">
        <f t="shared" ca="1" si="112"/>
        <v>0.21525637322477967</v>
      </c>
    </row>
    <row r="45" spans="1:16" s="1" customFormat="1" x14ac:dyDescent="0.3">
      <c r="A45" s="9" t="s">
        <v>135</v>
      </c>
      <c r="C45" s="1">
        <f>C48-B48+C38</f>
        <v>208</v>
      </c>
      <c r="D45" s="1">
        <f t="shared" ref="D45:J45" si="113">D48-C48+D38</f>
        <v>243</v>
      </c>
      <c r="E45" s="1">
        <f t="shared" si="113"/>
        <v>217</v>
      </c>
      <c r="F45" s="1">
        <f t="shared" si="113"/>
        <v>189</v>
      </c>
      <c r="G45" s="1">
        <f t="shared" si="113"/>
        <v>115</v>
      </c>
      <c r="H45" s="1">
        <f t="shared" si="113"/>
        <v>-21</v>
      </c>
      <c r="I45" s="1">
        <f t="shared" si="113"/>
        <v>102</v>
      </c>
      <c r="J45" s="1">
        <f t="shared" si="113"/>
        <v>146</v>
      </c>
      <c r="K45" s="1">
        <f t="shared" ref="K45" ca="1" si="114">K48-J48+K38</f>
        <v>161.94570472894014</v>
      </c>
      <c r="L45" s="1">
        <f t="shared" ref="L45" ca="1" si="115">L48-K48+L38</f>
        <v>159.4710616658532</v>
      </c>
      <c r="M45" s="1">
        <f t="shared" ref="M45" ca="1" si="116">M48-L48+M38</f>
        <v>157.45231371572052</v>
      </c>
      <c r="N45" s="1">
        <f t="shared" ref="N45" ca="1" si="117">N48-M48+N38</f>
        <v>155.89176977694197</v>
      </c>
      <c r="O45" s="1">
        <f t="shared" ref="O45" ca="1" si="118">O48-N48+O38</f>
        <v>154.79322791933714</v>
      </c>
    </row>
    <row r="46" spans="1:16" x14ac:dyDescent="0.3">
      <c r="A46" s="45" t="s">
        <v>129</v>
      </c>
      <c r="C46" s="46" t="str">
        <f>+IFERROR(C45/B45-1,"nm")</f>
        <v>nm</v>
      </c>
      <c r="D46" s="46">
        <f t="shared" ref="D46" si="119">+IFERROR(D45/C45-1,"nm")</f>
        <v>0.16826923076923084</v>
      </c>
      <c r="E46" s="46">
        <f t="shared" ref="E46" si="120">+IFERROR(E45/D45-1,"nm")</f>
        <v>-0.10699588477366251</v>
      </c>
      <c r="F46" s="46">
        <f t="shared" ref="F46" si="121">+IFERROR(F45/E45-1,"nm")</f>
        <v>-0.12903225806451613</v>
      </c>
      <c r="G46" s="46">
        <f t="shared" ref="G46" si="122">+IFERROR(G45/F45-1,"nm")</f>
        <v>-0.39153439153439151</v>
      </c>
      <c r="H46" s="46">
        <f t="shared" ref="H46" si="123">+IFERROR(H45/G45-1,"nm")</f>
        <v>-1.182608695652174</v>
      </c>
      <c r="I46" s="46">
        <f t="shared" ref="I46" si="124">+IFERROR(I45/H45-1,"nm")</f>
        <v>-5.8571428571428568</v>
      </c>
      <c r="J46" s="46">
        <f>+IFERROR(J45/I45-1,"nm")</f>
        <v>0.43137254901960786</v>
      </c>
      <c r="K46" s="46">
        <f t="shared" ref="K46:O46" ca="1" si="125">+IFERROR(K45/J45-1,"nm")</f>
        <v>0.10921715567767221</v>
      </c>
      <c r="L46" s="46">
        <f t="shared" ca="1" si="125"/>
        <v>-1.5280695880319439E-2</v>
      </c>
      <c r="M46" s="46">
        <f t="shared" ca="1" si="125"/>
        <v>-1.2659023706524608E-2</v>
      </c>
      <c r="N46" s="46">
        <f t="shared" ca="1" si="125"/>
        <v>-9.9112163038524992E-3</v>
      </c>
      <c r="O46" s="46">
        <f t="shared" ca="1" si="125"/>
        <v>-7.0468239547005762E-3</v>
      </c>
      <c r="P46" s="46"/>
    </row>
    <row r="47" spans="1:16" x14ac:dyDescent="0.3">
      <c r="A47" s="45" t="s">
        <v>133</v>
      </c>
      <c r="C47" s="46">
        <f t="shared" ref="C47:O47" si="126">+IFERROR(C45/C$21,"nm")</f>
        <v>1.5138282387190683E-2</v>
      </c>
      <c r="D47" s="46">
        <f t="shared" si="126"/>
        <v>1.6458954212950419E-2</v>
      </c>
      <c r="E47" s="46">
        <f t="shared" si="126"/>
        <v>1.426130389064143E-2</v>
      </c>
      <c r="F47" s="46">
        <f t="shared" si="126"/>
        <v>1.2722988892628745E-2</v>
      </c>
      <c r="G47" s="46">
        <f t="shared" si="126"/>
        <v>7.2317947427996479E-3</v>
      </c>
      <c r="H47" s="46">
        <f t="shared" si="126"/>
        <v>-1.4498757249378626E-3</v>
      </c>
      <c r="I47" s="46">
        <f t="shared" si="126"/>
        <v>5.937481809185634E-3</v>
      </c>
      <c r="J47" s="46">
        <f t="shared" si="126"/>
        <v>7.9551027080041418E-3</v>
      </c>
      <c r="K47" s="46">
        <f t="shared" ca="1" si="126"/>
        <v>8.2594890969670421E-3</v>
      </c>
      <c r="L47" s="46">
        <f t="shared" ca="1" si="126"/>
        <v>7.6130108906912238E-3</v>
      </c>
      <c r="M47" s="46">
        <f t="shared" ca="1" si="126"/>
        <v>7.0358152575749006E-3</v>
      </c>
      <c r="N47" s="46">
        <f t="shared" ca="1" si="126"/>
        <v>6.5204772374306925E-3</v>
      </c>
      <c r="O47" s="46">
        <f t="shared" ca="1" si="126"/>
        <v>6.060367597355453E-3</v>
      </c>
    </row>
    <row r="48" spans="1:16" s="1" customFormat="1" x14ac:dyDescent="0.3">
      <c r="A48" s="9" t="s">
        <v>143</v>
      </c>
      <c r="B48" s="1">
        <f>Historicals!B145</f>
        <v>545</v>
      </c>
      <c r="C48" s="1">
        <f>Historicals!C145</f>
        <v>632</v>
      </c>
      <c r="D48" s="1">
        <f>Historicals!D145</f>
        <v>742</v>
      </c>
      <c r="E48" s="1">
        <f>Historicals!E145</f>
        <v>819</v>
      </c>
      <c r="F48" s="1">
        <f>Historicals!F145</f>
        <v>848</v>
      </c>
      <c r="G48" s="1">
        <f>Historicals!G145</f>
        <v>814</v>
      </c>
      <c r="H48" s="1">
        <f>Historicals!H145</f>
        <v>645</v>
      </c>
      <c r="I48" s="1">
        <f>Historicals!I145</f>
        <v>617</v>
      </c>
      <c r="J48" s="1">
        <f>Historicals!J145</f>
        <v>639</v>
      </c>
      <c r="K48" s="47">
        <f t="shared" ref="K48:O48" ca="1" si="127">+K21*K50</f>
        <v>729.32185515218976</v>
      </c>
      <c r="L48" s="47">
        <f t="shared" ca="1" si="127"/>
        <v>729.32185515218976</v>
      </c>
      <c r="M48" s="47">
        <f ca="1">+M21*M50</f>
        <v>0</v>
      </c>
      <c r="N48" s="47">
        <f t="shared" ca="1" si="127"/>
        <v>832.41059217939232</v>
      </c>
      <c r="O48" s="47">
        <f t="shared" ca="1" si="127"/>
        <v>889.29690891602468</v>
      </c>
    </row>
    <row r="49" spans="1:16" x14ac:dyDescent="0.3">
      <c r="A49" s="45" t="s">
        <v>129</v>
      </c>
      <c r="C49" s="46">
        <f>+IFERROR(C48/B48-1,"nm")</f>
        <v>0.15963302752293584</v>
      </c>
      <c r="D49" s="46">
        <f t="shared" ref="D49" si="128">+IFERROR(D48/C48-1,"nm")</f>
        <v>0.17405063291139244</v>
      </c>
      <c r="E49" s="46">
        <f t="shared" ref="E49" si="129">+IFERROR(E48/D48-1,"nm")</f>
        <v>0.10377358490566047</v>
      </c>
      <c r="F49" s="46">
        <f t="shared" ref="F49" si="130">+IFERROR(F48/E48-1,"nm")</f>
        <v>3.5409035409035505E-2</v>
      </c>
      <c r="G49" s="46">
        <f t="shared" ref="G49" si="131">+IFERROR(G48/F48-1,"nm")</f>
        <v>-4.0094339622641528E-2</v>
      </c>
      <c r="H49" s="46">
        <f t="shared" ref="H49" si="132">+IFERROR(H48/G48-1,"nm")</f>
        <v>-0.20761670761670759</v>
      </c>
      <c r="I49" s="46">
        <f t="shared" ref="I49" si="133">+IFERROR(I48/H48-1,"nm")</f>
        <v>-4.3410852713178349E-2</v>
      </c>
      <c r="J49" s="46">
        <f>+IFERROR(J48/I48-1,"nm")</f>
        <v>3.5656401944894611E-2</v>
      </c>
      <c r="K49" s="46">
        <f t="shared" ref="K49:O49" ca="1" si="134">+IFERROR(K48/J48-1,"nm")</f>
        <v>6.8339251411607238E-2</v>
      </c>
      <c r="L49" s="46">
        <f t="shared" ca="1" si="134"/>
        <v>6.8339251411607016E-2</v>
      </c>
      <c r="M49" s="46">
        <f t="shared" ca="1" si="134"/>
        <v>6.8339251411607238E-2</v>
      </c>
      <c r="N49" s="46">
        <f t="shared" ca="1" si="134"/>
        <v>6.8339251411607238E-2</v>
      </c>
      <c r="O49" s="46">
        <f t="shared" ca="1" si="134"/>
        <v>6.8339251411607238E-2</v>
      </c>
    </row>
    <row r="50" spans="1:16" x14ac:dyDescent="0.3">
      <c r="A50" s="45" t="s">
        <v>133</v>
      </c>
      <c r="C50" s="46">
        <f t="shared" ref="C50:O50" si="135">+IFERROR(C48/C$21,"nm")</f>
        <v>4.599708879184862E-2</v>
      </c>
      <c r="D50" s="46">
        <f t="shared" si="135"/>
        <v>5.0257382823083174E-2</v>
      </c>
      <c r="E50" s="46">
        <f t="shared" si="135"/>
        <v>5.3824921135646686E-2</v>
      </c>
      <c r="F50" s="46">
        <f t="shared" si="135"/>
        <v>5.7085156512958597E-2</v>
      </c>
      <c r="G50" s="46">
        <f t="shared" si="135"/>
        <v>5.1188529744686205E-2</v>
      </c>
      <c r="H50" s="46">
        <f t="shared" si="135"/>
        <v>4.4531897265948632E-2</v>
      </c>
      <c r="I50" s="46">
        <f t="shared" si="135"/>
        <v>3.5915943884975841E-2</v>
      </c>
      <c r="J50" s="46">
        <f t="shared" si="135"/>
        <v>3.4817196098730456E-2</v>
      </c>
      <c r="K50" s="46">
        <f t="shared" ca="1" si="135"/>
        <v>3.4817196098730456E-2</v>
      </c>
      <c r="L50" s="46">
        <f t="shared" ca="1" si="135"/>
        <v>3.4817196098730456E-2</v>
      </c>
      <c r="M50" s="46">
        <f t="shared" ca="1" si="135"/>
        <v>3.4817196098730456E-2</v>
      </c>
      <c r="N50" s="46">
        <f t="shared" ca="1" si="135"/>
        <v>3.4817196098730456E-2</v>
      </c>
      <c r="O50" s="46">
        <f t="shared" ca="1" si="135"/>
        <v>3.4817196098730456E-2</v>
      </c>
    </row>
    <row r="51" spans="1:16" x14ac:dyDescent="0.3">
      <c r="A51" s="43" t="s">
        <v>149</v>
      </c>
      <c r="B51" s="43"/>
      <c r="C51" s="43"/>
      <c r="D51" s="43"/>
      <c r="E51" s="43"/>
      <c r="F51" s="43"/>
      <c r="G51" s="43"/>
      <c r="H51" s="43"/>
      <c r="I51" s="43"/>
      <c r="J51" s="43"/>
      <c r="K51" s="39"/>
      <c r="L51" s="39"/>
      <c r="M51" s="39"/>
      <c r="N51" s="39"/>
      <c r="O51" s="39"/>
    </row>
    <row r="52" spans="1:16" x14ac:dyDescent="0.3">
      <c r="A52" s="57" t="s">
        <v>136</v>
      </c>
      <c r="B52" s="52">
        <f>B54+B58+B62</f>
        <v>6366</v>
      </c>
      <c r="C52" s="52">
        <f t="shared" ref="C52:J52" si="136">C54+C58+C62</f>
        <v>7126</v>
      </c>
      <c r="D52" s="52">
        <f t="shared" si="136"/>
        <v>7568</v>
      </c>
      <c r="E52" s="52">
        <f t="shared" si="136"/>
        <v>7970</v>
      </c>
      <c r="F52" s="52">
        <f t="shared" si="136"/>
        <v>9242</v>
      </c>
      <c r="G52" s="52">
        <f t="shared" si="136"/>
        <v>9812</v>
      </c>
      <c r="H52" s="52">
        <f t="shared" si="136"/>
        <v>9347</v>
      </c>
      <c r="I52" s="52">
        <f t="shared" si="136"/>
        <v>11456</v>
      </c>
      <c r="J52" s="52">
        <f t="shared" si="136"/>
        <v>12479</v>
      </c>
      <c r="K52" s="9">
        <f>+SUM(K54+K58+K62)</f>
        <v>13608.804326753774</v>
      </c>
      <c r="L52" s="9">
        <f t="shared" ref="L52:O52" si="137">+SUM(L54+L58+L62)</f>
        <v>14857.980395365705</v>
      </c>
      <c r="M52" s="9">
        <f t="shared" si="137"/>
        <v>16240.68661411307</v>
      </c>
      <c r="N52" s="9">
        <f t="shared" si="137"/>
        <v>17772.881849528436</v>
      </c>
      <c r="O52" s="9">
        <f t="shared" si="137"/>
        <v>19472.563029734389</v>
      </c>
      <c r="P52" s="74"/>
    </row>
    <row r="53" spans="1:16" x14ac:dyDescent="0.3">
      <c r="A53" s="58" t="s">
        <v>129</v>
      </c>
      <c r="B53" s="53"/>
      <c r="C53" s="46">
        <f>+IFERROR(C52/B52-1,"nm")</f>
        <v>0.11938422871504861</v>
      </c>
      <c r="D53" s="54">
        <f t="shared" ref="D53:I53" si="138">+IFERROR(D52/C52-1,"nm")</f>
        <v>6.2026382262138746E-2</v>
      </c>
      <c r="E53" s="54">
        <f t="shared" si="138"/>
        <v>5.3118393234672379E-2</v>
      </c>
      <c r="F53" s="54">
        <f t="shared" si="138"/>
        <v>0.15959849435382689</v>
      </c>
      <c r="G53" s="54">
        <f t="shared" si="138"/>
        <v>6.1674962129409261E-2</v>
      </c>
      <c r="H53" s="54">
        <f t="shared" si="138"/>
        <v>-4.7390949857317621E-2</v>
      </c>
      <c r="I53" s="54">
        <f t="shared" si="138"/>
        <v>0.22563389322777372</v>
      </c>
      <c r="J53" s="54">
        <f>+IFERROR(J52/I52-1,"nm")</f>
        <v>8.9298184357541999E-2</v>
      </c>
      <c r="K53" s="46">
        <f>+J53</f>
        <v>8.9298184357541999E-2</v>
      </c>
      <c r="L53" s="46">
        <f t="shared" ref="L53:O53" si="139">+K53</f>
        <v>8.9298184357541999E-2</v>
      </c>
      <c r="M53" s="46">
        <f t="shared" si="139"/>
        <v>8.9298184357541999E-2</v>
      </c>
      <c r="N53" s="46">
        <f t="shared" si="139"/>
        <v>8.9298184357541999E-2</v>
      </c>
      <c r="O53" s="46">
        <f t="shared" si="139"/>
        <v>8.9298184357541999E-2</v>
      </c>
    </row>
    <row r="54" spans="1:16" x14ac:dyDescent="0.3">
      <c r="A54" s="61" t="s">
        <v>113</v>
      </c>
      <c r="B54" s="52">
        <f>Historicals!B112</f>
        <v>4062</v>
      </c>
      <c r="C54" s="52">
        <f>Historicals!C112</f>
        <v>4703</v>
      </c>
      <c r="D54" s="52">
        <f>Historicals!D112</f>
        <v>5043</v>
      </c>
      <c r="E54" s="52">
        <f>Historicals!E112</f>
        <v>5192</v>
      </c>
      <c r="F54" s="52">
        <f>Historicals!F112</f>
        <v>5875</v>
      </c>
      <c r="G54" s="52">
        <f>Historicals!G112</f>
        <v>6293</v>
      </c>
      <c r="H54" s="52">
        <f>Historicals!H112</f>
        <v>5892</v>
      </c>
      <c r="I54" s="52">
        <f>Historicals!I112</f>
        <v>6970</v>
      </c>
      <c r="J54" s="52">
        <f>Historicals!J112</f>
        <v>7388</v>
      </c>
      <c r="K54" s="3">
        <f>+J54*(1+K55)</f>
        <v>7831.0680057388818</v>
      </c>
      <c r="L54" s="3">
        <f t="shared" ref="L54" si="140">+K54*(1+L55)</f>
        <v>8300.707378249479</v>
      </c>
      <c r="M54" s="3">
        <f t="shared" ref="M54" si="141">+L54*(1+M55)</f>
        <v>8798.5116370885444</v>
      </c>
      <c r="N54" s="3">
        <f t="shared" ref="N54" si="142">+M54*(1+N55)</f>
        <v>9326.1698672611437</v>
      </c>
      <c r="O54" s="3">
        <f t="shared" ref="O54" si="143">+N54*(1+O55)</f>
        <v>9885.4724504053556</v>
      </c>
    </row>
    <row r="55" spans="1:16" x14ac:dyDescent="0.3">
      <c r="A55" s="58" t="s">
        <v>129</v>
      </c>
      <c r="B55" s="53"/>
      <c r="C55" s="46">
        <f>+IFERROR(C54/B54-1,"nm")</f>
        <v>0.15780403741999005</v>
      </c>
      <c r="D55" s="54">
        <f t="shared" ref="D55:I55" si="144">+IFERROR(D54/C54-1,"nm")</f>
        <v>7.2294280246651077E-2</v>
      </c>
      <c r="E55" s="54">
        <f t="shared" si="144"/>
        <v>2.9545905215149659E-2</v>
      </c>
      <c r="F55" s="54">
        <f t="shared" si="144"/>
        <v>0.1315485362095532</v>
      </c>
      <c r="G55" s="54">
        <f t="shared" si="144"/>
        <v>7.1148936170212673E-2</v>
      </c>
      <c r="H55" s="54">
        <f t="shared" si="144"/>
        <v>-6.3721595423486432E-2</v>
      </c>
      <c r="I55" s="54">
        <f t="shared" si="144"/>
        <v>0.18295994568907004</v>
      </c>
      <c r="J55" s="54">
        <f>+IFERROR(J54/I54-1,"nm")</f>
        <v>5.9971305595408975E-2</v>
      </c>
      <c r="K55" s="46">
        <f>K56+K57</f>
        <v>5.9971305595408898E-2</v>
      </c>
      <c r="L55" s="46">
        <f t="shared" ref="L55:O55" si="145">+K55</f>
        <v>5.9971305595408898E-2</v>
      </c>
      <c r="M55" s="46">
        <f t="shared" si="145"/>
        <v>5.9971305595408898E-2</v>
      </c>
      <c r="N55" s="46">
        <f t="shared" si="145"/>
        <v>5.9971305595408898E-2</v>
      </c>
      <c r="O55" s="46">
        <f t="shared" si="145"/>
        <v>5.9971305595408898E-2</v>
      </c>
    </row>
    <row r="56" spans="1:16" x14ac:dyDescent="0.3">
      <c r="A56" s="58" t="s">
        <v>137</v>
      </c>
      <c r="B56" s="53"/>
      <c r="C56" s="46">
        <f>(C54-B54)/B54</f>
        <v>0.15780403741999016</v>
      </c>
      <c r="D56" s="46">
        <f t="shared" ref="D56:J56" si="146">(D54-C54)/C54</f>
        <v>7.2294280246651077E-2</v>
      </c>
      <c r="E56" s="46">
        <f t="shared" si="146"/>
        <v>2.9545905215149711E-2</v>
      </c>
      <c r="F56" s="46">
        <f t="shared" si="146"/>
        <v>0.13154853620955315</v>
      </c>
      <c r="G56" s="46">
        <f t="shared" si="146"/>
        <v>7.114893617021277E-2</v>
      </c>
      <c r="H56" s="46">
        <f t="shared" si="146"/>
        <v>-6.3721595423486418E-2</v>
      </c>
      <c r="I56" s="46">
        <f t="shared" si="146"/>
        <v>0.18295994568906992</v>
      </c>
      <c r="J56" s="46">
        <f t="shared" si="146"/>
        <v>5.9971305595408898E-2</v>
      </c>
      <c r="K56" s="48">
        <f>+J56</f>
        <v>5.9971305595408898E-2</v>
      </c>
      <c r="L56" s="48">
        <f t="shared" ref="L56:L57" si="147">+K56</f>
        <v>5.9971305595408898E-2</v>
      </c>
      <c r="M56" s="48">
        <f t="shared" ref="M56:M57" si="148">+L56</f>
        <v>5.9971305595408898E-2</v>
      </c>
      <c r="N56" s="48">
        <f t="shared" ref="N56:N57" si="149">+M56</f>
        <v>5.9971305595408898E-2</v>
      </c>
      <c r="O56" s="48">
        <f t="shared" ref="O56:O57" si="150">+N56</f>
        <v>5.9971305595408898E-2</v>
      </c>
    </row>
    <row r="57" spans="1:16" x14ac:dyDescent="0.3">
      <c r="A57" s="58" t="s">
        <v>138</v>
      </c>
      <c r="B57" s="53"/>
      <c r="C57" s="54">
        <f t="shared" ref="C57:I57" si="151">+IFERROR(C55-C56,"nm")</f>
        <v>-1.1102230246251565E-16</v>
      </c>
      <c r="D57" s="54">
        <f t="shared" si="151"/>
        <v>0</v>
      </c>
      <c r="E57" s="54">
        <f>+IFERROR(E55-E56,"nm")</f>
        <v>-5.2041704279304213E-17</v>
      </c>
      <c r="F57" s="54">
        <f t="shared" si="151"/>
        <v>5.5511151231257827E-17</v>
      </c>
      <c r="G57" s="54">
        <f t="shared" si="151"/>
        <v>-9.7144514654701197E-17</v>
      </c>
      <c r="H57" s="54">
        <f t="shared" si="151"/>
        <v>-1.3877787807814457E-17</v>
      </c>
      <c r="I57" s="54">
        <f t="shared" si="151"/>
        <v>1.1102230246251565E-16</v>
      </c>
      <c r="J57" s="54">
        <f>+IFERROR(J55-J56,"nm")</f>
        <v>7.6327832942979512E-17</v>
      </c>
      <c r="K57" s="48">
        <v>0</v>
      </c>
      <c r="L57" s="48">
        <f t="shared" si="147"/>
        <v>0</v>
      </c>
      <c r="M57" s="48">
        <f t="shared" si="148"/>
        <v>0</v>
      </c>
      <c r="N57" s="48">
        <f t="shared" si="149"/>
        <v>0</v>
      </c>
      <c r="O57" s="48">
        <f t="shared" si="150"/>
        <v>0</v>
      </c>
    </row>
    <row r="58" spans="1:16" x14ac:dyDescent="0.3">
      <c r="A58" s="61" t="s">
        <v>114</v>
      </c>
      <c r="B58" s="52">
        <f>Historicals!B113</f>
        <v>1959</v>
      </c>
      <c r="C58" s="52">
        <f>Historicals!C113</f>
        <v>2051</v>
      </c>
      <c r="D58" s="52">
        <f>Historicals!D113</f>
        <v>2149</v>
      </c>
      <c r="E58" s="52">
        <f>Historicals!E113</f>
        <v>2395</v>
      </c>
      <c r="F58" s="52">
        <f>Historicals!F113</f>
        <v>2940</v>
      </c>
      <c r="G58" s="52">
        <f>Historicals!G113</f>
        <v>3087</v>
      </c>
      <c r="H58" s="52">
        <f>Historicals!H113</f>
        <v>3053</v>
      </c>
      <c r="I58" s="52">
        <f>Historicals!I113</f>
        <v>3996</v>
      </c>
      <c r="J58" s="52">
        <f>Historicals!J113</f>
        <v>4527</v>
      </c>
      <c r="K58" s="3">
        <f>+J58*(1+K59)</f>
        <v>5128.5608108108108</v>
      </c>
      <c r="L58" s="3">
        <f t="shared" ref="L58" si="152">+K58*(1+L59)</f>
        <v>5810.0587563915269</v>
      </c>
      <c r="M58" s="3">
        <f t="shared" ref="M58" si="153">+L58*(1+M59)</f>
        <v>6582.1161136597711</v>
      </c>
      <c r="N58" s="3">
        <f t="shared" ref="N58" si="154">+M58*(1+N59)</f>
        <v>7456.7666783127597</v>
      </c>
      <c r="O58" s="3">
        <f t="shared" ref="O58" si="155">+N58*(1+O59)</f>
        <v>8447.6433315119793</v>
      </c>
    </row>
    <row r="59" spans="1:16" x14ac:dyDescent="0.3">
      <c r="A59" s="58" t="s">
        <v>129</v>
      </c>
      <c r="B59" s="53"/>
      <c r="C59" s="54">
        <f>+IFERROR(C58/B58-1,"nm")</f>
        <v>4.6962736089841695E-2</v>
      </c>
      <c r="D59" s="54">
        <f t="shared" ref="D59:I59" si="156">+IFERROR(D58/C58-1,"nm")</f>
        <v>4.7781569965870352E-2</v>
      </c>
      <c r="E59" s="54">
        <f t="shared" si="156"/>
        <v>0.11447184737087013</v>
      </c>
      <c r="F59" s="54">
        <f t="shared" si="156"/>
        <v>0.22755741127348639</v>
      </c>
      <c r="G59" s="54">
        <f t="shared" si="156"/>
        <v>5.0000000000000044E-2</v>
      </c>
      <c r="H59" s="54">
        <f t="shared" si="156"/>
        <v>-1.1013929381276322E-2</v>
      </c>
      <c r="I59" s="54">
        <f t="shared" si="156"/>
        <v>0.30887651490337364</v>
      </c>
      <c r="J59" s="54">
        <f>+IFERROR(J58/I58-1,"nm")</f>
        <v>0.13288288288288297</v>
      </c>
      <c r="K59" s="46">
        <f>K60+K61</f>
        <v>0.13288288288288289</v>
      </c>
      <c r="L59" s="46">
        <f t="shared" ref="L59:O59" si="157">+K59</f>
        <v>0.13288288288288289</v>
      </c>
      <c r="M59" s="46">
        <f t="shared" si="157"/>
        <v>0.13288288288288289</v>
      </c>
      <c r="N59" s="46">
        <f t="shared" si="157"/>
        <v>0.13288288288288289</v>
      </c>
      <c r="O59" s="46">
        <f t="shared" si="157"/>
        <v>0.13288288288288289</v>
      </c>
    </row>
    <row r="60" spans="1:16" x14ac:dyDescent="0.3">
      <c r="A60" s="58" t="s">
        <v>137</v>
      </c>
      <c r="B60" s="53"/>
      <c r="C60" s="46">
        <f>(C58-B58)/B58</f>
        <v>4.6962736089841757E-2</v>
      </c>
      <c r="D60" s="46">
        <f t="shared" ref="D60:J60" si="158">(D58-C58)/C58</f>
        <v>4.778156996587031E-2</v>
      </c>
      <c r="E60" s="46">
        <f t="shared" si="158"/>
        <v>0.11447184737087017</v>
      </c>
      <c r="F60" s="46">
        <f t="shared" si="158"/>
        <v>0.22755741127348644</v>
      </c>
      <c r="G60" s="46">
        <f t="shared" si="158"/>
        <v>0.05</v>
      </c>
      <c r="H60" s="46">
        <f t="shared" si="158"/>
        <v>-1.101392938127632E-2</v>
      </c>
      <c r="I60" s="46">
        <f t="shared" si="158"/>
        <v>0.30887651490337376</v>
      </c>
      <c r="J60" s="46">
        <f t="shared" si="158"/>
        <v>0.13288288288288289</v>
      </c>
      <c r="K60" s="48">
        <f>+J60</f>
        <v>0.13288288288288289</v>
      </c>
      <c r="L60" s="48">
        <f t="shared" ref="L60:L61" si="159">+K60</f>
        <v>0.13288288288288289</v>
      </c>
      <c r="M60" s="48">
        <f t="shared" ref="M60:M61" si="160">+L60</f>
        <v>0.13288288288288289</v>
      </c>
      <c r="N60" s="48">
        <f t="shared" ref="N60:N61" si="161">+M60</f>
        <v>0.13288288288288289</v>
      </c>
      <c r="O60" s="48">
        <f t="shared" ref="O60:O61" si="162">+N60</f>
        <v>0.13288288288288289</v>
      </c>
    </row>
    <row r="61" spans="1:16" x14ac:dyDescent="0.3">
      <c r="A61" s="58" t="s">
        <v>138</v>
      </c>
      <c r="B61" s="53"/>
      <c r="C61" s="54">
        <f t="shared" ref="C61:I61" si="163">+IFERROR(C59-C60,"nm")</f>
        <v>-6.2450045135165055E-17</v>
      </c>
      <c r="D61" s="54">
        <f t="shared" si="163"/>
        <v>4.163336342344337E-17</v>
      </c>
      <c r="E61" s="54">
        <f>+IFERROR(E59-E60,"nm")</f>
        <v>-4.163336342344337E-17</v>
      </c>
      <c r="F61" s="54">
        <f t="shared" si="163"/>
        <v>-5.5511151231257827E-17</v>
      </c>
      <c r="G61" s="54">
        <f t="shared" si="163"/>
        <v>4.163336342344337E-17</v>
      </c>
      <c r="H61" s="54">
        <f t="shared" si="163"/>
        <v>-1.7347234759768071E-18</v>
      </c>
      <c r="I61" s="54">
        <f t="shared" si="163"/>
        <v>-1.1102230246251565E-16</v>
      </c>
      <c r="J61" s="54">
        <f>+IFERROR(J59-J60,"nm")</f>
        <v>8.3266726846886741E-17</v>
      </c>
      <c r="K61" s="48">
        <v>0</v>
      </c>
      <c r="L61" s="48">
        <f t="shared" si="159"/>
        <v>0</v>
      </c>
      <c r="M61" s="48">
        <f t="shared" si="160"/>
        <v>0</v>
      </c>
      <c r="N61" s="48">
        <f t="shared" si="161"/>
        <v>0</v>
      </c>
      <c r="O61" s="48">
        <f t="shared" si="162"/>
        <v>0</v>
      </c>
    </row>
    <row r="62" spans="1:16" x14ac:dyDescent="0.3">
      <c r="A62" s="61" t="s">
        <v>115</v>
      </c>
      <c r="B62" s="52">
        <f>Historicals!B114</f>
        <v>345</v>
      </c>
      <c r="C62" s="52">
        <f>Historicals!C114</f>
        <v>372</v>
      </c>
      <c r="D62" s="52">
        <f>Historicals!D114</f>
        <v>376</v>
      </c>
      <c r="E62" s="52">
        <f>Historicals!E114</f>
        <v>383</v>
      </c>
      <c r="F62" s="52">
        <f>Historicals!F114</f>
        <v>427</v>
      </c>
      <c r="G62" s="52">
        <f>Historicals!G114</f>
        <v>432</v>
      </c>
      <c r="H62" s="52">
        <f>Historicals!H114</f>
        <v>402</v>
      </c>
      <c r="I62" s="52">
        <f>Historicals!I114</f>
        <v>490</v>
      </c>
      <c r="J62" s="52">
        <f>Historicals!J114</f>
        <v>564</v>
      </c>
      <c r="K62" s="3">
        <f>+J62*(1+K63)</f>
        <v>649.17551020408166</v>
      </c>
      <c r="L62" s="3">
        <f t="shared" ref="L62" si="164">+K62*(1+L63)</f>
        <v>747.21426072469808</v>
      </c>
      <c r="M62" s="3">
        <f t="shared" ref="M62" si="165">+L62*(1+M63)</f>
        <v>860.05886336475453</v>
      </c>
      <c r="N62" s="3">
        <f t="shared" ref="N62" si="166">+M62*(1+N63)</f>
        <v>989.94530395453387</v>
      </c>
      <c r="O62" s="3">
        <f t="shared" ref="O62" si="167">+N62*(1+O63)</f>
        <v>1139.4472478170553</v>
      </c>
    </row>
    <row r="63" spans="1:16" x14ac:dyDescent="0.3">
      <c r="A63" s="58" t="s">
        <v>129</v>
      </c>
      <c r="B63" s="53"/>
      <c r="C63" s="56">
        <f>+IFERROR(C62/B62-1,"nm")</f>
        <v>7.8260869565217384E-2</v>
      </c>
      <c r="D63" s="56">
        <f t="shared" ref="D63:I63" si="168">+IFERROR(D62/C62-1,"nm")</f>
        <v>1.0752688172043001E-2</v>
      </c>
      <c r="E63" s="56">
        <f t="shared" si="168"/>
        <v>1.8617021276595702E-2</v>
      </c>
      <c r="F63" s="56">
        <f t="shared" si="168"/>
        <v>0.11488250652741505</v>
      </c>
      <c r="G63" s="56">
        <f t="shared" si="168"/>
        <v>1.1709601873536313E-2</v>
      </c>
      <c r="H63" s="56">
        <f t="shared" si="168"/>
        <v>-6.944444444444442E-2</v>
      </c>
      <c r="I63" s="56">
        <f t="shared" si="168"/>
        <v>0.21890547263681581</v>
      </c>
      <c r="J63" s="56">
        <f>+IFERROR(J62/I62-1,"nm")</f>
        <v>0.15102040816326534</v>
      </c>
      <c r="K63" s="46">
        <f>+J63</f>
        <v>0.15102040816326534</v>
      </c>
      <c r="L63" s="46">
        <f t="shared" ref="L63:O63" si="169">+K63</f>
        <v>0.15102040816326534</v>
      </c>
      <c r="M63" s="46">
        <f t="shared" si="169"/>
        <v>0.15102040816326534</v>
      </c>
      <c r="N63" s="46">
        <f t="shared" si="169"/>
        <v>0.15102040816326534</v>
      </c>
      <c r="O63" s="46">
        <f t="shared" si="169"/>
        <v>0.15102040816326534</v>
      </c>
    </row>
    <row r="64" spans="1:16" x14ac:dyDescent="0.3">
      <c r="A64" s="58" t="s">
        <v>137</v>
      </c>
      <c r="B64" s="53"/>
      <c r="C64" s="55">
        <f>(C62-B62)/B62</f>
        <v>7.8260869565217397E-2</v>
      </c>
      <c r="D64" s="55">
        <f t="shared" ref="D64:J64" si="170">(D62-C62)/C62</f>
        <v>1.0752688172043012E-2</v>
      </c>
      <c r="E64" s="55">
        <f t="shared" si="170"/>
        <v>1.8617021276595744E-2</v>
      </c>
      <c r="F64" s="55">
        <f t="shared" si="170"/>
        <v>0.11488250652741515</v>
      </c>
      <c r="G64" s="55">
        <f t="shared" si="170"/>
        <v>1.1709601873536301E-2</v>
      </c>
      <c r="H64" s="55">
        <f t="shared" si="170"/>
        <v>-6.9444444444444448E-2</v>
      </c>
      <c r="I64" s="55">
        <f t="shared" si="170"/>
        <v>0.21890547263681592</v>
      </c>
      <c r="J64" s="55">
        <f t="shared" si="170"/>
        <v>0.15102040816326531</v>
      </c>
      <c r="K64" s="48">
        <f>+J64</f>
        <v>0.15102040816326531</v>
      </c>
      <c r="L64" s="48">
        <f t="shared" ref="L64:L65" si="171">+K64</f>
        <v>0.15102040816326531</v>
      </c>
      <c r="M64" s="48">
        <f t="shared" ref="M64:M65" si="172">+L64</f>
        <v>0.15102040816326531</v>
      </c>
      <c r="N64" s="48">
        <f t="shared" ref="N64:N65" si="173">+M64</f>
        <v>0.15102040816326531</v>
      </c>
      <c r="O64" s="48">
        <f t="shared" ref="O64:O65" si="174">+N64</f>
        <v>0.15102040816326531</v>
      </c>
    </row>
    <row r="65" spans="1:15" x14ac:dyDescent="0.3">
      <c r="A65" s="58" t="s">
        <v>138</v>
      </c>
      <c r="B65" s="53"/>
      <c r="C65" s="54">
        <f t="shared" ref="C65:J65" si="175">+IFERROR(C63-C64,"nm")</f>
        <v>-1.3877787807814457E-17</v>
      </c>
      <c r="D65" s="54">
        <f t="shared" si="175"/>
        <v>-1.0408340855860843E-17</v>
      </c>
      <c r="E65" s="54">
        <f t="shared" si="175"/>
        <v>-4.163336342344337E-17</v>
      </c>
      <c r="F65" s="54">
        <f t="shared" si="175"/>
        <v>-9.7144514654701197E-17</v>
      </c>
      <c r="G65" s="54">
        <f t="shared" si="175"/>
        <v>1.214306433183765E-17</v>
      </c>
      <c r="H65" s="54">
        <f t="shared" si="175"/>
        <v>2.7755575615628914E-17</v>
      </c>
      <c r="I65" s="54">
        <f t="shared" si="175"/>
        <v>-1.1102230246251565E-16</v>
      </c>
      <c r="J65" s="54">
        <f t="shared" si="175"/>
        <v>2.7755575615628914E-17</v>
      </c>
      <c r="K65" s="48">
        <v>0</v>
      </c>
      <c r="L65" s="48">
        <f t="shared" si="171"/>
        <v>0</v>
      </c>
      <c r="M65" s="48">
        <f t="shared" si="172"/>
        <v>0</v>
      </c>
      <c r="N65" s="48">
        <f t="shared" si="173"/>
        <v>0</v>
      </c>
      <c r="O65" s="48">
        <f t="shared" si="174"/>
        <v>0</v>
      </c>
    </row>
    <row r="66" spans="1:15" x14ac:dyDescent="0.3">
      <c r="A66" s="57" t="s">
        <v>130</v>
      </c>
      <c r="B66" s="52">
        <f t="shared" ref="B66:J66" si="176">B73+B69</f>
        <v>1216</v>
      </c>
      <c r="C66" s="57">
        <f t="shared" si="176"/>
        <v>1611</v>
      </c>
      <c r="D66" s="57">
        <f t="shared" si="176"/>
        <v>1871</v>
      </c>
      <c r="E66" s="57">
        <f t="shared" si="176"/>
        <v>1613</v>
      </c>
      <c r="F66" s="57">
        <f t="shared" si="176"/>
        <v>1703</v>
      </c>
      <c r="G66" s="57">
        <f t="shared" si="176"/>
        <v>2106</v>
      </c>
      <c r="H66" s="57">
        <f t="shared" si="176"/>
        <v>1673</v>
      </c>
      <c r="I66" s="57">
        <f t="shared" si="176"/>
        <v>2571</v>
      </c>
      <c r="J66" s="57">
        <f t="shared" si="176"/>
        <v>3427</v>
      </c>
      <c r="K66" s="47">
        <f>+K52*K68</f>
        <v>3737.2684051434558</v>
      </c>
      <c r="L66" s="47">
        <f t="shared" ref="L66:O66" si="177">+L52*L68</f>
        <v>4080.3188408460833</v>
      </c>
      <c r="M66" s="47">
        <f t="shared" si="177"/>
        <v>4460.0395084995189</v>
      </c>
      <c r="N66" s="47">
        <f t="shared" si="177"/>
        <v>4880.8130537970956</v>
      </c>
      <c r="O66" s="47">
        <f t="shared" si="177"/>
        <v>5347.5818176856919</v>
      </c>
    </row>
    <row r="67" spans="1:15" x14ac:dyDescent="0.3">
      <c r="A67" s="59" t="s">
        <v>129</v>
      </c>
      <c r="B67" s="53"/>
      <c r="C67" s="56">
        <f>+IFERROR(C66/B66-1,"nm")</f>
        <v>0.32483552631578938</v>
      </c>
      <c r="D67" s="56">
        <f>+IFERROR(D66/C66-1,"nm")</f>
        <v>0.16139044072004971</v>
      </c>
      <c r="E67" s="56">
        <f t="shared" ref="E67:J67" si="178">+IFERROR(E66/C66-1,"nm")</f>
        <v>1.2414649286158763E-3</v>
      </c>
      <c r="F67" s="56">
        <f t="shared" si="178"/>
        <v>-8.9791555318011751E-2</v>
      </c>
      <c r="G67" s="56">
        <f t="shared" si="178"/>
        <v>0.30564166150030991</v>
      </c>
      <c r="H67" s="56">
        <f t="shared" si="178"/>
        <v>-1.7615971814445075E-2</v>
      </c>
      <c r="I67" s="56">
        <f t="shared" si="178"/>
        <v>0.22079772079772075</v>
      </c>
      <c r="J67" s="56">
        <f t="shared" si="178"/>
        <v>1.0484160191273162</v>
      </c>
      <c r="K67" s="56">
        <f t="shared" ref="K67" si="179">+IFERROR(K66/I66-1,"nm")</f>
        <v>0.45362442829383731</v>
      </c>
      <c r="L67" s="56">
        <f t="shared" ref="L67" si="180">+IFERROR(L66/J66-1,"nm")</f>
        <v>0.19063870465307353</v>
      </c>
      <c r="M67" s="56">
        <f t="shared" ref="M67" si="181">+IFERROR(M66/K66-1,"nm")</f>
        <v>0.19339555659458174</v>
      </c>
      <c r="N67" s="56">
        <f t="shared" ref="N67" si="182">+IFERROR(N66/L66-1,"nm")</f>
        <v>0.19618423073649405</v>
      </c>
      <c r="O67" s="56">
        <f t="shared" ref="O67" si="183">+IFERROR(O66/M66-1,"nm")</f>
        <v>0.19899875494259178</v>
      </c>
    </row>
    <row r="68" spans="1:15" x14ac:dyDescent="0.3">
      <c r="A68" s="59" t="s">
        <v>131</v>
      </c>
      <c r="B68" s="53"/>
      <c r="C68" s="56">
        <f>+IFERROR(C66/C$52,"nm")</f>
        <v>0.22607353353915241</v>
      </c>
      <c r="D68" s="56">
        <f t="shared" ref="D68:J68" si="184">+IFERROR(D66/D$52,"nm")</f>
        <v>0.24722515856236787</v>
      </c>
      <c r="E68" s="56">
        <f t="shared" si="184"/>
        <v>0.20238393977415309</v>
      </c>
      <c r="F68" s="56">
        <f t="shared" si="184"/>
        <v>0.18426747457260334</v>
      </c>
      <c r="G68" s="56">
        <f t="shared" si="184"/>
        <v>0.21463514064410924</v>
      </c>
      <c r="H68" s="56">
        <f t="shared" si="184"/>
        <v>0.17898791055953783</v>
      </c>
      <c r="I68" s="56">
        <f t="shared" si="184"/>
        <v>0.22442388268156424</v>
      </c>
      <c r="J68" s="56">
        <f t="shared" si="184"/>
        <v>0.27462136389133746</v>
      </c>
      <c r="K68" s="48">
        <f>+J68</f>
        <v>0.27462136389133746</v>
      </c>
      <c r="L68" s="48">
        <f t="shared" ref="L68" si="185">+K68</f>
        <v>0.27462136389133746</v>
      </c>
      <c r="M68" s="48">
        <f t="shared" ref="M68" si="186">+L68</f>
        <v>0.27462136389133746</v>
      </c>
      <c r="N68" s="48">
        <f t="shared" ref="N68" si="187">+M68</f>
        <v>0.27462136389133746</v>
      </c>
      <c r="O68" s="48">
        <f t="shared" ref="O68" si="188">+N68</f>
        <v>0.27462136389133746</v>
      </c>
    </row>
    <row r="69" spans="1:15" x14ac:dyDescent="0.3">
      <c r="A69" s="57" t="s">
        <v>132</v>
      </c>
      <c r="B69" s="52">
        <f>Historicals!B168</f>
        <v>82</v>
      </c>
      <c r="C69" s="52">
        <f>Historicals!C168</f>
        <v>87</v>
      </c>
      <c r="D69" s="52">
        <f>Historicals!D168</f>
        <v>84</v>
      </c>
      <c r="E69" s="52">
        <f>Historicals!E168</f>
        <v>106</v>
      </c>
      <c r="F69" s="52">
        <f>Historicals!F168</f>
        <v>116</v>
      </c>
      <c r="G69" s="52">
        <f>Historicals!G168</f>
        <v>111</v>
      </c>
      <c r="H69" s="52">
        <f>Historicals!H168</f>
        <v>132</v>
      </c>
      <c r="I69" s="52">
        <f>Historicals!I168</f>
        <v>136</v>
      </c>
      <c r="J69" s="52">
        <f>Historicals!J168</f>
        <v>134</v>
      </c>
      <c r="K69" s="47">
        <f>+K72*K79</f>
        <v>146.13188394783282</v>
      </c>
      <c r="L69" s="47">
        <f t="shared" ref="L69:O69" si="189">+L72*L79</f>
        <v>159.54558642351185</v>
      </c>
      <c r="M69" s="47">
        <f t="shared" si="189"/>
        <v>174.39314098013875</v>
      </c>
      <c r="N69" s="47">
        <f t="shared" si="189"/>
        <v>190.84591456341138</v>
      </c>
      <c r="O69" s="47">
        <f t="shared" si="189"/>
        <v>209.09715890571422</v>
      </c>
    </row>
    <row r="70" spans="1:15" x14ac:dyDescent="0.3">
      <c r="A70" s="59" t="s">
        <v>129</v>
      </c>
      <c r="B70" s="53"/>
      <c r="C70" s="56">
        <f>+IFERROR(C69/B69-1,"nm")</f>
        <v>6.0975609756097615E-2</v>
      </c>
      <c r="D70" s="56">
        <f>+IFERROR(D69/C69-1,"nm")</f>
        <v>-3.4482758620689613E-2</v>
      </c>
      <c r="E70" s="56">
        <f t="shared" ref="E70:J70" si="190">+IFERROR(E69/C69-1,"nm")</f>
        <v>0.21839080459770122</v>
      </c>
      <c r="F70" s="56">
        <f t="shared" si="190"/>
        <v>0.38095238095238093</v>
      </c>
      <c r="G70" s="56">
        <f t="shared" si="190"/>
        <v>4.7169811320754818E-2</v>
      </c>
      <c r="H70" s="56">
        <f t="shared" si="190"/>
        <v>0.13793103448275867</v>
      </c>
      <c r="I70" s="56">
        <f t="shared" si="190"/>
        <v>0.22522522522522515</v>
      </c>
      <c r="J70" s="56">
        <f t="shared" si="190"/>
        <v>1.5151515151515138E-2</v>
      </c>
      <c r="K70" s="56">
        <f t="shared" ref="K70" si="191">+IFERROR(K69/I69-1,"nm")</f>
        <v>7.4499146675241379E-2</v>
      </c>
      <c r="L70" s="56">
        <f t="shared" ref="L70" si="192">+IFERROR(L69/J69-1,"nm")</f>
        <v>0.19063870465307353</v>
      </c>
      <c r="M70" s="56">
        <f t="shared" ref="M70" si="193">+IFERROR(M69/K69-1,"nm")</f>
        <v>0.19339555659458152</v>
      </c>
      <c r="N70" s="56">
        <f t="shared" ref="N70" si="194">+IFERROR(N69/L69-1,"nm")</f>
        <v>0.19618423073649427</v>
      </c>
      <c r="O70" s="56">
        <f t="shared" ref="O70" si="195">+IFERROR(O69/M69-1,"nm")</f>
        <v>0.19899875494259156</v>
      </c>
    </row>
    <row r="71" spans="1:15" x14ac:dyDescent="0.3">
      <c r="A71" s="59" t="s">
        <v>133</v>
      </c>
      <c r="B71" s="53"/>
      <c r="C71" s="56">
        <f>+IFERROR(C69/C$45,"nm")</f>
        <v>0.41826923076923078</v>
      </c>
      <c r="D71" s="56">
        <f t="shared" ref="D71:J71" si="196">+IFERROR(D69/D$45,"nm")</f>
        <v>0.34567901234567899</v>
      </c>
      <c r="E71" s="56">
        <f t="shared" si="196"/>
        <v>0.48847926267281105</v>
      </c>
      <c r="F71" s="56">
        <f t="shared" si="196"/>
        <v>0.61375661375661372</v>
      </c>
      <c r="G71" s="56">
        <f t="shared" si="196"/>
        <v>0.9652173913043478</v>
      </c>
      <c r="H71" s="56">
        <f t="shared" si="196"/>
        <v>-6.2857142857142856</v>
      </c>
      <c r="I71" s="56">
        <f t="shared" si="196"/>
        <v>1.3333333333333333</v>
      </c>
      <c r="J71" s="56">
        <f t="shared" si="196"/>
        <v>0.9178082191780822</v>
      </c>
      <c r="K71" s="46">
        <f>+IFERROR(K69/K$21,"nm")</f>
        <v>7.4529590285001774E-3</v>
      </c>
      <c r="L71" s="46">
        <f>+IFERROR(L69/L$21,"nm")</f>
        <v>7.6165686383211362E-3</v>
      </c>
      <c r="M71" s="46">
        <f>+IFERROR(M69/M$21,"nm")</f>
        <v>7.7928224309222307E-3</v>
      </c>
      <c r="N71" s="46">
        <f>+IFERROR(N69/N$21,"nm")</f>
        <v>7.9825024986753812E-3</v>
      </c>
      <c r="O71" s="46">
        <f>+IFERROR(O69/O$21,"nm")</f>
        <v>8.1864411225510223E-3</v>
      </c>
    </row>
    <row r="72" spans="1:15" x14ac:dyDescent="0.3">
      <c r="A72" s="45" t="s">
        <v>142</v>
      </c>
      <c r="C72" s="46">
        <f t="shared" ref="C72:H72" si="197">+IFERROR(C69/C79,"nm")</f>
        <v>0.1746987951807229</v>
      </c>
      <c r="D72" s="46">
        <f t="shared" si="197"/>
        <v>0.13145539906103287</v>
      </c>
      <c r="E72" s="46">
        <f t="shared" si="197"/>
        <v>0.14950634696755993</v>
      </c>
      <c r="F72" s="46">
        <f t="shared" si="197"/>
        <v>0.13663133097762073</v>
      </c>
      <c r="G72" s="46">
        <f t="shared" si="197"/>
        <v>0.11948331539289558</v>
      </c>
      <c r="H72" s="46">
        <f t="shared" si="197"/>
        <v>0.14915254237288136</v>
      </c>
      <c r="I72" s="46">
        <f>+IFERROR(I69/I79,"nm")</f>
        <v>0.1384928716904277</v>
      </c>
      <c r="J72" s="46">
        <f>+IFERROR(J69/J79,"nm")</f>
        <v>0.14565217391304347</v>
      </c>
      <c r="K72" s="48">
        <f>+J72</f>
        <v>0.14565217391304347</v>
      </c>
      <c r="L72" s="48">
        <f t="shared" ref="L72" si="198">+K72</f>
        <v>0.14565217391304347</v>
      </c>
      <c r="M72" s="48">
        <f t="shared" ref="M72" si="199">+L72</f>
        <v>0.14565217391304347</v>
      </c>
      <c r="N72" s="48">
        <f t="shared" ref="N72" si="200">+M72</f>
        <v>0.14565217391304347</v>
      </c>
      <c r="O72" s="48">
        <f t="shared" ref="O72" si="201">+N72</f>
        <v>0.14565217391304347</v>
      </c>
    </row>
    <row r="73" spans="1:15" x14ac:dyDescent="0.3">
      <c r="A73" s="57" t="s">
        <v>134</v>
      </c>
      <c r="B73" s="52">
        <f>Historicals!B135</f>
        <v>1134</v>
      </c>
      <c r="C73" s="52">
        <f>Historicals!C135</f>
        <v>1524</v>
      </c>
      <c r="D73" s="52">
        <f>Historicals!D135</f>
        <v>1787</v>
      </c>
      <c r="E73" s="52">
        <f>Historicals!E135</f>
        <v>1507</v>
      </c>
      <c r="F73" s="52">
        <f>Historicals!F135</f>
        <v>1587</v>
      </c>
      <c r="G73" s="52">
        <f>Historicals!G135</f>
        <v>1995</v>
      </c>
      <c r="H73" s="52">
        <f>Historicals!H135</f>
        <v>1541</v>
      </c>
      <c r="I73" s="52">
        <f>Historicals!I135</f>
        <v>2435</v>
      </c>
      <c r="J73" s="52">
        <f>Historicals!J135</f>
        <v>3293</v>
      </c>
      <c r="K73" s="9">
        <f>+K66-K69</f>
        <v>3591.1365211956231</v>
      </c>
      <c r="L73" s="9">
        <f t="shared" ref="L73:O73" si="202">+L66-L69</f>
        <v>3920.7732544225714</v>
      </c>
      <c r="M73" s="9">
        <f t="shared" si="202"/>
        <v>4285.64636751938</v>
      </c>
      <c r="N73" s="9">
        <f t="shared" si="202"/>
        <v>4689.9671392336841</v>
      </c>
      <c r="O73" s="9">
        <f t="shared" si="202"/>
        <v>5138.4846587799775</v>
      </c>
    </row>
    <row r="74" spans="1:15" x14ac:dyDescent="0.3">
      <c r="A74" s="59" t="s">
        <v>129</v>
      </c>
      <c r="B74" s="53"/>
      <c r="C74" s="56">
        <f>+IFERROR(C73/B73-1,"nm")</f>
        <v>0.34391534391534395</v>
      </c>
      <c r="D74" s="56">
        <f>+IFERROR(D73/C73-1,"nm")</f>
        <v>0.17257217847769035</v>
      </c>
      <c r="E74" s="56">
        <f t="shared" ref="E74:J74" si="203">+IFERROR(E73/C73-1,"nm")</f>
        <v>-1.1154855643044637E-2</v>
      </c>
      <c r="F74" s="56">
        <f t="shared" si="203"/>
        <v>-0.11191941801902627</v>
      </c>
      <c r="G74" s="56">
        <f t="shared" si="203"/>
        <v>0.32382216323822166</v>
      </c>
      <c r="H74" s="56">
        <f t="shared" si="203"/>
        <v>-2.8985507246376829E-2</v>
      </c>
      <c r="I74" s="56">
        <f t="shared" si="203"/>
        <v>0.22055137844611528</v>
      </c>
      <c r="J74" s="56">
        <f t="shared" si="203"/>
        <v>1.136924075275795</v>
      </c>
      <c r="K74" s="56">
        <f t="shared" ref="K74" si="204">+IFERROR(K73/I73-1,"nm")</f>
        <v>0.47479939268814086</v>
      </c>
      <c r="L74" s="56">
        <f t="shared" ref="L74" si="205">+IFERROR(L73/J73-1,"nm")</f>
        <v>0.19063870465307353</v>
      </c>
      <c r="M74" s="56">
        <f t="shared" ref="M74" si="206">+IFERROR(M73/K73-1,"nm")</f>
        <v>0.19339555659458152</v>
      </c>
      <c r="N74" s="56">
        <f t="shared" ref="N74" si="207">+IFERROR(N73/L73-1,"nm")</f>
        <v>0.19618423073649405</v>
      </c>
      <c r="O74" s="56">
        <f t="shared" ref="O74" si="208">+IFERROR(O73/M73-1,"nm")</f>
        <v>0.19899875494259178</v>
      </c>
    </row>
    <row r="75" spans="1:15" x14ac:dyDescent="0.3">
      <c r="A75" s="59" t="s">
        <v>131</v>
      </c>
      <c r="B75" s="53"/>
      <c r="C75" s="56">
        <f t="shared" ref="C75:J75" si="209">+IFERROR(C73/C$52,"nm")</f>
        <v>0.21386472074094864</v>
      </c>
      <c r="D75" s="56">
        <f t="shared" si="209"/>
        <v>0.23612579281183932</v>
      </c>
      <c r="E75" s="56">
        <f t="shared" si="209"/>
        <v>0.1890840652446675</v>
      </c>
      <c r="F75" s="56">
        <f t="shared" si="209"/>
        <v>0.17171607877082881</v>
      </c>
      <c r="G75" s="56">
        <f t="shared" si="209"/>
        <v>0.20332246229107215</v>
      </c>
      <c r="H75" s="56">
        <f t="shared" si="209"/>
        <v>0.16486573232053064</v>
      </c>
      <c r="I75" s="56">
        <f t="shared" si="209"/>
        <v>0.21255237430167598</v>
      </c>
      <c r="J75" s="56">
        <f t="shared" si="209"/>
        <v>0.26388332398429359</v>
      </c>
      <c r="K75" s="46">
        <f>+IFERROR(K73/K$52,nm)</f>
        <v>0.26388332398429365</v>
      </c>
      <c r="L75" s="46">
        <f>+IFERROR(L73/L$21,"nm")</f>
        <v>0.18717433228351871</v>
      </c>
      <c r="M75" s="46">
        <f>+IFERROR(M73/M$21,"nm")</f>
        <v>0.19150570347035004</v>
      </c>
      <c r="N75" s="46">
        <f>+IFERROR(N73/N$21,"nm")</f>
        <v>0.19616702035923902</v>
      </c>
      <c r="O75" s="46">
        <f>+IFERROR(O73/O$21,"nm")</f>
        <v>0.20117873594448149</v>
      </c>
    </row>
    <row r="76" spans="1:15" x14ac:dyDescent="0.3">
      <c r="A76" s="57" t="s">
        <v>135</v>
      </c>
      <c r="B76" s="52"/>
      <c r="C76" s="1">
        <f>C79-B79+C69</f>
        <v>150</v>
      </c>
      <c r="D76" s="1">
        <f t="shared" ref="D76:J76" si="210">D79-C79+D69</f>
        <v>225</v>
      </c>
      <c r="E76" s="1">
        <f t="shared" si="210"/>
        <v>176</v>
      </c>
      <c r="F76" s="1">
        <f t="shared" si="210"/>
        <v>256</v>
      </c>
      <c r="G76" s="1">
        <f t="shared" si="210"/>
        <v>191</v>
      </c>
      <c r="H76" s="1">
        <f t="shared" si="210"/>
        <v>88</v>
      </c>
      <c r="I76" s="1">
        <f t="shared" si="210"/>
        <v>233</v>
      </c>
      <c r="J76" s="1">
        <f t="shared" si="210"/>
        <v>72</v>
      </c>
      <c r="K76" s="47">
        <f>+K52*K78</f>
        <v>78.51862421077584</v>
      </c>
      <c r="L76" s="47">
        <f>+L52*L78</f>
        <v>85.725986735021294</v>
      </c>
      <c r="M76" s="47">
        <f t="shared" ref="M76:O76" si="211">+M52*M78</f>
        <v>93.703777243059619</v>
      </c>
      <c r="N76" s="47">
        <f t="shared" si="211"/>
        <v>102.54407349675834</v>
      </c>
      <c r="O76" s="47">
        <f t="shared" si="211"/>
        <v>112.35071224784646</v>
      </c>
    </row>
    <row r="77" spans="1:15" x14ac:dyDescent="0.3">
      <c r="A77" s="59" t="s">
        <v>129</v>
      </c>
      <c r="B77" s="53"/>
      <c r="C77" s="56" t="str">
        <f>+IFERROR(C76/B76-1,"nm")</f>
        <v>nm</v>
      </c>
      <c r="D77" s="56">
        <f t="shared" ref="D77:J77" si="212">+IFERROR(D76/C76-1,"nm")</f>
        <v>0.5</v>
      </c>
      <c r="E77" s="56">
        <f t="shared" si="212"/>
        <v>-0.21777777777777774</v>
      </c>
      <c r="F77" s="56">
        <f t="shared" si="212"/>
        <v>0.45454545454545459</v>
      </c>
      <c r="G77" s="56">
        <f t="shared" si="212"/>
        <v>-0.25390625</v>
      </c>
      <c r="H77" s="56">
        <f t="shared" si="212"/>
        <v>-0.53926701570680624</v>
      </c>
      <c r="I77" s="56">
        <f t="shared" si="212"/>
        <v>1.6477272727272729</v>
      </c>
      <c r="J77" s="56">
        <f t="shared" si="212"/>
        <v>-0.69098712446351929</v>
      </c>
      <c r="K77" s="46">
        <f>+IFERROR(K76/J76-1,"nm")</f>
        <v>9.0536447371886597E-2</v>
      </c>
      <c r="L77" s="46">
        <f t="shared" ref="L77:O77" si="213">+IFERROR(L75/L$21,"nm")</f>
        <v>8.9355411273179339E-6</v>
      </c>
      <c r="M77" s="46">
        <f t="shared" si="213"/>
        <v>8.5575036567708114E-6</v>
      </c>
      <c r="N77" s="46">
        <f t="shared" si="213"/>
        <v>8.2050681239761886E-6</v>
      </c>
      <c r="O77" s="46">
        <f t="shared" si="213"/>
        <v>7.8764239817403332E-6</v>
      </c>
    </row>
    <row r="78" spans="1:15" x14ac:dyDescent="0.3">
      <c r="A78" s="59" t="s">
        <v>133</v>
      </c>
      <c r="B78" s="53"/>
      <c r="C78" s="56">
        <f>+IFERROR(C76/C$52,"nm")</f>
        <v>2.1049677238282348E-2</v>
      </c>
      <c r="D78" s="56">
        <f t="shared" ref="D78:J78" si="214">+IFERROR(D76/D$52,"nm")</f>
        <v>2.9730443974630021E-2</v>
      </c>
      <c r="E78" s="56">
        <f t="shared" si="214"/>
        <v>2.2082810539523212E-2</v>
      </c>
      <c r="F78" s="56">
        <f t="shared" si="214"/>
        <v>2.7699632114260981E-2</v>
      </c>
      <c r="G78" s="56">
        <f t="shared" si="214"/>
        <v>1.9465960048919689E-2</v>
      </c>
      <c r="H78" s="56">
        <f t="shared" si="214"/>
        <v>9.4147854926714455E-3</v>
      </c>
      <c r="I78" s="56">
        <f t="shared" si="214"/>
        <v>2.0338687150837989E-2</v>
      </c>
      <c r="J78" s="56">
        <f t="shared" si="214"/>
        <v>5.7696930843817613E-3</v>
      </c>
      <c r="K78" s="46">
        <f>+J78</f>
        <v>5.7696930843817613E-3</v>
      </c>
      <c r="L78" s="46">
        <f t="shared" ref="L78:O78" si="215">+K78</f>
        <v>5.7696930843817613E-3</v>
      </c>
      <c r="M78" s="46">
        <f t="shared" si="215"/>
        <v>5.7696930843817613E-3</v>
      </c>
      <c r="N78" s="46">
        <f t="shared" si="215"/>
        <v>5.7696930843817613E-3</v>
      </c>
      <c r="O78" s="46">
        <f t="shared" si="215"/>
        <v>5.7696930843817613E-3</v>
      </c>
    </row>
    <row r="79" spans="1:15" x14ac:dyDescent="0.3">
      <c r="A79" s="9" t="s">
        <v>143</v>
      </c>
      <c r="B79" s="52">
        <f>Historicals!B146</f>
        <v>435</v>
      </c>
      <c r="C79" s="52">
        <f>Historicals!C146</f>
        <v>498</v>
      </c>
      <c r="D79" s="52">
        <f>Historicals!D146</f>
        <v>639</v>
      </c>
      <c r="E79" s="52">
        <f>Historicals!E146</f>
        <v>709</v>
      </c>
      <c r="F79" s="52">
        <f>Historicals!F146</f>
        <v>849</v>
      </c>
      <c r="G79" s="52">
        <f>Historicals!G146</f>
        <v>929</v>
      </c>
      <c r="H79" s="52">
        <f>Historicals!H146</f>
        <v>885</v>
      </c>
      <c r="I79" s="52">
        <f>Historicals!I146</f>
        <v>982</v>
      </c>
      <c r="J79" s="52">
        <f>Historicals!J146</f>
        <v>920</v>
      </c>
      <c r="K79" s="47">
        <f>+K52*K81</f>
        <v>1003.2935315821359</v>
      </c>
      <c r="L79" s="47">
        <f t="shared" ref="L79:O79" si="216">+L52*L81</f>
        <v>1095.3876082808276</v>
      </c>
      <c r="M79" s="47">
        <f t="shared" si="216"/>
        <v>1197.3260425502065</v>
      </c>
      <c r="N79" s="47">
        <f t="shared" si="216"/>
        <v>1310.2853835696901</v>
      </c>
      <c r="O79" s="47">
        <f t="shared" si="216"/>
        <v>1435.5924342780381</v>
      </c>
    </row>
    <row r="80" spans="1:15" x14ac:dyDescent="0.3">
      <c r="A80" s="45" t="s">
        <v>129</v>
      </c>
      <c r="B80" s="53"/>
      <c r="C80" s="56">
        <f>+IFERROR(C79/B79-1,"nm")</f>
        <v>0.14482758620689662</v>
      </c>
      <c r="D80" s="56">
        <f t="shared" ref="D80" si="217">+IFERROR(D79/C79-1,"nm")</f>
        <v>0.2831325301204819</v>
      </c>
      <c r="E80" s="56">
        <f t="shared" ref="E80" si="218">+IFERROR(E79/D79-1,"nm")</f>
        <v>0.10954616588419408</v>
      </c>
      <c r="F80" s="56">
        <f t="shared" ref="F80" si="219">+IFERROR(F79/E79-1,"nm")</f>
        <v>0.19746121297602248</v>
      </c>
      <c r="G80" s="56">
        <f t="shared" ref="G80" si="220">+IFERROR(G79/F79-1,"nm")</f>
        <v>9.4228504122497059E-2</v>
      </c>
      <c r="H80" s="56">
        <f t="shared" ref="H80" si="221">+IFERROR(H79/G79-1,"nm")</f>
        <v>-4.7362755651237931E-2</v>
      </c>
      <c r="I80" s="56">
        <f t="shared" ref="I80" si="222">+IFERROR(I79/H79-1,"nm")</f>
        <v>0.1096045197740112</v>
      </c>
      <c r="J80" s="56">
        <f t="shared" ref="J80" si="223">+IFERROR(J79/I79-1,"nm")</f>
        <v>-6.313645621181263E-2</v>
      </c>
      <c r="K80" s="46">
        <f>+IFERROR(K79/J79-1,"nm")</f>
        <v>9.0536447371886819E-2</v>
      </c>
      <c r="L80" s="46">
        <f t="shared" ref="L80:O80" si="224">+L81+L82</f>
        <v>7.37238560782114E-2</v>
      </c>
      <c r="M80" s="46">
        <f t="shared" si="224"/>
        <v>7.37238560782114E-2</v>
      </c>
      <c r="N80" s="46">
        <f t="shared" si="224"/>
        <v>7.37238560782114E-2</v>
      </c>
      <c r="O80" s="46">
        <f t="shared" si="224"/>
        <v>7.37238560782114E-2</v>
      </c>
    </row>
    <row r="81" spans="1:15" x14ac:dyDescent="0.3">
      <c r="A81" s="45" t="s">
        <v>133</v>
      </c>
      <c r="B81" s="53"/>
      <c r="C81" s="56">
        <f t="shared" ref="C81:J81" si="225">+IFERROR(C79/C$52,"nm")</f>
        <v>6.9884928431097393E-2</v>
      </c>
      <c r="D81" s="56">
        <f t="shared" si="225"/>
        <v>8.4434460887949259E-2</v>
      </c>
      <c r="E81" s="56">
        <f t="shared" si="225"/>
        <v>8.8958594730238399E-2</v>
      </c>
      <c r="F81" s="56">
        <f t="shared" si="225"/>
        <v>9.1863233066435832E-2</v>
      </c>
      <c r="G81" s="56">
        <f t="shared" si="225"/>
        <v>9.4679983693436609E-2</v>
      </c>
      <c r="H81" s="56">
        <f t="shared" si="225"/>
        <v>9.4682785920616241E-2</v>
      </c>
      <c r="I81" s="56">
        <f t="shared" si="225"/>
        <v>8.5719273743016758E-2</v>
      </c>
      <c r="J81" s="56">
        <f t="shared" si="225"/>
        <v>7.37238560782114E-2</v>
      </c>
      <c r="K81" s="48">
        <f>+J81</f>
        <v>7.37238560782114E-2</v>
      </c>
      <c r="L81" s="48">
        <f t="shared" ref="L81" si="226">+K81</f>
        <v>7.37238560782114E-2</v>
      </c>
      <c r="M81" s="48">
        <f t="shared" ref="M81" si="227">+L81</f>
        <v>7.37238560782114E-2</v>
      </c>
      <c r="N81" s="48">
        <f t="shared" ref="N81" si="228">+M81</f>
        <v>7.37238560782114E-2</v>
      </c>
      <c r="O81" s="48">
        <f t="shared" ref="O81" si="229">+N81</f>
        <v>7.37238560782114E-2</v>
      </c>
    </row>
    <row r="82" spans="1:15" x14ac:dyDescent="0.3">
      <c r="A82" s="43" t="str">
        <f>+Historicals!A169</f>
        <v>Greater China</v>
      </c>
      <c r="B82" s="43"/>
      <c r="C82" s="43"/>
      <c r="D82" s="43"/>
      <c r="E82" s="43"/>
      <c r="F82" s="43"/>
      <c r="G82" s="43"/>
      <c r="H82" s="43"/>
      <c r="I82" s="43"/>
      <c r="J82" s="43"/>
      <c r="K82" s="39"/>
      <c r="L82" s="39"/>
      <c r="M82" s="39"/>
      <c r="N82" s="39"/>
      <c r="O82" s="39"/>
    </row>
    <row r="83" spans="1:15" x14ac:dyDescent="0.3">
      <c r="A83" s="9" t="s">
        <v>136</v>
      </c>
      <c r="B83" s="1">
        <f>B85+B89+B93</f>
        <v>2602</v>
      </c>
      <c r="C83" s="9">
        <f>C85+C89+C93</f>
        <v>3067</v>
      </c>
      <c r="D83" s="9">
        <f>D85+D89+D93</f>
        <v>3785</v>
      </c>
      <c r="E83" s="9">
        <f t="shared" ref="E83:I83" si="230">E85+E89+E93</f>
        <v>4237</v>
      </c>
      <c r="F83" s="9">
        <f t="shared" si="230"/>
        <v>5134</v>
      </c>
      <c r="G83" s="9">
        <f t="shared" si="230"/>
        <v>6208</v>
      </c>
      <c r="H83" s="9">
        <f t="shared" si="230"/>
        <v>6679</v>
      </c>
      <c r="I83" s="9">
        <f t="shared" si="230"/>
        <v>8290</v>
      </c>
      <c r="J83" s="9">
        <f>J85+J89+J93</f>
        <v>7547</v>
      </c>
      <c r="K83" s="9">
        <f>+SUM(K85+K89+K93)</f>
        <v>6894.4709669011299</v>
      </c>
      <c r="L83" s="9">
        <f t="shared" ref="L83:O83" si="231">+SUM(L85+L89+L93)</f>
        <v>6318.8844625290221</v>
      </c>
      <c r="M83" s="9">
        <f t="shared" si="231"/>
        <v>5808.9405065773244</v>
      </c>
      <c r="N83" s="9">
        <f t="shared" si="231"/>
        <v>5355.1866880255957</v>
      </c>
      <c r="O83" s="9">
        <f t="shared" si="231"/>
        <v>4949.7032216118332</v>
      </c>
    </row>
    <row r="84" spans="1:15" x14ac:dyDescent="0.3">
      <c r="A84" s="44" t="s">
        <v>129</v>
      </c>
      <c r="C84" s="46">
        <f t="shared" ref="C84:J84" si="232">+IFERROR(C83/B83-1,"nm")</f>
        <v>0.17870868562644127</v>
      </c>
      <c r="D84" s="46">
        <f t="shared" si="232"/>
        <v>0.23410498858819695</v>
      </c>
      <c r="E84" s="46">
        <f t="shared" si="232"/>
        <v>0.11941875825627468</v>
      </c>
      <c r="F84" s="46">
        <f t="shared" si="232"/>
        <v>0.21170639603493036</v>
      </c>
      <c r="G84" s="46">
        <f t="shared" si="232"/>
        <v>0.20919361121932223</v>
      </c>
      <c r="H84" s="46">
        <f t="shared" si="232"/>
        <v>7.5869845360824639E-2</v>
      </c>
      <c r="I84" s="46">
        <f t="shared" si="232"/>
        <v>0.24120377301991325</v>
      </c>
      <c r="J84" s="46">
        <f t="shared" si="232"/>
        <v>-8.9626055488540413E-2</v>
      </c>
      <c r="K84" s="46">
        <f>+J84</f>
        <v>-8.9626055488540413E-2</v>
      </c>
      <c r="L84" s="46">
        <f t="shared" ref="L84:O84" si="233">+K84</f>
        <v>-8.9626055488540413E-2</v>
      </c>
      <c r="M84" s="46">
        <f t="shared" si="233"/>
        <v>-8.9626055488540413E-2</v>
      </c>
      <c r="N84" s="46">
        <f t="shared" si="233"/>
        <v>-8.9626055488540413E-2</v>
      </c>
      <c r="O84" s="46">
        <f t="shared" si="233"/>
        <v>-8.9626055488540413E-2</v>
      </c>
    </row>
    <row r="85" spans="1:15" s="1" customFormat="1" x14ac:dyDescent="0.3">
      <c r="A85" s="60" t="s">
        <v>113</v>
      </c>
      <c r="B85" s="1">
        <f>Historicals!B116</f>
        <v>1600</v>
      </c>
      <c r="C85" s="1">
        <f>Historicals!C116</f>
        <v>2016</v>
      </c>
      <c r="D85" s="1">
        <f>Historicals!D116</f>
        <v>2599</v>
      </c>
      <c r="E85" s="1">
        <f>Historicals!E116</f>
        <v>2920</v>
      </c>
      <c r="F85" s="1">
        <f>Historicals!F116</f>
        <v>3496</v>
      </c>
      <c r="G85" s="1">
        <f>Historicals!G116</f>
        <v>4262</v>
      </c>
      <c r="H85" s="1">
        <f>Historicals!H116</f>
        <v>4635</v>
      </c>
      <c r="I85" s="1">
        <f>Historicals!I116</f>
        <v>5748</v>
      </c>
      <c r="J85" s="1">
        <f>Historicals!J116</f>
        <v>5416</v>
      </c>
      <c r="K85" s="9">
        <f>+J85*(1+K86)</f>
        <v>5103.1760612386915</v>
      </c>
      <c r="L85" s="9">
        <f t="shared" ref="L85" si="234">+K85*(1+L86)</f>
        <v>4808.4205893647795</v>
      </c>
      <c r="M85" s="9">
        <f t="shared" ref="M85" si="235">+L85*(1+M86)</f>
        <v>4530.6899638134382</v>
      </c>
      <c r="N85" s="9">
        <f t="shared" ref="N85" si="236">+M85*(1+N86)</f>
        <v>4269.0008427302682</v>
      </c>
      <c r="O85" s="9">
        <f t="shared" ref="O85" si="237">+N85*(1+O86)</f>
        <v>4022.4266813199606</v>
      </c>
    </row>
    <row r="86" spans="1:15" x14ac:dyDescent="0.3">
      <c r="A86" s="44" t="s">
        <v>129</v>
      </c>
      <c r="C86" s="46">
        <f>+IFERROR(C85/B85-1,"nm")</f>
        <v>0.26</v>
      </c>
      <c r="D86" s="46">
        <f t="shared" ref="D86" si="238">+IFERROR(D85/C85-1,"nm")</f>
        <v>0.28918650793650791</v>
      </c>
      <c r="E86" s="46">
        <f t="shared" ref="E86" si="239">+IFERROR(E85/D85-1,"nm")</f>
        <v>0.12350904193920731</v>
      </c>
      <c r="F86" s="46">
        <f t="shared" ref="F86" si="240">+IFERROR(F85/E85-1,"nm")</f>
        <v>0.19726027397260282</v>
      </c>
      <c r="G86" s="46">
        <f t="shared" ref="G86" si="241">+IFERROR(G85/F85-1,"nm")</f>
        <v>0.21910755148741412</v>
      </c>
      <c r="H86" s="46">
        <f t="shared" ref="H86" si="242">+IFERROR(H85/G85-1,"nm")</f>
        <v>8.7517597372125833E-2</v>
      </c>
      <c r="I86" s="46">
        <f t="shared" ref="I86" si="243">+IFERROR(I85/H85-1,"nm")</f>
        <v>0.24012944983818763</v>
      </c>
      <c r="J86" s="46">
        <f>+IFERROR(J85/I85-1,"nm")</f>
        <v>-5.7759220598469052E-2</v>
      </c>
      <c r="K86" s="46">
        <f>K87+K88</f>
        <v>-5.7759220598469031E-2</v>
      </c>
      <c r="L86" s="46">
        <f t="shared" ref="L86:O86" si="244">L87+L88</f>
        <v>-5.7759220598469031E-2</v>
      </c>
      <c r="M86" s="46">
        <f t="shared" si="244"/>
        <v>-5.7759220598469031E-2</v>
      </c>
      <c r="N86" s="46">
        <f t="shared" si="244"/>
        <v>-5.7759220598469031E-2</v>
      </c>
      <c r="O86" s="46">
        <f t="shared" si="244"/>
        <v>-5.7759220598469031E-2</v>
      </c>
    </row>
    <row r="87" spans="1:15" x14ac:dyDescent="0.3">
      <c r="A87" s="44" t="s">
        <v>137</v>
      </c>
      <c r="C87" s="46">
        <f>(C85-B85)/B85</f>
        <v>0.26</v>
      </c>
      <c r="D87" s="46">
        <f t="shared" ref="D87:J87" si="245">(D85-C85)/C85</f>
        <v>0.28918650793650796</v>
      </c>
      <c r="E87" s="46">
        <f t="shared" si="245"/>
        <v>0.12350904193920739</v>
      </c>
      <c r="F87" s="46">
        <f t="shared" si="245"/>
        <v>0.19726027397260273</v>
      </c>
      <c r="G87" s="46">
        <f t="shared" si="245"/>
        <v>0.21910755148741418</v>
      </c>
      <c r="H87" s="46">
        <f t="shared" si="245"/>
        <v>8.7517597372125763E-2</v>
      </c>
      <c r="I87" s="46">
        <f t="shared" si="245"/>
        <v>0.24012944983818771</v>
      </c>
      <c r="J87" s="46">
        <f t="shared" si="245"/>
        <v>-5.7759220598469031E-2</v>
      </c>
      <c r="K87" s="48">
        <f>J87</f>
        <v>-5.7759220598469031E-2</v>
      </c>
      <c r="L87" s="48">
        <f t="shared" ref="L87:L88" si="246">+K87</f>
        <v>-5.7759220598469031E-2</v>
      </c>
      <c r="M87" s="48">
        <f t="shared" ref="M87:M88" si="247">+L87</f>
        <v>-5.7759220598469031E-2</v>
      </c>
      <c r="N87" s="48">
        <f t="shared" ref="N87:N88" si="248">+M87</f>
        <v>-5.7759220598469031E-2</v>
      </c>
      <c r="O87" s="48">
        <f t="shared" ref="O87:O88" si="249">+N87</f>
        <v>-5.7759220598469031E-2</v>
      </c>
    </row>
    <row r="88" spans="1:15" x14ac:dyDescent="0.3">
      <c r="A88" s="44" t="s">
        <v>138</v>
      </c>
      <c r="C88" s="46">
        <f t="shared" ref="C88:I88" si="250">+IFERROR(C86-C87,"nm")</f>
        <v>0</v>
      </c>
      <c r="D88" s="46">
        <f t="shared" si="250"/>
        <v>-5.5511151231257827E-17</v>
      </c>
      <c r="E88" s="46">
        <f t="shared" si="250"/>
        <v>-8.3266726846886741E-17</v>
      </c>
      <c r="F88" s="46">
        <f t="shared" si="250"/>
        <v>8.3266726846886741E-17</v>
      </c>
      <c r="G88" s="46">
        <f t="shared" si="250"/>
        <v>-5.5511151231257827E-17</v>
      </c>
      <c r="H88" s="46">
        <f t="shared" si="250"/>
        <v>6.9388939039072284E-17</v>
      </c>
      <c r="I88" s="46">
        <f t="shared" si="250"/>
        <v>-8.3266726846886741E-17</v>
      </c>
      <c r="J88" s="46">
        <f>+IFERROR(J86-J87,"nm")</f>
        <v>-2.0816681711721685E-17</v>
      </c>
      <c r="K88" s="48">
        <v>0</v>
      </c>
      <c r="L88" s="48">
        <f t="shared" si="246"/>
        <v>0</v>
      </c>
      <c r="M88" s="48">
        <f t="shared" si="247"/>
        <v>0</v>
      </c>
      <c r="N88" s="48">
        <f t="shared" si="248"/>
        <v>0</v>
      </c>
      <c r="O88" s="48">
        <f t="shared" si="249"/>
        <v>0</v>
      </c>
    </row>
    <row r="89" spans="1:15" s="1" customFormat="1" x14ac:dyDescent="0.3">
      <c r="A89" s="60" t="s">
        <v>114</v>
      </c>
      <c r="B89" s="1">
        <f>Historicals!B117</f>
        <v>876</v>
      </c>
      <c r="C89" s="1">
        <f>Historicals!C117</f>
        <v>925</v>
      </c>
      <c r="D89" s="1">
        <f>Historicals!D117</f>
        <v>1055</v>
      </c>
      <c r="E89" s="1">
        <f>Historicals!E117</f>
        <v>1188</v>
      </c>
      <c r="F89" s="1">
        <f>Historicals!F117</f>
        <v>1508</v>
      </c>
      <c r="G89" s="1">
        <f>Historicals!G117</f>
        <v>1808</v>
      </c>
      <c r="H89" s="1">
        <f>Historicals!H117</f>
        <v>1896</v>
      </c>
      <c r="I89" s="1">
        <f>Historicals!I117</f>
        <v>2347</v>
      </c>
      <c r="J89" s="1">
        <f>Historicals!J117</f>
        <v>1938</v>
      </c>
      <c r="K89" s="9">
        <f>+J89*(1+K90)</f>
        <v>1600.2743928419259</v>
      </c>
      <c r="L89" s="9">
        <f t="shared" ref="L89" si="251">+K89*(1+L90)</f>
        <v>1321.4025450906061</v>
      </c>
      <c r="M89" s="9">
        <f t="shared" ref="M89" si="252">+L89*(1+M90)</f>
        <v>1091.128305234595</v>
      </c>
      <c r="N89" s="9">
        <f t="shared" ref="N89" si="253">+M89*(1+N90)</f>
        <v>900.98281020223487</v>
      </c>
      <c r="O89" s="9">
        <f t="shared" ref="O89" si="254">+N89*(1+O90)</f>
        <v>743.973023507427</v>
      </c>
    </row>
    <row r="90" spans="1:15" x14ac:dyDescent="0.3">
      <c r="A90" s="44" t="s">
        <v>129</v>
      </c>
      <c r="C90" s="46">
        <f>+IFERROR(C89/B89-1,"nm")</f>
        <v>5.5936073059360769E-2</v>
      </c>
      <c r="D90" s="46">
        <f t="shared" ref="D90" si="255">+IFERROR(D89/C89-1,"nm")</f>
        <v>0.14054054054054044</v>
      </c>
      <c r="E90" s="46">
        <f t="shared" ref="E90" si="256">+IFERROR(E89/D89-1,"nm")</f>
        <v>0.12606635071090055</v>
      </c>
      <c r="F90" s="46">
        <f t="shared" ref="F90" si="257">+IFERROR(F89/E89-1,"nm")</f>
        <v>0.26936026936026947</v>
      </c>
      <c r="G90" s="46">
        <f t="shared" ref="G90" si="258">+IFERROR(G89/F89-1,"nm")</f>
        <v>0.19893899204244025</v>
      </c>
      <c r="H90" s="46">
        <f t="shared" ref="H90" si="259">+IFERROR(H89/G89-1,"nm")</f>
        <v>4.8672566371681381E-2</v>
      </c>
      <c r="I90" s="46">
        <f t="shared" ref="I90" si="260">+IFERROR(I89/H89-1,"nm")</f>
        <v>0.2378691983122363</v>
      </c>
      <c r="J90" s="46">
        <f>+IFERROR(J89/I89-1,"nm")</f>
        <v>-0.17426501917341286</v>
      </c>
      <c r="K90" s="46">
        <f>K91+K92</f>
        <v>-0.17426501917341286</v>
      </c>
      <c r="L90" s="46">
        <f t="shared" ref="L90:O90" si="261">L91+L92</f>
        <v>-0.17426501917341286</v>
      </c>
      <c r="M90" s="46">
        <f t="shared" si="261"/>
        <v>-0.17426501917341286</v>
      </c>
      <c r="N90" s="46">
        <f t="shared" si="261"/>
        <v>-0.17426501917341286</v>
      </c>
      <c r="O90" s="46">
        <f t="shared" si="261"/>
        <v>-0.17426501917341286</v>
      </c>
    </row>
    <row r="91" spans="1:15" x14ac:dyDescent="0.3">
      <c r="A91" s="44" t="s">
        <v>137</v>
      </c>
      <c r="C91" s="46">
        <f>(C89-B89)/B89</f>
        <v>5.5936073059360727E-2</v>
      </c>
      <c r="D91" s="46">
        <f t="shared" ref="D91:J91" si="262">(D89-C89)/C89</f>
        <v>0.14054054054054055</v>
      </c>
      <c r="E91" s="46">
        <f t="shared" si="262"/>
        <v>0.12606635071090047</v>
      </c>
      <c r="F91" s="46">
        <f t="shared" si="262"/>
        <v>0.26936026936026936</v>
      </c>
      <c r="G91" s="46">
        <f t="shared" si="262"/>
        <v>0.19893899204244031</v>
      </c>
      <c r="H91" s="46">
        <f t="shared" si="262"/>
        <v>4.8672566371681415E-2</v>
      </c>
      <c r="I91" s="46">
        <f t="shared" si="262"/>
        <v>0.2378691983122363</v>
      </c>
      <c r="J91" s="46">
        <f t="shared" si="262"/>
        <v>-0.17426501917341286</v>
      </c>
      <c r="K91" s="48">
        <f>+J91</f>
        <v>-0.17426501917341286</v>
      </c>
      <c r="L91" s="48">
        <f t="shared" ref="L91:L92" si="263">+K91</f>
        <v>-0.17426501917341286</v>
      </c>
      <c r="M91" s="48">
        <f t="shared" ref="M91:M92" si="264">+L91</f>
        <v>-0.17426501917341286</v>
      </c>
      <c r="N91" s="48">
        <f t="shared" ref="N91:N92" si="265">+M91</f>
        <v>-0.17426501917341286</v>
      </c>
      <c r="O91" s="48">
        <f t="shared" ref="O91:O92" si="266">+N91</f>
        <v>-0.17426501917341286</v>
      </c>
    </row>
    <row r="92" spans="1:15" x14ac:dyDescent="0.3">
      <c r="A92" s="44" t="s">
        <v>138</v>
      </c>
      <c r="C92" s="46">
        <f>+IFERROR(C90-C91,"nm")</f>
        <v>4.163336342344337E-17</v>
      </c>
      <c r="D92" s="46">
        <f t="shared" ref="D92:I92" si="267">+IFERROR(D90-D91,"nm")</f>
        <v>-1.1102230246251565E-16</v>
      </c>
      <c r="E92" s="46">
        <f t="shared" si="267"/>
        <v>8.3266726846886741E-17</v>
      </c>
      <c r="F92" s="46">
        <f t="shared" si="267"/>
        <v>1.1102230246251565E-16</v>
      </c>
      <c r="G92" s="46">
        <f t="shared" si="267"/>
        <v>-5.5511151231257827E-17</v>
      </c>
      <c r="H92" s="46">
        <f t="shared" si="267"/>
        <v>-3.4694469519536142E-17</v>
      </c>
      <c r="I92" s="46">
        <f t="shared" si="267"/>
        <v>0</v>
      </c>
      <c r="J92" s="46">
        <f>+IFERROR(J90-J91,"nm")</f>
        <v>0</v>
      </c>
      <c r="K92" s="48">
        <v>0</v>
      </c>
      <c r="L92" s="48">
        <f t="shared" si="263"/>
        <v>0</v>
      </c>
      <c r="M92" s="48">
        <f t="shared" si="264"/>
        <v>0</v>
      </c>
      <c r="N92" s="48">
        <f t="shared" si="265"/>
        <v>0</v>
      </c>
      <c r="O92" s="48">
        <f t="shared" si="266"/>
        <v>0</v>
      </c>
    </row>
    <row r="93" spans="1:15" s="1" customFormat="1" x14ac:dyDescent="0.3">
      <c r="A93" s="60" t="s">
        <v>115</v>
      </c>
      <c r="B93" s="1">
        <f>Historicals!B118</f>
        <v>126</v>
      </c>
      <c r="C93" s="1">
        <f>Historicals!C118</f>
        <v>126</v>
      </c>
      <c r="D93" s="1">
        <f>Historicals!D118</f>
        <v>131</v>
      </c>
      <c r="E93" s="1">
        <f>Historicals!E118</f>
        <v>129</v>
      </c>
      <c r="F93" s="1">
        <f>Historicals!F118</f>
        <v>130</v>
      </c>
      <c r="G93" s="1">
        <f>Historicals!G118</f>
        <v>138</v>
      </c>
      <c r="H93" s="1">
        <f>Historicals!H118</f>
        <v>148</v>
      </c>
      <c r="I93" s="1">
        <f>Historicals!I118</f>
        <v>195</v>
      </c>
      <c r="J93" s="1">
        <f>Historicals!J118</f>
        <v>193</v>
      </c>
      <c r="K93" s="9">
        <f>+J93*(1+K94)</f>
        <v>191.02051282051283</v>
      </c>
      <c r="L93" s="9">
        <f t="shared" ref="L93" si="268">+K93*(1+L94)</f>
        <v>189.06132807363579</v>
      </c>
      <c r="M93" s="9">
        <f t="shared" ref="M93" si="269">+L93*(1+M94)</f>
        <v>187.12223752929083</v>
      </c>
      <c r="N93" s="9">
        <f t="shared" ref="N93" si="270">+M93*(1+N94)</f>
        <v>185.20303509309298</v>
      </c>
      <c r="O93" s="9">
        <f t="shared" ref="O93" si="271">+N93*(1+O94)</f>
        <v>183.30351678444589</v>
      </c>
    </row>
    <row r="94" spans="1:15" x14ac:dyDescent="0.3">
      <c r="A94" s="44" t="s">
        <v>129</v>
      </c>
      <c r="C94" s="46">
        <f>+IFERROR(C93/B93-1,"nm")</f>
        <v>0</v>
      </c>
      <c r="D94" s="46">
        <f t="shared" ref="D94" si="272">+IFERROR(D93/C93-1,"nm")</f>
        <v>3.9682539682539764E-2</v>
      </c>
      <c r="E94" s="46">
        <f t="shared" ref="E94" si="273">+IFERROR(E93/D93-1,"nm")</f>
        <v>-1.5267175572519109E-2</v>
      </c>
      <c r="F94" s="46">
        <f t="shared" ref="F94" si="274">+IFERROR(F93/E93-1,"nm")</f>
        <v>7.7519379844961378E-3</v>
      </c>
      <c r="G94" s="46">
        <f t="shared" ref="G94" si="275">+IFERROR(G93/F93-1,"nm")</f>
        <v>6.1538461538461542E-2</v>
      </c>
      <c r="H94" s="46">
        <f t="shared" ref="H94" si="276">+IFERROR(H93/G93-1,"nm")</f>
        <v>7.2463768115942129E-2</v>
      </c>
      <c r="I94" s="46">
        <f t="shared" ref="I94" si="277">+IFERROR(I93/H93-1,"nm")</f>
        <v>0.31756756756756754</v>
      </c>
      <c r="J94" s="46">
        <f>+IFERROR(J93/I93-1,"nm")</f>
        <v>-1.025641025641022E-2</v>
      </c>
      <c r="K94" s="46">
        <f>K95+K96</f>
        <v>-1.0256410256410256E-2</v>
      </c>
      <c r="L94" s="46">
        <f t="shared" ref="L94:O94" si="278">L95+L96</f>
        <v>-1.0256410256410256E-2</v>
      </c>
      <c r="M94" s="46">
        <f t="shared" si="278"/>
        <v>-1.0256410256410256E-2</v>
      </c>
      <c r="N94" s="46">
        <f t="shared" si="278"/>
        <v>-1.0256410256410256E-2</v>
      </c>
      <c r="O94" s="46">
        <f t="shared" si="278"/>
        <v>-1.0256410256410256E-2</v>
      </c>
    </row>
    <row r="95" spans="1:15" x14ac:dyDescent="0.3">
      <c r="A95" s="44" t="s">
        <v>137</v>
      </c>
      <c r="C95" s="46">
        <f>(C93-B93)/B93</f>
        <v>0</v>
      </c>
      <c r="D95" s="46">
        <f t="shared" ref="D95:J95" si="279">(D93-C93)/C93</f>
        <v>3.968253968253968E-2</v>
      </c>
      <c r="E95" s="46">
        <f t="shared" si="279"/>
        <v>-1.5267175572519083E-2</v>
      </c>
      <c r="F95" s="46">
        <f t="shared" si="279"/>
        <v>7.7519379844961239E-3</v>
      </c>
      <c r="G95" s="46">
        <f t="shared" si="279"/>
        <v>6.1538461538461542E-2</v>
      </c>
      <c r="H95" s="46">
        <f t="shared" si="279"/>
        <v>7.2463768115942032E-2</v>
      </c>
      <c r="I95" s="46">
        <f t="shared" si="279"/>
        <v>0.31756756756756754</v>
      </c>
      <c r="J95" s="46">
        <f t="shared" si="279"/>
        <v>-1.0256410256410256E-2</v>
      </c>
      <c r="K95" s="48">
        <f>J95</f>
        <v>-1.0256410256410256E-2</v>
      </c>
      <c r="L95" s="48">
        <f t="shared" ref="L95:L96" si="280">+K95</f>
        <v>-1.0256410256410256E-2</v>
      </c>
      <c r="M95" s="48">
        <f t="shared" ref="M95:M96" si="281">+L95</f>
        <v>-1.0256410256410256E-2</v>
      </c>
      <c r="N95" s="48">
        <f t="shared" ref="N95:N96" si="282">+M95</f>
        <v>-1.0256410256410256E-2</v>
      </c>
      <c r="O95" s="48">
        <f t="shared" ref="O95:O96" si="283">+N95</f>
        <v>-1.0256410256410256E-2</v>
      </c>
    </row>
    <row r="96" spans="1:15" x14ac:dyDescent="0.3">
      <c r="A96" s="44" t="s">
        <v>138</v>
      </c>
      <c r="C96" s="46">
        <f t="shared" ref="C96:I96" si="284">+IFERROR(C94-C95,"nm")</f>
        <v>0</v>
      </c>
      <c r="D96" s="46">
        <f t="shared" si="284"/>
        <v>8.3266726846886741E-17</v>
      </c>
      <c r="E96" s="46">
        <f t="shared" si="284"/>
        <v>-2.6020852139652106E-17</v>
      </c>
      <c r="F96" s="46">
        <f t="shared" si="284"/>
        <v>1.3877787807814457E-17</v>
      </c>
      <c r="G96" s="46">
        <f t="shared" si="284"/>
        <v>0</v>
      </c>
      <c r="H96" s="46">
        <f t="shared" si="284"/>
        <v>9.7144514654701197E-17</v>
      </c>
      <c r="I96" s="46">
        <f t="shared" si="284"/>
        <v>0</v>
      </c>
      <c r="J96" s="46">
        <f>+IFERROR(J94-J95,"nm")</f>
        <v>3.6429192995512949E-17</v>
      </c>
      <c r="K96" s="48">
        <v>0</v>
      </c>
      <c r="L96" s="48">
        <f t="shared" si="280"/>
        <v>0</v>
      </c>
      <c r="M96" s="48">
        <f t="shared" si="281"/>
        <v>0</v>
      </c>
      <c r="N96" s="48">
        <f t="shared" si="282"/>
        <v>0</v>
      </c>
      <c r="O96" s="48">
        <f t="shared" si="283"/>
        <v>0</v>
      </c>
    </row>
    <row r="97" spans="1:15" x14ac:dyDescent="0.3">
      <c r="A97" s="9" t="s">
        <v>130</v>
      </c>
      <c r="B97" s="1">
        <f>B100+B104</f>
        <v>854</v>
      </c>
      <c r="C97" s="47">
        <f>+C104+C100</f>
        <v>1039</v>
      </c>
      <c r="D97" s="47">
        <f t="shared" ref="D97:I97" si="285">+D104+D100</f>
        <v>1420</v>
      </c>
      <c r="E97" s="47">
        <f t="shared" si="285"/>
        <v>1561</v>
      </c>
      <c r="F97" s="47">
        <f t="shared" si="285"/>
        <v>1863</v>
      </c>
      <c r="G97" s="47">
        <f t="shared" si="285"/>
        <v>2426</v>
      </c>
      <c r="H97" s="47">
        <f t="shared" si="285"/>
        <v>2534</v>
      </c>
      <c r="I97" s="47">
        <f t="shared" si="285"/>
        <v>3289</v>
      </c>
      <c r="J97" s="47">
        <f>+J104+J100</f>
        <v>2406</v>
      </c>
      <c r="K97" s="47">
        <f>+K83*K99</f>
        <v>2197.9723262705866</v>
      </c>
      <c r="L97" s="47">
        <f t="shared" ref="L97:O97" si="286">+L83*L99</f>
        <v>2014.4740978991422</v>
      </c>
      <c r="M97" s="47">
        <f t="shared" si="286"/>
        <v>1851.9028566085917</v>
      </c>
      <c r="N97" s="47">
        <f t="shared" si="286"/>
        <v>1707.2451532250673</v>
      </c>
      <c r="O97" s="47">
        <f t="shared" si="286"/>
        <v>1577.9761429969617</v>
      </c>
    </row>
    <row r="98" spans="1:15" x14ac:dyDescent="0.3">
      <c r="A98" s="45" t="s">
        <v>129</v>
      </c>
      <c r="C98" s="46">
        <f>+IFERROR(C97/B97-1,"nm")</f>
        <v>0.21662763466042145</v>
      </c>
      <c r="D98" s="46">
        <f t="shared" ref="D98:I98" si="287">+IFERROR(D97/C97-1,"nm")</f>
        <v>0.36669874879692022</v>
      </c>
      <c r="E98" s="46">
        <f t="shared" si="287"/>
        <v>9.9295774647887303E-2</v>
      </c>
      <c r="F98" s="46">
        <f t="shared" si="287"/>
        <v>0.19346572709801402</v>
      </c>
      <c r="G98" s="46">
        <f t="shared" si="287"/>
        <v>0.3022007514761138</v>
      </c>
      <c r="H98" s="46">
        <f t="shared" si="287"/>
        <v>4.4517724649629109E-2</v>
      </c>
      <c r="I98" s="46">
        <f t="shared" si="287"/>
        <v>0.29794790844514596</v>
      </c>
      <c r="J98" s="46">
        <f>+IFERROR(J97/I97-1,"nm")</f>
        <v>-0.26847065977500761</v>
      </c>
      <c r="K98" s="46">
        <f>+IFERROR(K97/J97-1,"nm")</f>
        <v>-8.6462042281551743E-2</v>
      </c>
      <c r="L98" s="46">
        <f t="shared" ref="L98" si="288">+IFERROR(L97/K97-1,"nm")</f>
        <v>-8.3485231446382868E-2</v>
      </c>
      <c r="M98" s="46">
        <f t="shared" ref="M98" si="289">+IFERROR(M97/L97-1,"nm")</f>
        <v>-8.0701579365102249E-2</v>
      </c>
      <c r="N98" s="46">
        <f t="shared" ref="N98" si="290">+IFERROR(N97/M97-1,"nm")</f>
        <v>-7.8113008394207872E-2</v>
      </c>
      <c r="O98" s="46">
        <f t="shared" ref="O98" si="291">+IFERROR(O97/N97-1,"nm")</f>
        <v>-7.5717895572238292E-2</v>
      </c>
    </row>
    <row r="99" spans="1:15" x14ac:dyDescent="0.3">
      <c r="A99" s="45" t="s">
        <v>131</v>
      </c>
      <c r="C99" s="46">
        <f>+IFERROR(C97/C$83,"nm")</f>
        <v>0.33876752526899251</v>
      </c>
      <c r="D99" s="46">
        <f t="shared" ref="D99:J99" si="292">+IFERROR(D97/D$83,"nm")</f>
        <v>0.37516512549537651</v>
      </c>
      <c r="E99" s="46">
        <f t="shared" si="292"/>
        <v>0.36842105263157893</v>
      </c>
      <c r="F99" s="46">
        <f t="shared" si="292"/>
        <v>0.36287495130502534</v>
      </c>
      <c r="G99" s="46">
        <f t="shared" si="292"/>
        <v>0.3907860824742268</v>
      </c>
      <c r="H99" s="46">
        <f t="shared" si="292"/>
        <v>0.37939811349004343</v>
      </c>
      <c r="I99" s="46">
        <f t="shared" si="292"/>
        <v>0.39674306393244874</v>
      </c>
      <c r="J99" s="46">
        <f t="shared" si="292"/>
        <v>0.31880217304889358</v>
      </c>
      <c r="K99" s="48">
        <f>+J99</f>
        <v>0.31880217304889358</v>
      </c>
      <c r="L99" s="48">
        <f t="shared" ref="L99" si="293">+K99</f>
        <v>0.31880217304889358</v>
      </c>
      <c r="M99" s="48">
        <f t="shared" ref="M99" si="294">+L99</f>
        <v>0.31880217304889358</v>
      </c>
      <c r="N99" s="48">
        <f t="shared" ref="N99" si="295">+M99</f>
        <v>0.31880217304889358</v>
      </c>
      <c r="O99" s="48">
        <f t="shared" ref="O99" si="296">+N99</f>
        <v>0.31880217304889358</v>
      </c>
    </row>
    <row r="100" spans="1:15" s="1" customFormat="1" x14ac:dyDescent="0.3">
      <c r="A100" s="9" t="s">
        <v>132</v>
      </c>
      <c r="B100" s="1">
        <f>Historicals!B169</f>
        <v>38</v>
      </c>
      <c r="C100" s="1">
        <f>Historicals!C169</f>
        <v>46</v>
      </c>
      <c r="D100" s="1">
        <f>Historicals!D169</f>
        <v>48</v>
      </c>
      <c r="E100" s="1">
        <f>Historicals!E169</f>
        <v>54</v>
      </c>
      <c r="F100" s="1">
        <f>Historicals!F169</f>
        <v>56</v>
      </c>
      <c r="G100" s="1">
        <f>Historicals!G169</f>
        <v>50</v>
      </c>
      <c r="H100" s="1">
        <f>Historicals!H169</f>
        <v>44</v>
      </c>
      <c r="I100" s="1">
        <f>Historicals!I169</f>
        <v>46</v>
      </c>
      <c r="J100" s="1">
        <f>Historicals!J169</f>
        <v>41</v>
      </c>
      <c r="K100" s="47">
        <f>+K103*K110</f>
        <v>37.455056266456388</v>
      </c>
      <c r="L100" s="47">
        <f t="shared" ref="L100:O100" si="297">+L103*L110</f>
        <v>34.328112225213978</v>
      </c>
      <c r="M100" s="47">
        <f t="shared" si="297"/>
        <v>31.557779352016738</v>
      </c>
      <c r="N100" s="47">
        <f t="shared" si="297"/>
        <v>29.092706268590092</v>
      </c>
      <c r="O100" s="47">
        <f t="shared" si="297"/>
        <v>26.889867773431185</v>
      </c>
    </row>
    <row r="101" spans="1:15" x14ac:dyDescent="0.3">
      <c r="A101" s="45" t="s">
        <v>129</v>
      </c>
      <c r="C101" s="46">
        <f>+IFERROR(C100/B100-1,"nm")</f>
        <v>0.21052631578947367</v>
      </c>
      <c r="D101" s="46">
        <f t="shared" ref="D101" si="298">+IFERROR(D100/C100-1,"nm")</f>
        <v>4.3478260869565188E-2</v>
      </c>
      <c r="E101" s="46">
        <f t="shared" ref="E101" si="299">+IFERROR(E100/D100-1,"nm")</f>
        <v>0.125</v>
      </c>
      <c r="F101" s="46">
        <f t="shared" ref="F101" si="300">+IFERROR(F100/E100-1,"nm")</f>
        <v>3.7037037037036979E-2</v>
      </c>
      <c r="G101" s="46">
        <f t="shared" ref="G101" si="301">+IFERROR(G100/F100-1,"nm")</f>
        <v>-0.1071428571428571</v>
      </c>
      <c r="H101" s="46">
        <f t="shared" ref="H101" si="302">+IFERROR(H100/G100-1,"nm")</f>
        <v>-0.12</v>
      </c>
      <c r="I101" s="46">
        <f t="shared" ref="I101" si="303">+IFERROR(I100/H100-1,"nm")</f>
        <v>4.5454545454545414E-2</v>
      </c>
      <c r="J101" s="46">
        <f>+IFERROR(J100/I100-1,"nm")</f>
        <v>-0.10869565217391308</v>
      </c>
      <c r="K101" s="46">
        <f t="shared" ref="K101" si="304">+IFERROR(K100/J100-1,"nm")</f>
        <v>-8.6462042281551521E-2</v>
      </c>
      <c r="L101" s="46">
        <f t="shared" ref="L101" si="305">+IFERROR(L100/K100-1,"nm")</f>
        <v>-8.3485231446382979E-2</v>
      </c>
      <c r="M101" s="46">
        <f t="shared" ref="M101" si="306">+IFERROR(M100/L100-1,"nm")</f>
        <v>-8.0701579365102138E-2</v>
      </c>
      <c r="N101" s="46">
        <f t="shared" ref="N101" si="307">+IFERROR(N100/M100-1,"nm")</f>
        <v>-7.8113008394207983E-2</v>
      </c>
      <c r="O101" s="46">
        <f t="shared" ref="O101" si="308">+IFERROR(O100/N100-1,"nm")</f>
        <v>-7.5717895572238292E-2</v>
      </c>
    </row>
    <row r="102" spans="1:15" x14ac:dyDescent="0.3">
      <c r="A102" s="45" t="s">
        <v>133</v>
      </c>
      <c r="C102" s="46">
        <f t="shared" ref="C102:O102" si="309">+IFERROR(C100/C$21,"nm")</f>
        <v>3.3478893740902477E-3</v>
      </c>
      <c r="D102" s="46">
        <f t="shared" si="309"/>
        <v>3.251151449471688E-3</v>
      </c>
      <c r="E102" s="46">
        <f t="shared" si="309"/>
        <v>3.5488958990536278E-3</v>
      </c>
      <c r="F102" s="46">
        <f t="shared" si="309"/>
        <v>3.7697744867048132E-3</v>
      </c>
      <c r="G102" s="46">
        <f t="shared" si="309"/>
        <v>3.1442585838259338E-3</v>
      </c>
      <c r="H102" s="46">
        <f t="shared" si="309"/>
        <v>3.0378348522507597E-3</v>
      </c>
      <c r="I102" s="46">
        <f t="shared" si="309"/>
        <v>2.6776878747307759E-3</v>
      </c>
      <c r="J102" s="46">
        <f t="shared" si="309"/>
        <v>2.2339671988230807E-3</v>
      </c>
      <c r="K102" s="46">
        <f t="shared" si="309"/>
        <v>1.9102675762650233E-3</v>
      </c>
      <c r="L102" s="46">
        <f t="shared" si="309"/>
        <v>1.6387944589910768E-3</v>
      </c>
      <c r="M102" s="46">
        <f t="shared" si="309"/>
        <v>1.4101711192442954E-3</v>
      </c>
      <c r="N102" s="46">
        <f t="shared" si="309"/>
        <v>1.216859166273044E-3</v>
      </c>
      <c r="O102" s="46">
        <f t="shared" si="309"/>
        <v>1.0527752766819672E-3</v>
      </c>
    </row>
    <row r="103" spans="1:15" x14ac:dyDescent="0.3">
      <c r="A103" s="45" t="s">
        <v>142</v>
      </c>
      <c r="C103" s="46">
        <f>+IFERROR(C100/C110,"nm")</f>
        <v>0.18110236220472442</v>
      </c>
      <c r="D103" s="46">
        <f t="shared" ref="D103:I103" si="310">+IFERROR(D100/D110,"nm")</f>
        <v>0.20512820512820512</v>
      </c>
      <c r="E103" s="46">
        <f t="shared" si="310"/>
        <v>0.24</v>
      </c>
      <c r="F103" s="46">
        <f t="shared" si="310"/>
        <v>0.21875</v>
      </c>
      <c r="G103" s="46">
        <f t="shared" si="310"/>
        <v>0.2109704641350211</v>
      </c>
      <c r="H103" s="46">
        <f t="shared" si="310"/>
        <v>0.20560747663551401</v>
      </c>
      <c r="I103" s="46">
        <f t="shared" si="310"/>
        <v>0.15972222222222221</v>
      </c>
      <c r="J103" s="46">
        <f>+IFERROR(J100/J110,"nm")</f>
        <v>0.13531353135313531</v>
      </c>
      <c r="K103" s="48">
        <f>+J103</f>
        <v>0.13531353135313531</v>
      </c>
      <c r="L103" s="48">
        <f t="shared" ref="L103" si="311">+K103</f>
        <v>0.13531353135313531</v>
      </c>
      <c r="M103" s="48">
        <f t="shared" ref="M103" si="312">+L103</f>
        <v>0.13531353135313531</v>
      </c>
      <c r="N103" s="48">
        <f t="shared" ref="N103" si="313">+M103</f>
        <v>0.13531353135313531</v>
      </c>
      <c r="O103" s="48">
        <f t="shared" ref="O103" si="314">+N103</f>
        <v>0.13531353135313531</v>
      </c>
    </row>
    <row r="104" spans="1:15" s="1" customFormat="1" x14ac:dyDescent="0.3">
      <c r="A104" s="9" t="s">
        <v>134</v>
      </c>
      <c r="B104" s="1">
        <f>Historicals!B136</f>
        <v>816</v>
      </c>
      <c r="C104" s="1">
        <f>Historicals!C136</f>
        <v>993</v>
      </c>
      <c r="D104" s="1">
        <f>Historicals!D136</f>
        <v>1372</v>
      </c>
      <c r="E104" s="1">
        <f>Historicals!E136</f>
        <v>1507</v>
      </c>
      <c r="F104" s="1">
        <f>Historicals!F136</f>
        <v>1807</v>
      </c>
      <c r="G104" s="1">
        <f>Historicals!G136</f>
        <v>2376</v>
      </c>
      <c r="H104" s="1">
        <f>Historicals!H136</f>
        <v>2490</v>
      </c>
      <c r="I104" s="1">
        <f>Historicals!I136</f>
        <v>3243</v>
      </c>
      <c r="J104" s="1">
        <f>Historicals!J136</f>
        <v>2365</v>
      </c>
      <c r="K104" s="9">
        <f>+K97-K100</f>
        <v>2160.5172700041303</v>
      </c>
      <c r="L104" s="9">
        <f t="shared" ref="L104:O104" si="315">+L97-L100</f>
        <v>1980.1459856739282</v>
      </c>
      <c r="M104" s="9">
        <f t="shared" si="315"/>
        <v>1820.345077256575</v>
      </c>
      <c r="N104" s="9">
        <f t="shared" si="315"/>
        <v>1678.1524469564772</v>
      </c>
      <c r="O104" s="9">
        <f t="shared" si="315"/>
        <v>1551.0862752235305</v>
      </c>
    </row>
    <row r="105" spans="1:15" x14ac:dyDescent="0.3">
      <c r="A105" s="45" t="s">
        <v>129</v>
      </c>
      <c r="C105" s="46">
        <f>+IFERROR(C104/B104-1,"nm")</f>
        <v>0.21691176470588225</v>
      </c>
      <c r="D105" s="46">
        <f t="shared" ref="D105" si="316">+IFERROR(D104/C104-1,"nm")</f>
        <v>0.38167170191339372</v>
      </c>
      <c r="E105" s="46">
        <f t="shared" ref="E105" si="317">+IFERROR(E104/D104-1,"nm")</f>
        <v>9.8396501457725938E-2</v>
      </c>
      <c r="F105" s="46">
        <f t="shared" ref="F105" si="318">+IFERROR(F104/E104-1,"nm")</f>
        <v>0.19907100199071004</v>
      </c>
      <c r="G105" s="46">
        <f t="shared" ref="G105" si="319">+IFERROR(G104/F104-1,"nm")</f>
        <v>0.31488655229662421</v>
      </c>
      <c r="H105" s="46">
        <f t="shared" ref="H105" si="320">+IFERROR(H104/G104-1,"nm")</f>
        <v>4.7979797979798011E-2</v>
      </c>
      <c r="I105" s="46">
        <f t="shared" ref="I105" si="321">+IFERROR(I104/H104-1,"nm")</f>
        <v>0.30240963855421676</v>
      </c>
      <c r="J105" s="46">
        <f>+IFERROR(J104/I104-1,"nm")</f>
        <v>-0.27073697193956214</v>
      </c>
      <c r="K105" s="46">
        <f>+IFERROR(K104/J104-1,"nm")</f>
        <v>-8.6462042281551632E-2</v>
      </c>
      <c r="L105" s="46">
        <f t="shared" ref="L105" si="322">+IFERROR(L104/K104-1,"nm")</f>
        <v>-8.3485231446382868E-2</v>
      </c>
      <c r="M105" s="46">
        <f t="shared" ref="M105" si="323">+IFERROR(M104/L104-1,"nm")</f>
        <v>-8.0701579365102249E-2</v>
      </c>
      <c r="N105" s="46">
        <f t="shared" ref="N105" si="324">+IFERROR(N104/M104-1,"nm")</f>
        <v>-7.8113008394207872E-2</v>
      </c>
      <c r="O105" s="46">
        <f t="shared" ref="O105" si="325">+IFERROR(O104/N104-1,"nm")</f>
        <v>-7.5717895572238292E-2</v>
      </c>
    </row>
    <row r="106" spans="1:15" x14ac:dyDescent="0.3">
      <c r="A106" s="45" t="s">
        <v>131</v>
      </c>
      <c r="C106" s="46">
        <f>+IFERROR(C104/C$83,"nm")</f>
        <v>0.3237691555265732</v>
      </c>
      <c r="D106" s="46">
        <f t="shared" ref="D106:J106" si="326">+IFERROR(D104/D$83,"nm")</f>
        <v>0.36248348745046233</v>
      </c>
      <c r="E106" s="46">
        <f t="shared" si="326"/>
        <v>0.35567618598064671</v>
      </c>
      <c r="F106" s="46">
        <f t="shared" si="326"/>
        <v>0.35196727697701596</v>
      </c>
      <c r="G106" s="46">
        <f t="shared" si="326"/>
        <v>0.38273195876288657</v>
      </c>
      <c r="H106" s="46">
        <f t="shared" si="326"/>
        <v>0.37281030094325496</v>
      </c>
      <c r="I106" s="46">
        <f t="shared" si="326"/>
        <v>0.39119420989143544</v>
      </c>
      <c r="J106" s="46">
        <f t="shared" si="326"/>
        <v>0.31336955081489332</v>
      </c>
      <c r="K106" s="46">
        <f>+IFERROR(K104/K$83,"nm")</f>
        <v>0.31336955081489332</v>
      </c>
      <c r="L106" s="46">
        <f>+IFERROR(L104/L$21,"nm")</f>
        <v>9.45304608661926E-2</v>
      </c>
      <c r="M106" s="46">
        <f>+IFERROR(M104/M$21,"nm")</f>
        <v>8.1342797488116056E-2</v>
      </c>
      <c r="N106" s="46">
        <f>+IFERROR(N104/N$21,"nm")</f>
        <v>7.0191998249652401E-2</v>
      </c>
      <c r="O106" s="46">
        <f>+IFERROR(O104/O$21,"nm")</f>
        <v>6.0727159252508593E-2</v>
      </c>
    </row>
    <row r="107" spans="1:15" s="1" customFormat="1" x14ac:dyDescent="0.3">
      <c r="A107" s="9" t="s">
        <v>135</v>
      </c>
      <c r="C107" s="1">
        <f>C110-B110+C100</f>
        <v>68</v>
      </c>
      <c r="D107" s="1">
        <f t="shared" ref="D107:H107" si="327">D110-C110+D100</f>
        <v>28</v>
      </c>
      <c r="E107" s="1">
        <f t="shared" si="327"/>
        <v>45</v>
      </c>
      <c r="F107" s="1">
        <f t="shared" si="327"/>
        <v>87</v>
      </c>
      <c r="G107" s="1">
        <f t="shared" si="327"/>
        <v>31</v>
      </c>
      <c r="H107" s="1">
        <f t="shared" si="327"/>
        <v>21</v>
      </c>
      <c r="I107" s="1">
        <f>I110-H110+I100</f>
        <v>120</v>
      </c>
      <c r="J107" s="1">
        <f>J110-I110+J100</f>
        <v>56</v>
      </c>
      <c r="K107" s="47">
        <f>+K83*K109</f>
        <v>51.158125632233109</v>
      </c>
      <c r="L107" s="47">
        <f t="shared" ref="L107:O107" si="328">+L83*L109</f>
        <v>46.887177673463</v>
      </c>
      <c r="M107" s="47">
        <f t="shared" si="328"/>
        <v>43.103308383242371</v>
      </c>
      <c r="N107" s="47">
        <f t="shared" si="328"/>
        <v>39.736379293684031</v>
      </c>
      <c r="O107" s="47">
        <f t="shared" si="328"/>
        <v>36.72762427590601</v>
      </c>
    </row>
    <row r="108" spans="1:15" x14ac:dyDescent="0.3">
      <c r="A108" s="45" t="s">
        <v>129</v>
      </c>
      <c r="C108" s="46" t="str">
        <f>+IFERROR(C107/B107-1,"nm")</f>
        <v>nm</v>
      </c>
      <c r="D108" s="46">
        <f t="shared" ref="D108" si="329">+IFERROR(D107/C107-1,"nm")</f>
        <v>-0.58823529411764708</v>
      </c>
      <c r="E108" s="46">
        <f t="shared" ref="E108" si="330">+IFERROR(E107/D107-1,"nm")</f>
        <v>0.60714285714285721</v>
      </c>
      <c r="F108" s="46">
        <f t="shared" ref="F108" si="331">+IFERROR(F107/E107-1,"nm")</f>
        <v>0.93333333333333335</v>
      </c>
      <c r="G108" s="46">
        <f t="shared" ref="G108" si="332">+IFERROR(G107/F107-1,"nm")</f>
        <v>-0.64367816091954022</v>
      </c>
      <c r="H108" s="46">
        <f t="shared" ref="H108" si="333">+IFERROR(H107/G107-1,"nm")</f>
        <v>-0.32258064516129037</v>
      </c>
      <c r="I108" s="46">
        <f t="shared" ref="I108" si="334">+IFERROR(I107/H107-1,"nm")</f>
        <v>4.7142857142857144</v>
      </c>
      <c r="J108" s="46">
        <f>+IFERROR(J107/I107-1,"nm")</f>
        <v>-0.53333333333333333</v>
      </c>
      <c r="K108" s="46">
        <f>+IFERROR(K107/J107-1,"nm")</f>
        <v>-8.6462042281551632E-2</v>
      </c>
      <c r="L108" s="46">
        <f t="shared" ref="L108" si="335">+IFERROR(L107/K107-1,"nm")</f>
        <v>-8.3485231446382757E-2</v>
      </c>
      <c r="M108" s="46">
        <f t="shared" ref="M108" si="336">+IFERROR(M107/L107-1,"nm")</f>
        <v>-8.0701579365102361E-2</v>
      </c>
      <c r="N108" s="46">
        <f t="shared" ref="N108" si="337">+IFERROR(N107/M107-1,"nm")</f>
        <v>-7.8113008394207872E-2</v>
      </c>
      <c r="O108" s="46">
        <f t="shared" ref="O108" si="338">+IFERROR(O107/N107-1,"nm")</f>
        <v>-7.5717895572238292E-2</v>
      </c>
    </row>
    <row r="109" spans="1:15" x14ac:dyDescent="0.3">
      <c r="A109" s="45" t="s">
        <v>133</v>
      </c>
      <c r="C109" s="46">
        <f>+IFERROR(C107/C$83,"nm")</f>
        <v>2.2171503097489404E-2</v>
      </c>
      <c r="D109" s="46">
        <f t="shared" ref="D109:J109" si="339">+IFERROR(D107/D$83,"nm")</f>
        <v>7.397622192866579E-3</v>
      </c>
      <c r="E109" s="46">
        <f t="shared" si="339"/>
        <v>1.062072220911022E-2</v>
      </c>
      <c r="F109" s="46">
        <f t="shared" si="339"/>
        <v>1.6945851188157383E-2</v>
      </c>
      <c r="G109" s="46">
        <f t="shared" si="339"/>
        <v>4.9935567010309274E-3</v>
      </c>
      <c r="H109" s="46">
        <f t="shared" si="339"/>
        <v>3.1441832609672106E-3</v>
      </c>
      <c r="I109" s="46">
        <f t="shared" si="339"/>
        <v>1.4475271411338963E-2</v>
      </c>
      <c r="J109" s="46">
        <f t="shared" si="339"/>
        <v>7.4201669537564598E-3</v>
      </c>
      <c r="K109" s="48">
        <f>+J109</f>
        <v>7.4201669537564598E-3</v>
      </c>
      <c r="L109" s="48">
        <f t="shared" ref="L109" si="340">+K109</f>
        <v>7.4201669537564598E-3</v>
      </c>
      <c r="M109" s="48">
        <f t="shared" ref="M109" si="341">+L109</f>
        <v>7.4201669537564598E-3</v>
      </c>
      <c r="N109" s="48">
        <f t="shared" ref="N109" si="342">+M109</f>
        <v>7.4201669537564598E-3</v>
      </c>
      <c r="O109" s="48">
        <f t="shared" ref="O109" si="343">+N109</f>
        <v>7.4201669537564598E-3</v>
      </c>
    </row>
    <row r="110" spans="1:15" s="1" customFormat="1" x14ac:dyDescent="0.3">
      <c r="A110" s="9" t="s">
        <v>143</v>
      </c>
      <c r="B110" s="1">
        <f>Historicals!B147</f>
        <v>232</v>
      </c>
      <c r="C110" s="1">
        <f>Historicals!C147</f>
        <v>254</v>
      </c>
      <c r="D110" s="1">
        <f>Historicals!D147</f>
        <v>234</v>
      </c>
      <c r="E110" s="1">
        <f>Historicals!E147</f>
        <v>225</v>
      </c>
      <c r="F110" s="1">
        <f>Historicals!F147</f>
        <v>256</v>
      </c>
      <c r="G110" s="1">
        <f>Historicals!G147</f>
        <v>237</v>
      </c>
      <c r="H110" s="1">
        <f>Historicals!H147</f>
        <v>214</v>
      </c>
      <c r="I110" s="1">
        <f>Historicals!I147</f>
        <v>288</v>
      </c>
      <c r="J110" s="1">
        <f>Historicals!J147</f>
        <v>303</v>
      </c>
      <c r="K110" s="47">
        <f>+K83*K112</f>
        <v>276.80200118868987</v>
      </c>
      <c r="L110" s="47">
        <f t="shared" ref="L110:O110" si="344">+L83*L112</f>
        <v>253.69312205463015</v>
      </c>
      <c r="M110" s="47">
        <f t="shared" si="344"/>
        <v>233.21968643075783</v>
      </c>
      <c r="N110" s="47">
        <f t="shared" si="344"/>
        <v>215.00219510689752</v>
      </c>
      <c r="O110" s="47">
        <f t="shared" si="344"/>
        <v>198.72268134999143</v>
      </c>
    </row>
    <row r="111" spans="1:15" x14ac:dyDescent="0.3">
      <c r="A111" s="45" t="s">
        <v>129</v>
      </c>
      <c r="C111" s="46">
        <f>+IFERROR(C110/B110-1,"nm")</f>
        <v>9.4827586206896575E-2</v>
      </c>
      <c r="D111" s="46">
        <f t="shared" ref="D111" si="345">+IFERROR(D110/C110-1,"nm")</f>
        <v>-7.8740157480314932E-2</v>
      </c>
      <c r="E111" s="46">
        <f t="shared" ref="E111" si="346">+IFERROR(E110/D110-1,"nm")</f>
        <v>-3.8461538461538436E-2</v>
      </c>
      <c r="F111" s="46">
        <f t="shared" ref="F111" si="347">+IFERROR(F110/E110-1,"nm")</f>
        <v>0.13777777777777778</v>
      </c>
      <c r="G111" s="46">
        <f t="shared" ref="G111" si="348">+IFERROR(G110/F110-1,"nm")</f>
        <v>-7.421875E-2</v>
      </c>
      <c r="H111" s="46">
        <f t="shared" ref="H111" si="349">+IFERROR(H110/G110-1,"nm")</f>
        <v>-9.7046413502109741E-2</v>
      </c>
      <c r="I111" s="46">
        <f t="shared" ref="I111" si="350">+IFERROR(I110/H110-1,"nm")</f>
        <v>0.34579439252336441</v>
      </c>
      <c r="J111" s="46">
        <f>+IFERROR(J110/I110-1,"nm")</f>
        <v>5.2083333333333259E-2</v>
      </c>
      <c r="K111" s="46">
        <f>+IFERROR(K110/J110-1,"nm")</f>
        <v>-8.6462042281551632E-2</v>
      </c>
      <c r="L111" s="46">
        <f t="shared" ref="L111:O111" si="351">K111</f>
        <v>-8.6462042281551632E-2</v>
      </c>
      <c r="M111" s="46">
        <f t="shared" si="351"/>
        <v>-8.6462042281551632E-2</v>
      </c>
      <c r="N111" s="46">
        <f t="shared" si="351"/>
        <v>-8.6462042281551632E-2</v>
      </c>
      <c r="O111" s="46">
        <f t="shared" si="351"/>
        <v>-8.6462042281551632E-2</v>
      </c>
    </row>
    <row r="112" spans="1:15" x14ac:dyDescent="0.3">
      <c r="A112" s="45" t="s">
        <v>133</v>
      </c>
      <c r="C112" s="46">
        <f>+IFERROR(C110/C$83,"nm")</f>
        <v>8.2817085099445714E-2</v>
      </c>
      <c r="D112" s="46">
        <f t="shared" ref="D112:J112" si="352">+IFERROR(D110/D$83,"nm")</f>
        <v>6.1822985468956405E-2</v>
      </c>
      <c r="E112" s="46">
        <f t="shared" si="352"/>
        <v>5.31036110455511E-2</v>
      </c>
      <c r="F112" s="46">
        <f t="shared" si="352"/>
        <v>4.9863654070899883E-2</v>
      </c>
      <c r="G112" s="46">
        <f t="shared" si="352"/>
        <v>3.817654639175258E-2</v>
      </c>
      <c r="H112" s="46">
        <f t="shared" si="352"/>
        <v>3.2040724659380147E-2</v>
      </c>
      <c r="I112" s="46">
        <f t="shared" si="352"/>
        <v>3.4740651387213509E-2</v>
      </c>
      <c r="J112" s="46">
        <f t="shared" si="352"/>
        <v>4.0148403339075128E-2</v>
      </c>
      <c r="K112" s="48">
        <f>+J112</f>
        <v>4.0148403339075128E-2</v>
      </c>
      <c r="L112" s="48">
        <f t="shared" ref="L112" si="353">+K112</f>
        <v>4.0148403339075128E-2</v>
      </c>
      <c r="M112" s="48">
        <f t="shared" ref="M112" si="354">+L112</f>
        <v>4.0148403339075128E-2</v>
      </c>
      <c r="N112" s="48">
        <f t="shared" ref="N112" si="355">+M112</f>
        <v>4.0148403339075128E-2</v>
      </c>
      <c r="O112" s="48">
        <f t="shared" ref="O112" si="356">+N112</f>
        <v>4.0148403339075128E-2</v>
      </c>
    </row>
    <row r="113" spans="1:15" x14ac:dyDescent="0.3">
      <c r="A113" s="43" t="s">
        <v>106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39"/>
      <c r="L113" s="39"/>
      <c r="M113" s="39"/>
      <c r="N113" s="39"/>
      <c r="O113" s="39"/>
    </row>
    <row r="114" spans="1:15" x14ac:dyDescent="0.3">
      <c r="A114" s="9" t="s">
        <v>136</v>
      </c>
      <c r="B114" s="1">
        <f>B116+B120+B124</f>
        <v>4720</v>
      </c>
      <c r="C114" s="9">
        <f>C116+C120+C124</f>
        <v>4653</v>
      </c>
      <c r="D114" s="9">
        <f>D116+D120+D124</f>
        <v>4317</v>
      </c>
      <c r="E114" s="9">
        <f t="shared" ref="E114:J114" si="357">E116+E120+E124</f>
        <v>4737</v>
      </c>
      <c r="F114" s="9">
        <f t="shared" si="357"/>
        <v>5166</v>
      </c>
      <c r="G114" s="9">
        <f t="shared" si="357"/>
        <v>5254</v>
      </c>
      <c r="H114" s="9">
        <f t="shared" si="357"/>
        <v>5028</v>
      </c>
      <c r="I114" s="9">
        <f t="shared" si="357"/>
        <v>5343</v>
      </c>
      <c r="J114" s="9">
        <f t="shared" si="357"/>
        <v>5955</v>
      </c>
      <c r="K114" s="9">
        <f>+SUM(K116+K120+K124)</f>
        <v>6642.0321878953409</v>
      </c>
      <c r="L114" s="9">
        <f t="shared" ref="L114:O114" si="358">+SUM(L116+L120+L124)</f>
        <v>7414.0530267269323</v>
      </c>
      <c r="M114" s="9">
        <f t="shared" si="358"/>
        <v>8282.4717792191896</v>
      </c>
      <c r="N114" s="9">
        <f t="shared" si="358"/>
        <v>9260.3865247672165</v>
      </c>
      <c r="O114" s="9">
        <f t="shared" si="358"/>
        <v>10362.862811439367</v>
      </c>
    </row>
    <row r="115" spans="1:15" x14ac:dyDescent="0.3">
      <c r="A115" s="44" t="s">
        <v>129</v>
      </c>
      <c r="C115" s="46">
        <f t="shared" ref="C115" si="359">+IFERROR(C114/B114-1,"nm")</f>
        <v>-1.4194915254237328E-2</v>
      </c>
      <c r="D115" s="46">
        <f t="shared" ref="D115" si="360">+IFERROR(D114/C114-1,"nm")</f>
        <v>-7.2211476466795599E-2</v>
      </c>
      <c r="E115" s="46">
        <f t="shared" ref="E115" si="361">+IFERROR(E114/D114-1,"nm")</f>
        <v>9.7289784572619942E-2</v>
      </c>
      <c r="F115" s="46">
        <f t="shared" ref="F115" si="362">+IFERROR(F114/E114-1,"nm")</f>
        <v>9.0563647878403986E-2</v>
      </c>
      <c r="G115" s="46">
        <f t="shared" ref="G115" si="363">+IFERROR(G114/F114-1,"nm")</f>
        <v>1.7034456058846237E-2</v>
      </c>
      <c r="H115" s="46">
        <f t="shared" ref="H115" si="364">+IFERROR(H114/G114-1,"nm")</f>
        <v>-4.3014845831747195E-2</v>
      </c>
      <c r="I115" s="46">
        <f t="shared" ref="I115" si="365">+IFERROR(I114/H114-1,"nm")</f>
        <v>6.2649164677804237E-2</v>
      </c>
      <c r="J115" s="46">
        <f t="shared" ref="J115" si="366">+IFERROR(J114/I114-1,"nm")</f>
        <v>0.11454239191465465</v>
      </c>
      <c r="K115" s="46">
        <f>J115</f>
        <v>0.11454239191465465</v>
      </c>
      <c r="L115" s="46">
        <f t="shared" ref="L115:O115" si="367">K115</f>
        <v>0.11454239191465465</v>
      </c>
      <c r="M115" s="46">
        <f t="shared" si="367"/>
        <v>0.11454239191465465</v>
      </c>
      <c r="N115" s="46">
        <f t="shared" si="367"/>
        <v>0.11454239191465465</v>
      </c>
      <c r="O115" s="46">
        <f t="shared" si="367"/>
        <v>0.11454239191465465</v>
      </c>
    </row>
    <row r="116" spans="1:15" s="1" customFormat="1" x14ac:dyDescent="0.3">
      <c r="A116" s="60" t="s">
        <v>113</v>
      </c>
      <c r="B116" s="1">
        <f>Historicals!B120</f>
        <v>3051</v>
      </c>
      <c r="C116" s="1">
        <f>Historicals!C120</f>
        <v>3093</v>
      </c>
      <c r="D116" s="1">
        <f>Historicals!D120</f>
        <v>2930</v>
      </c>
      <c r="E116" s="1">
        <f>Historicals!E120</f>
        <v>3285</v>
      </c>
      <c r="F116" s="1">
        <f>Historicals!F120</f>
        <v>3575</v>
      </c>
      <c r="G116" s="1">
        <f>Historicals!G120</f>
        <v>3622</v>
      </c>
      <c r="H116" s="1">
        <f>Historicals!H120</f>
        <v>3449</v>
      </c>
      <c r="I116" s="1">
        <f>Historicals!I120</f>
        <v>3659</v>
      </c>
      <c r="J116" s="1">
        <f>Historicals!J120</f>
        <v>4111</v>
      </c>
      <c r="K116" s="9">
        <f>+J116*(1+K117)</f>
        <v>4618.8360207707019</v>
      </c>
      <c r="L116" s="9">
        <f t="shared" ref="L116" si="368">+K116*(1+L117)</f>
        <v>5189.4055428773854</v>
      </c>
      <c r="M116" s="9">
        <f t="shared" ref="M116" si="369">+L116*(1+M117)</f>
        <v>5830.4580996908799</v>
      </c>
      <c r="N116" s="9">
        <f t="shared" ref="N116" si="370">+M116*(1+N117)</f>
        <v>6550.7005323392195</v>
      </c>
      <c r="O116" s="9">
        <f t="shared" ref="O116" si="371">+N116*(1+O117)</f>
        <v>7359.9152469107757</v>
      </c>
    </row>
    <row r="117" spans="1:15" x14ac:dyDescent="0.3">
      <c r="A117" s="44" t="s">
        <v>129</v>
      </c>
      <c r="C117" s="46">
        <f>+IFERROR(C116/B116-1,"nm")</f>
        <v>1.3765978367748177E-2</v>
      </c>
      <c r="D117" s="46">
        <f t="shared" ref="D117" si="372">+IFERROR(D116/C116-1,"nm")</f>
        <v>-5.269964435822827E-2</v>
      </c>
      <c r="E117" s="46">
        <f t="shared" ref="E117" si="373">+IFERROR(E116/D116-1,"nm")</f>
        <v>0.12116040955631391</v>
      </c>
      <c r="F117" s="46">
        <f t="shared" ref="F117" si="374">+IFERROR(F116/E116-1,"nm")</f>
        <v>8.8280060882800715E-2</v>
      </c>
      <c r="G117" s="46">
        <f t="shared" ref="G117" si="375">+IFERROR(G116/F116-1,"nm")</f>
        <v>1.3146853146853044E-2</v>
      </c>
      <c r="H117" s="46">
        <f t="shared" ref="H117" si="376">+IFERROR(H116/G116-1,"nm")</f>
        <v>-4.7763666482606326E-2</v>
      </c>
      <c r="I117" s="46">
        <f t="shared" ref="I117" si="377">+IFERROR(I116/H116-1,"nm")</f>
        <v>6.0887213685126174E-2</v>
      </c>
      <c r="J117" s="46">
        <f>+IFERROR(J116/I116-1,"nm")</f>
        <v>0.12353101940420874</v>
      </c>
      <c r="K117" s="46">
        <f>K118+K119</f>
        <v>0.1235310194042088</v>
      </c>
      <c r="L117" s="46">
        <f t="shared" ref="L117:O117" si="378">+L118+L119</f>
        <v>0.1235310194042088</v>
      </c>
      <c r="M117" s="46">
        <f t="shared" si="378"/>
        <v>0.1235310194042088</v>
      </c>
      <c r="N117" s="46">
        <f t="shared" si="378"/>
        <v>0.1235310194042088</v>
      </c>
      <c r="O117" s="46">
        <f t="shared" si="378"/>
        <v>0.1235310194042088</v>
      </c>
    </row>
    <row r="118" spans="1:15" x14ac:dyDescent="0.3">
      <c r="A118" s="44" t="s">
        <v>137</v>
      </c>
      <c r="C118" s="46">
        <f>(C116-B116)/B116</f>
        <v>1.376597836774828E-2</v>
      </c>
      <c r="D118" s="46">
        <f t="shared" ref="D118" si="379">(D116-C116)/C116</f>
        <v>-5.2699644358228256E-2</v>
      </c>
      <c r="E118" s="46">
        <f t="shared" ref="E118" si="380">(E116-D116)/D116</f>
        <v>0.12116040955631399</v>
      </c>
      <c r="F118" s="46">
        <f t="shared" ref="F118" si="381">(F116-E116)/E116</f>
        <v>8.8280060882800604E-2</v>
      </c>
      <c r="G118" s="46">
        <f t="shared" ref="G118" si="382">(G116-F116)/F116</f>
        <v>1.3146853146853148E-2</v>
      </c>
      <c r="H118" s="46">
        <f t="shared" ref="H118" si="383">(H116-G116)/G116</f>
        <v>-4.7763666482606291E-2</v>
      </c>
      <c r="I118" s="46">
        <f t="shared" ref="I118" si="384">(I116-H116)/H116</f>
        <v>6.0887213685126125E-2</v>
      </c>
      <c r="J118" s="46">
        <f t="shared" ref="J118" si="385">(J116-I116)/I116</f>
        <v>0.1235310194042088</v>
      </c>
      <c r="K118" s="48">
        <f>J118</f>
        <v>0.1235310194042088</v>
      </c>
      <c r="L118" s="48">
        <f t="shared" ref="L118:L119" si="386">+K118</f>
        <v>0.1235310194042088</v>
      </c>
      <c r="M118" s="48">
        <f t="shared" ref="M118:M119" si="387">+L118</f>
        <v>0.1235310194042088</v>
      </c>
      <c r="N118" s="48">
        <f t="shared" ref="N118:N119" si="388">+M118</f>
        <v>0.1235310194042088</v>
      </c>
      <c r="O118" s="48">
        <f t="shared" ref="O118:O119" si="389">+N118</f>
        <v>0.1235310194042088</v>
      </c>
    </row>
    <row r="119" spans="1:15" x14ac:dyDescent="0.3">
      <c r="A119" s="44" t="s">
        <v>138</v>
      </c>
      <c r="C119" s="46">
        <f t="shared" ref="C119:I119" si="390">+IFERROR(C117-C118,"nm")</f>
        <v>-1.0234868508263162E-16</v>
      </c>
      <c r="D119" s="46">
        <f t="shared" si="390"/>
        <v>-1.3877787807814457E-17</v>
      </c>
      <c r="E119" s="46">
        <f t="shared" si="390"/>
        <v>-8.3266726846886741E-17</v>
      </c>
      <c r="F119" s="46">
        <f t="shared" si="390"/>
        <v>1.1102230246251565E-16</v>
      </c>
      <c r="G119" s="46">
        <f t="shared" si="390"/>
        <v>-1.0408340855860843E-16</v>
      </c>
      <c r="H119" s="46">
        <f t="shared" si="390"/>
        <v>-3.4694469519536142E-17</v>
      </c>
      <c r="I119" s="46">
        <f t="shared" si="390"/>
        <v>4.8572257327350599E-17</v>
      </c>
      <c r="J119" s="46">
        <f>+IFERROR(J117-J118,"nm")</f>
        <v>-5.5511151231257827E-17</v>
      </c>
      <c r="K119" s="48">
        <v>0</v>
      </c>
      <c r="L119" s="48">
        <f t="shared" si="386"/>
        <v>0</v>
      </c>
      <c r="M119" s="48">
        <f t="shared" si="387"/>
        <v>0</v>
      </c>
      <c r="N119" s="48">
        <f t="shared" si="388"/>
        <v>0</v>
      </c>
      <c r="O119" s="48">
        <f t="shared" si="389"/>
        <v>0</v>
      </c>
    </row>
    <row r="120" spans="1:15" s="1" customFormat="1" x14ac:dyDescent="0.3">
      <c r="A120" s="60" t="s">
        <v>114</v>
      </c>
      <c r="B120" s="1">
        <f>Historicals!B121</f>
        <v>1337</v>
      </c>
      <c r="C120" s="1">
        <f>Historicals!C121</f>
        <v>1251</v>
      </c>
      <c r="D120" s="1">
        <f>Historicals!D121</f>
        <v>1117</v>
      </c>
      <c r="E120" s="1">
        <f>Historicals!E121</f>
        <v>1185</v>
      </c>
      <c r="F120" s="1">
        <f>Historicals!F121</f>
        <v>1347</v>
      </c>
      <c r="G120" s="1">
        <f>Historicals!G121</f>
        <v>1395</v>
      </c>
      <c r="H120" s="1">
        <f>Historicals!H121</f>
        <v>1365</v>
      </c>
      <c r="I120" s="1">
        <f>Historicals!I121</f>
        <v>1494</v>
      </c>
      <c r="J120" s="1">
        <f>Historicals!J121</f>
        <v>1610</v>
      </c>
      <c r="K120" s="9">
        <f>+J120*(1+K121)</f>
        <v>1735.0066934404285</v>
      </c>
      <c r="L120" s="9">
        <f t="shared" ref="L120" si="391">+K120*(1+L121)</f>
        <v>1869.7193952068876</v>
      </c>
      <c r="M120" s="9">
        <f t="shared" ref="M120" si="392">+L120*(1+M121)</f>
        <v>2014.8917177262981</v>
      </c>
      <c r="N120" s="9">
        <f t="shared" ref="N120" si="393">+M120*(1+N121)</f>
        <v>2171.3357868402545</v>
      </c>
      <c r="O120" s="9">
        <f t="shared" ref="O120" si="394">+N120*(1+O121)</f>
        <v>2339.9267850152678</v>
      </c>
    </row>
    <row r="121" spans="1:15" x14ac:dyDescent="0.3">
      <c r="A121" s="44" t="s">
        <v>129</v>
      </c>
      <c r="C121" s="46">
        <f>+IFERROR(C120/B120-1,"nm")</f>
        <v>-6.4323111443530312E-2</v>
      </c>
      <c r="D121" s="46">
        <f t="shared" ref="D121" si="395">+IFERROR(D120/C120-1,"nm")</f>
        <v>-0.10711430855315751</v>
      </c>
      <c r="E121" s="46">
        <f t="shared" ref="E121" si="396">+IFERROR(E120/D120-1,"nm")</f>
        <v>6.0877350044762801E-2</v>
      </c>
      <c r="F121" s="46">
        <f t="shared" ref="F121" si="397">+IFERROR(F120/E120-1,"nm")</f>
        <v>0.13670886075949373</v>
      </c>
      <c r="G121" s="46">
        <f t="shared" ref="G121" si="398">+IFERROR(G120/F120-1,"nm")</f>
        <v>3.563474387527843E-2</v>
      </c>
      <c r="H121" s="46">
        <f t="shared" ref="H121" si="399">+IFERROR(H120/G120-1,"nm")</f>
        <v>-2.1505376344086002E-2</v>
      </c>
      <c r="I121" s="46">
        <f t="shared" ref="I121" si="400">+IFERROR(I120/H120-1,"nm")</f>
        <v>9.4505494505494614E-2</v>
      </c>
      <c r="J121" s="46">
        <f>+IFERROR(J120/I120-1,"nm")</f>
        <v>7.7643908969210251E-2</v>
      </c>
      <c r="K121" s="46">
        <f>K122+K123</f>
        <v>7.7643908969210168E-2</v>
      </c>
      <c r="L121" s="46">
        <f t="shared" ref="L121:O121" si="401">L122+L123</f>
        <v>7.7643908969210168E-2</v>
      </c>
      <c r="M121" s="46">
        <f t="shared" si="401"/>
        <v>7.7643908969210168E-2</v>
      </c>
      <c r="N121" s="46">
        <f t="shared" si="401"/>
        <v>7.7643908969210168E-2</v>
      </c>
      <c r="O121" s="46">
        <f t="shared" si="401"/>
        <v>7.7643908969210168E-2</v>
      </c>
    </row>
    <row r="122" spans="1:15" x14ac:dyDescent="0.3">
      <c r="A122" s="44" t="s">
        <v>137</v>
      </c>
      <c r="C122" s="46">
        <f>(C120-B120)/B120</f>
        <v>-6.4323111443530298E-2</v>
      </c>
      <c r="D122" s="46">
        <f t="shared" ref="D122" si="402">(D120-C120)/C120</f>
        <v>-0.10711430855315747</v>
      </c>
      <c r="E122" s="46">
        <f t="shared" ref="E122" si="403">(E120-D120)/D120</f>
        <v>6.087735004476276E-2</v>
      </c>
      <c r="F122" s="46">
        <f t="shared" ref="F122" si="404">(F120-E120)/E120</f>
        <v>0.13670886075949368</v>
      </c>
      <c r="G122" s="46">
        <f t="shared" ref="G122" si="405">(G120-F120)/F120</f>
        <v>3.5634743875278395E-2</v>
      </c>
      <c r="H122" s="46">
        <f t="shared" ref="H122" si="406">(H120-G120)/G120</f>
        <v>-2.1505376344086023E-2</v>
      </c>
      <c r="I122" s="46">
        <f t="shared" ref="I122" si="407">(I120-H120)/H120</f>
        <v>9.4505494505494503E-2</v>
      </c>
      <c r="J122" s="46">
        <f t="shared" ref="J122" si="408">(J120-I120)/I120</f>
        <v>7.7643908969210168E-2</v>
      </c>
      <c r="K122" s="48">
        <f>J122</f>
        <v>7.7643908969210168E-2</v>
      </c>
      <c r="L122" s="48">
        <f t="shared" ref="L122:L123" si="409">+K122</f>
        <v>7.7643908969210168E-2</v>
      </c>
      <c r="M122" s="48">
        <f t="shared" ref="M122:M123" si="410">+L122</f>
        <v>7.7643908969210168E-2</v>
      </c>
      <c r="N122" s="48">
        <f t="shared" ref="N122:N123" si="411">+M122</f>
        <v>7.7643908969210168E-2</v>
      </c>
      <c r="O122" s="48">
        <f t="shared" ref="O122:O123" si="412">+N122</f>
        <v>7.7643908969210168E-2</v>
      </c>
    </row>
    <row r="123" spans="1:15" x14ac:dyDescent="0.3">
      <c r="A123" s="44" t="s">
        <v>138</v>
      </c>
      <c r="C123" s="46">
        <f>+IFERROR(C121-C122,"nm")</f>
        <v>-1.3877787807814457E-17</v>
      </c>
      <c r="D123" s="46">
        <f t="shared" ref="D123:I123" si="413">+IFERROR(D121-D122,"nm")</f>
        <v>-4.163336342344337E-17</v>
      </c>
      <c r="E123" s="46">
        <f t="shared" si="413"/>
        <v>4.163336342344337E-17</v>
      </c>
      <c r="F123" s="46">
        <f t="shared" si="413"/>
        <v>5.5511151231257827E-17</v>
      </c>
      <c r="G123" s="46">
        <f t="shared" si="413"/>
        <v>3.4694469519536142E-17</v>
      </c>
      <c r="H123" s="46">
        <f t="shared" si="413"/>
        <v>2.0816681711721685E-17</v>
      </c>
      <c r="I123" s="46">
        <f t="shared" si="413"/>
        <v>1.1102230246251565E-16</v>
      </c>
      <c r="J123" s="46">
        <f>+IFERROR(J121-J122,"nm")</f>
        <v>8.3266726846886741E-17</v>
      </c>
      <c r="K123" s="48">
        <v>0</v>
      </c>
      <c r="L123" s="48">
        <f t="shared" si="409"/>
        <v>0</v>
      </c>
      <c r="M123" s="48">
        <f t="shared" si="410"/>
        <v>0</v>
      </c>
      <c r="N123" s="48">
        <f t="shared" si="411"/>
        <v>0</v>
      </c>
      <c r="O123" s="48">
        <f t="shared" si="412"/>
        <v>0</v>
      </c>
    </row>
    <row r="124" spans="1:15" s="1" customFormat="1" x14ac:dyDescent="0.3">
      <c r="A124" s="60" t="s">
        <v>115</v>
      </c>
      <c r="B124" s="1">
        <f>Historicals!B122</f>
        <v>332</v>
      </c>
      <c r="C124" s="1">
        <f>Historicals!C122</f>
        <v>309</v>
      </c>
      <c r="D124" s="1">
        <f>Historicals!D122</f>
        <v>270</v>
      </c>
      <c r="E124" s="1">
        <f>Historicals!E122</f>
        <v>267</v>
      </c>
      <c r="F124" s="1">
        <f>Historicals!F122</f>
        <v>244</v>
      </c>
      <c r="G124" s="1">
        <f>Historicals!G122</f>
        <v>237</v>
      </c>
      <c r="H124" s="1">
        <f>Historicals!H122</f>
        <v>214</v>
      </c>
      <c r="I124" s="1">
        <f>Historicals!I122</f>
        <v>190</v>
      </c>
      <c r="J124" s="1">
        <f>Historicals!J122</f>
        <v>234</v>
      </c>
      <c r="K124" s="9">
        <f>+J124*(1+K125)</f>
        <v>288.18947368421055</v>
      </c>
      <c r="L124" s="9">
        <f t="shared" ref="L124" si="414">+K124*(1+L125)</f>
        <v>354.9280886426593</v>
      </c>
      <c r="M124" s="9">
        <f t="shared" ref="M124" si="415">+L124*(1+M125)</f>
        <v>437.12196180201198</v>
      </c>
      <c r="N124" s="9">
        <f t="shared" ref="N124" si="416">+M124*(1+N125)</f>
        <v>538.35020558774113</v>
      </c>
      <c r="O124" s="9">
        <f t="shared" ref="O124" si="417">+N124*(1+O125)</f>
        <v>663.0207795133233</v>
      </c>
    </row>
    <row r="125" spans="1:15" x14ac:dyDescent="0.3">
      <c r="A125" s="44" t="s">
        <v>129</v>
      </c>
      <c r="C125" s="46">
        <f>+IFERROR(C124/B124-1,"nm")</f>
        <v>-6.9277108433734913E-2</v>
      </c>
      <c r="D125" s="46">
        <f t="shared" ref="D125" si="418">+IFERROR(D124/C124-1,"nm")</f>
        <v>-0.12621359223300976</v>
      </c>
      <c r="E125" s="46">
        <f t="shared" ref="E125" si="419">+IFERROR(E124/D124-1,"nm")</f>
        <v>-1.1111111111111072E-2</v>
      </c>
      <c r="F125" s="46">
        <f t="shared" ref="F125" si="420">+IFERROR(F124/E124-1,"nm")</f>
        <v>-8.6142322097378266E-2</v>
      </c>
      <c r="G125" s="46">
        <f t="shared" ref="G125" si="421">+IFERROR(G124/F124-1,"nm")</f>
        <v>-2.8688524590163911E-2</v>
      </c>
      <c r="H125" s="46">
        <f t="shared" ref="H125" si="422">+IFERROR(H124/G124-1,"nm")</f>
        <v>-9.7046413502109741E-2</v>
      </c>
      <c r="I125" s="46">
        <f t="shared" ref="I125" si="423">+IFERROR(I124/H124-1,"nm")</f>
        <v>-0.11214953271028039</v>
      </c>
      <c r="J125" s="46">
        <f>+IFERROR(J124/I124-1,"nm")</f>
        <v>0.23157894736842111</v>
      </c>
      <c r="K125" s="46">
        <f>K126+K127</f>
        <v>0.23157894736842105</v>
      </c>
      <c r="L125" s="46">
        <f t="shared" ref="L125:O125" si="424">L126+L127</f>
        <v>0.23157894736842105</v>
      </c>
      <c r="M125" s="46">
        <f t="shared" si="424"/>
        <v>0.23157894736842105</v>
      </c>
      <c r="N125" s="46">
        <f t="shared" si="424"/>
        <v>0.23157894736842105</v>
      </c>
      <c r="O125" s="46">
        <f t="shared" si="424"/>
        <v>0.23157894736842105</v>
      </c>
    </row>
    <row r="126" spans="1:15" x14ac:dyDescent="0.3">
      <c r="A126" s="44" t="s">
        <v>137</v>
      </c>
      <c r="C126" s="46">
        <f>(C124-B124)/B124</f>
        <v>-6.9277108433734941E-2</v>
      </c>
      <c r="D126" s="46">
        <f t="shared" ref="D126" si="425">(D124-C124)/C124</f>
        <v>-0.12621359223300971</v>
      </c>
      <c r="E126" s="46">
        <f t="shared" ref="E126" si="426">(E124-D124)/D124</f>
        <v>-1.1111111111111112E-2</v>
      </c>
      <c r="F126" s="46">
        <f t="shared" ref="F126" si="427">(F124-E124)/E124</f>
        <v>-8.6142322097378279E-2</v>
      </c>
      <c r="G126" s="46">
        <f t="shared" ref="G126" si="428">(G124-F124)/F124</f>
        <v>-2.8688524590163935E-2</v>
      </c>
      <c r="H126" s="46">
        <f t="shared" ref="H126" si="429">(H124-G124)/G124</f>
        <v>-9.7046413502109699E-2</v>
      </c>
      <c r="I126" s="46">
        <f t="shared" ref="I126" si="430">(I124-H124)/H124</f>
        <v>-0.11214953271028037</v>
      </c>
      <c r="J126" s="46">
        <f t="shared" ref="J126" si="431">(J124-I124)/I124</f>
        <v>0.23157894736842105</v>
      </c>
      <c r="K126" s="48">
        <f>J126</f>
        <v>0.23157894736842105</v>
      </c>
      <c r="L126" s="48">
        <f t="shared" ref="L126:L127" si="432">+K126</f>
        <v>0.23157894736842105</v>
      </c>
      <c r="M126" s="48">
        <f t="shared" ref="M126:M127" si="433">+L126</f>
        <v>0.23157894736842105</v>
      </c>
      <c r="N126" s="48">
        <f t="shared" ref="N126:N127" si="434">+M126</f>
        <v>0.23157894736842105</v>
      </c>
      <c r="O126" s="48">
        <f t="shared" ref="O126:O127" si="435">+N126</f>
        <v>0.23157894736842105</v>
      </c>
    </row>
    <row r="127" spans="1:15" x14ac:dyDescent="0.3">
      <c r="A127" s="44" t="s">
        <v>138</v>
      </c>
      <c r="C127" s="46">
        <f t="shared" ref="C127:I127" si="436">+IFERROR(C125-C126,"nm")</f>
        <v>2.7755575615628914E-17</v>
      </c>
      <c r="D127" s="46">
        <f t="shared" si="436"/>
        <v>-5.5511151231257827E-17</v>
      </c>
      <c r="E127" s="46">
        <f t="shared" si="436"/>
        <v>3.9898639947466563E-17</v>
      </c>
      <c r="F127" s="46">
        <f t="shared" si="436"/>
        <v>1.3877787807814457E-17</v>
      </c>
      <c r="G127" s="46">
        <f t="shared" si="436"/>
        <v>2.4286128663675299E-17</v>
      </c>
      <c r="H127" s="46">
        <f t="shared" si="436"/>
        <v>-4.163336342344337E-17</v>
      </c>
      <c r="I127" s="46">
        <f t="shared" si="436"/>
        <v>-1.3877787807814457E-17</v>
      </c>
      <c r="J127" s="46">
        <f>+IFERROR(J125-J126,"nm")</f>
        <v>5.5511151231257827E-17</v>
      </c>
      <c r="K127" s="48">
        <v>0</v>
      </c>
      <c r="L127" s="48">
        <f t="shared" si="432"/>
        <v>0</v>
      </c>
      <c r="M127" s="48">
        <f t="shared" si="433"/>
        <v>0</v>
      </c>
      <c r="N127" s="48">
        <f t="shared" si="434"/>
        <v>0</v>
      </c>
      <c r="O127" s="48">
        <f t="shared" si="435"/>
        <v>0</v>
      </c>
    </row>
    <row r="128" spans="1:15" x14ac:dyDescent="0.3">
      <c r="A128" s="9" t="s">
        <v>130</v>
      </c>
      <c r="B128" s="1">
        <f>B131+B135</f>
        <v>1127</v>
      </c>
      <c r="C128" s="47">
        <f>+C135+C131</f>
        <v>967</v>
      </c>
      <c r="D128" s="47">
        <f t="shared" ref="D128:I128" si="437">+D135+D131</f>
        <v>1045</v>
      </c>
      <c r="E128" s="47">
        <f t="shared" si="437"/>
        <v>1034</v>
      </c>
      <c r="F128" s="47">
        <f t="shared" si="437"/>
        <v>1244</v>
      </c>
      <c r="G128" s="47">
        <f t="shared" si="437"/>
        <v>1376</v>
      </c>
      <c r="H128" s="47">
        <f t="shared" si="437"/>
        <v>1230</v>
      </c>
      <c r="I128" s="47">
        <f t="shared" si="437"/>
        <v>1573</v>
      </c>
      <c r="J128" s="47">
        <f>+J135+J131</f>
        <v>1938</v>
      </c>
      <c r="K128" s="47">
        <f>+K114*K130</f>
        <v>2161.5883090077532</v>
      </c>
      <c r="L128" s="47">
        <f t="shared" ref="L128:O128" si="438">+L114*L130</f>
        <v>2412.8353930809058</v>
      </c>
      <c r="M128" s="47">
        <f t="shared" si="438"/>
        <v>2695.4542918768748</v>
      </c>
      <c r="N128" s="47">
        <f t="shared" si="438"/>
        <v>3013.7076549116482</v>
      </c>
      <c r="O128" s="47">
        <f t="shared" si="438"/>
        <v>3372.4984262921062</v>
      </c>
    </row>
    <row r="129" spans="1:15" x14ac:dyDescent="0.3">
      <c r="A129" s="45" t="s">
        <v>129</v>
      </c>
      <c r="C129" s="46">
        <f>+IFERROR(C128/B128-1,"nm")</f>
        <v>-0.1419698314108252</v>
      </c>
      <c r="D129" s="46">
        <f t="shared" ref="D129" si="439">+IFERROR(D128/C128-1,"nm")</f>
        <v>8.0661840744570945E-2</v>
      </c>
      <c r="E129" s="46">
        <f t="shared" ref="E129" si="440">+IFERROR(E128/D128-1,"nm")</f>
        <v>-1.0526315789473717E-2</v>
      </c>
      <c r="F129" s="46">
        <f t="shared" ref="F129" si="441">+IFERROR(F128/E128-1,"nm")</f>
        <v>0.20309477756286265</v>
      </c>
      <c r="G129" s="46">
        <f t="shared" ref="G129" si="442">+IFERROR(G128/F128-1,"nm")</f>
        <v>0.10610932475884249</v>
      </c>
      <c r="H129" s="46">
        <f t="shared" ref="H129" si="443">+IFERROR(H128/G128-1,"nm")</f>
        <v>-0.10610465116279066</v>
      </c>
      <c r="I129" s="46">
        <f t="shared" ref="I129" si="444">+IFERROR(I128/H128-1,"nm")</f>
        <v>0.27886178861788613</v>
      </c>
      <c r="J129" s="46">
        <f>+IFERROR(J128/I128-1,"nm")</f>
        <v>0.23204068658614108</v>
      </c>
      <c r="K129" s="46">
        <f t="shared" ref="K129" si="445">+IFERROR(K128/J128-1,"nm")</f>
        <v>0.11537064448284484</v>
      </c>
      <c r="L129" s="46">
        <f t="shared" ref="L129" si="446">+IFERROR(L128/K128-1,"nm")</f>
        <v>0.11623262534598178</v>
      </c>
      <c r="M129" s="46">
        <f t="shared" ref="M129" si="447">+IFERROR(M128/L128-1,"nm")</f>
        <v>0.11713144610130155</v>
      </c>
      <c r="N129" s="46">
        <f t="shared" ref="N129" si="448">+IFERROR(N128/M128-1,"nm")</f>
        <v>0.11807039874275516</v>
      </c>
      <c r="O129" s="46">
        <f t="shared" ref="O129" si="449">+IFERROR(O128/N128-1,"nm")</f>
        <v>0.11905294489852447</v>
      </c>
    </row>
    <row r="130" spans="1:15" x14ac:dyDescent="0.3">
      <c r="A130" s="45" t="s">
        <v>131</v>
      </c>
      <c r="C130" s="46">
        <f>+IFERROR(C128/C$114,"nm")</f>
        <v>0.20782290995056951</v>
      </c>
      <c r="D130" s="46">
        <f t="shared" ref="D130:J130" si="450">+IFERROR(D128/D$114,"nm")</f>
        <v>0.24206624971044707</v>
      </c>
      <c r="E130" s="46">
        <f t="shared" si="450"/>
        <v>0.21828161283512773</v>
      </c>
      <c r="F130" s="46">
        <f t="shared" si="450"/>
        <v>0.2408052651955091</v>
      </c>
      <c r="G130" s="46">
        <f t="shared" si="450"/>
        <v>0.26189569851541683</v>
      </c>
      <c r="H130" s="46">
        <f t="shared" si="450"/>
        <v>0.24463007159904535</v>
      </c>
      <c r="I130" s="46">
        <f t="shared" si="450"/>
        <v>0.2944038929440389</v>
      </c>
      <c r="J130" s="46">
        <f t="shared" si="450"/>
        <v>0.32544080604534004</v>
      </c>
      <c r="K130" s="48">
        <f>+J130</f>
        <v>0.32544080604534004</v>
      </c>
      <c r="L130" s="48">
        <f t="shared" ref="L130" si="451">+K130</f>
        <v>0.32544080604534004</v>
      </c>
      <c r="M130" s="48">
        <f t="shared" ref="M130" si="452">+L130</f>
        <v>0.32544080604534004</v>
      </c>
      <c r="N130" s="48">
        <f t="shared" ref="N130" si="453">+M130</f>
        <v>0.32544080604534004</v>
      </c>
      <c r="O130" s="48">
        <f t="shared" ref="O130" si="454">+N130</f>
        <v>0.32544080604534004</v>
      </c>
    </row>
    <row r="131" spans="1:15" s="1" customFormat="1" x14ac:dyDescent="0.3">
      <c r="A131" s="9" t="s">
        <v>132</v>
      </c>
      <c r="B131" s="1">
        <f>Historicals!B170</f>
        <v>44</v>
      </c>
      <c r="C131" s="1">
        <f>Historicals!C170</f>
        <v>49</v>
      </c>
      <c r="D131" s="1">
        <f>Historicals!D170</f>
        <v>43</v>
      </c>
      <c r="E131" s="1">
        <f>Historicals!E170</f>
        <v>54</v>
      </c>
      <c r="F131" s="1">
        <f>Historicals!F170</f>
        <v>55</v>
      </c>
      <c r="G131" s="1">
        <f>Historicals!G170</f>
        <v>53</v>
      </c>
      <c r="H131" s="1">
        <f>Historicals!H170</f>
        <v>46</v>
      </c>
      <c r="I131" s="1">
        <f>Historicals!I170</f>
        <v>43</v>
      </c>
      <c r="J131" s="1">
        <f>Historicals!J170</f>
        <v>42</v>
      </c>
      <c r="K131" s="47">
        <f>+K134*K141</f>
        <v>46.845567068279486</v>
      </c>
      <c r="L131" s="47">
        <f t="shared" ref="L131:O131" si="455">+L134*L141</f>
        <v>52.290550314446875</v>
      </c>
      <c r="M131" s="47">
        <f t="shared" si="455"/>
        <v>58.415418090210906</v>
      </c>
      <c r="N131" s="47">
        <f t="shared" si="455"/>
        <v>65.312549796846866</v>
      </c>
      <c r="O131" s="47">
        <f t="shared" si="455"/>
        <v>73.088201188993025</v>
      </c>
    </row>
    <row r="132" spans="1:15" x14ac:dyDescent="0.3">
      <c r="A132" s="45" t="s">
        <v>129</v>
      </c>
      <c r="C132" s="46">
        <f>+IFERROR(C131/B131-1,"nm")</f>
        <v>0.11363636363636354</v>
      </c>
      <c r="D132" s="46">
        <f t="shared" ref="D132" si="456">+IFERROR(D131/C131-1,"nm")</f>
        <v>-0.12244897959183676</v>
      </c>
      <c r="E132" s="46">
        <f t="shared" ref="E132" si="457">+IFERROR(E131/D131-1,"nm")</f>
        <v>0.2558139534883721</v>
      </c>
      <c r="F132" s="46">
        <f t="shared" ref="F132" si="458">+IFERROR(F131/E131-1,"nm")</f>
        <v>1.8518518518518601E-2</v>
      </c>
      <c r="G132" s="46">
        <f t="shared" ref="G132" si="459">+IFERROR(G131/F131-1,"nm")</f>
        <v>-3.6363636363636376E-2</v>
      </c>
      <c r="H132" s="46">
        <f t="shared" ref="H132" si="460">+IFERROR(H131/G131-1,"nm")</f>
        <v>-0.13207547169811318</v>
      </c>
      <c r="I132" s="46">
        <f t="shared" ref="I132" si="461">+IFERROR(I131/H131-1,"nm")</f>
        <v>-6.5217391304347783E-2</v>
      </c>
      <c r="J132" s="46">
        <f>+IFERROR(J131/I131-1,"nm")</f>
        <v>-2.3255813953488413E-2</v>
      </c>
      <c r="K132" s="46">
        <f t="shared" ref="K132" si="462">+IFERROR(K131/J131-1,"nm")</f>
        <v>0.11537064448284484</v>
      </c>
      <c r="L132" s="46">
        <f t="shared" ref="L132" si="463">+IFERROR(L131/K131-1,"nm")</f>
        <v>0.11623262534598178</v>
      </c>
      <c r="M132" s="46">
        <f t="shared" ref="M132" si="464">+IFERROR(M131/L131-1,"nm")</f>
        <v>0.11713144610130155</v>
      </c>
      <c r="N132" s="46">
        <f t="shared" ref="N132" si="465">+IFERROR(N131/M131-1,"nm")</f>
        <v>0.11807039874275516</v>
      </c>
      <c r="O132" s="46">
        <f t="shared" ref="O132" si="466">+IFERROR(O131/N131-1,"nm")</f>
        <v>0.11905294489852469</v>
      </c>
    </row>
    <row r="133" spans="1:15" x14ac:dyDescent="0.3">
      <c r="A133" s="45" t="s">
        <v>133</v>
      </c>
      <c r="C133" s="46">
        <f>+IFERROR(C131/C$114,"nm")</f>
        <v>1.053084031807436E-2</v>
      </c>
      <c r="D133" s="46">
        <f t="shared" ref="D133:J133" si="467">+IFERROR(D131/D$114,"nm")</f>
        <v>9.9606208014825105E-3</v>
      </c>
      <c r="E133" s="46">
        <f t="shared" si="467"/>
        <v>1.1399620012666244E-2</v>
      </c>
      <c r="F133" s="46">
        <f t="shared" si="467"/>
        <v>1.064653503677894E-2</v>
      </c>
      <c r="G133" s="46">
        <f t="shared" si="467"/>
        <v>1.0087552341073468E-2</v>
      </c>
      <c r="H133" s="46">
        <f t="shared" si="467"/>
        <v>9.148766905330152E-3</v>
      </c>
      <c r="I133" s="46">
        <f t="shared" si="467"/>
        <v>8.0479131574022079E-3</v>
      </c>
      <c r="J133" s="46">
        <f t="shared" si="467"/>
        <v>7.0528967254408059E-3</v>
      </c>
      <c r="K133" s="46">
        <f t="shared" ref="K133:O133" si="468">+IFERROR(K131/K$21,"nm")</f>
        <v>2.3891985964636024E-3</v>
      </c>
      <c r="L133" s="46">
        <f t="shared" si="468"/>
        <v>2.4963057551987333E-3</v>
      </c>
      <c r="M133" s="46">
        <f t="shared" si="468"/>
        <v>2.6103147053067868E-3</v>
      </c>
      <c r="N133" s="46">
        <f t="shared" si="468"/>
        <v>2.7318247453233355E-3</v>
      </c>
      <c r="O133" s="46">
        <f t="shared" si="468"/>
        <v>2.861503517877324E-3</v>
      </c>
    </row>
    <row r="134" spans="1:15" x14ac:dyDescent="0.3">
      <c r="A134" s="45" t="s">
        <v>142</v>
      </c>
      <c r="C134" s="46">
        <f>+IFERROR(C131/C141,"nm")</f>
        <v>0.15909090909090909</v>
      </c>
      <c r="D134" s="46">
        <f t="shared" ref="D134:I134" si="469">+IFERROR(D131/D141,"nm")</f>
        <v>0.12951807228915663</v>
      </c>
      <c r="E134" s="46">
        <f t="shared" si="469"/>
        <v>0.1588235294117647</v>
      </c>
      <c r="F134" s="46">
        <f t="shared" si="469"/>
        <v>0.16224188790560473</v>
      </c>
      <c r="G134" s="46">
        <f t="shared" si="469"/>
        <v>0.16257668711656442</v>
      </c>
      <c r="H134" s="46">
        <f t="shared" si="469"/>
        <v>0.1554054054054054</v>
      </c>
      <c r="I134" s="46">
        <f t="shared" si="469"/>
        <v>0.14144736842105263</v>
      </c>
      <c r="J134" s="46">
        <f>+IFERROR(J131/J141,"nm")</f>
        <v>0.15328467153284672</v>
      </c>
      <c r="K134" s="48">
        <f>+J134</f>
        <v>0.15328467153284672</v>
      </c>
      <c r="L134" s="48">
        <f t="shared" ref="L134" si="470">+K134</f>
        <v>0.15328467153284672</v>
      </c>
      <c r="M134" s="48">
        <f t="shared" ref="M134" si="471">+L134</f>
        <v>0.15328467153284672</v>
      </c>
      <c r="N134" s="48">
        <f t="shared" ref="N134" si="472">+M134</f>
        <v>0.15328467153284672</v>
      </c>
      <c r="O134" s="48">
        <f t="shared" ref="O134" si="473">+N134</f>
        <v>0.15328467153284672</v>
      </c>
    </row>
    <row r="135" spans="1:15" s="1" customFormat="1" x14ac:dyDescent="0.3">
      <c r="A135" s="9" t="s">
        <v>134</v>
      </c>
      <c r="B135" s="1">
        <f>Historicals!B137</f>
        <v>1083</v>
      </c>
      <c r="C135" s="1">
        <f>Historicals!C137</f>
        <v>918</v>
      </c>
      <c r="D135" s="1">
        <f>Historicals!D137</f>
        <v>1002</v>
      </c>
      <c r="E135" s="1">
        <f>Historicals!E137</f>
        <v>980</v>
      </c>
      <c r="F135" s="1">
        <f>Historicals!F137</f>
        <v>1189</v>
      </c>
      <c r="G135" s="1">
        <f>Historicals!G137</f>
        <v>1323</v>
      </c>
      <c r="H135" s="1">
        <f>Historicals!H137</f>
        <v>1184</v>
      </c>
      <c r="I135" s="1">
        <f>Historicals!I137</f>
        <v>1530</v>
      </c>
      <c r="J135" s="1">
        <f>Historicals!J137</f>
        <v>1896</v>
      </c>
      <c r="K135" s="9">
        <f>+K128-K131</f>
        <v>2114.7427419394735</v>
      </c>
      <c r="L135" s="9">
        <f t="shared" ref="L135:O135" si="474">+L128-L131</f>
        <v>2360.5448427664587</v>
      </c>
      <c r="M135" s="9">
        <f t="shared" si="474"/>
        <v>2637.0388737866638</v>
      </c>
      <c r="N135" s="9">
        <f t="shared" si="474"/>
        <v>2948.3951051148015</v>
      </c>
      <c r="O135" s="9">
        <f t="shared" si="474"/>
        <v>3299.4102251031131</v>
      </c>
    </row>
    <row r="136" spans="1:15" x14ac:dyDescent="0.3">
      <c r="A136" s="45" t="s">
        <v>129</v>
      </c>
      <c r="C136" s="46">
        <f>+IFERROR(C135/B135-1,"nm")</f>
        <v>-0.1523545706371191</v>
      </c>
      <c r="D136" s="46">
        <f t="shared" ref="D136" si="475">+IFERROR(D135/C135-1,"nm")</f>
        <v>9.1503267973856106E-2</v>
      </c>
      <c r="E136" s="46">
        <f t="shared" ref="E136" si="476">+IFERROR(E135/D135-1,"nm")</f>
        <v>-2.1956087824351322E-2</v>
      </c>
      <c r="F136" s="46">
        <f t="shared" ref="F136" si="477">+IFERROR(F135/E135-1,"nm")</f>
        <v>0.21326530612244898</v>
      </c>
      <c r="G136" s="46">
        <f t="shared" ref="G136" si="478">+IFERROR(G135/F135-1,"nm")</f>
        <v>0.11269974768713209</v>
      </c>
      <c r="H136" s="46">
        <f t="shared" ref="H136" si="479">+IFERROR(H135/G135-1,"nm")</f>
        <v>-0.1050642479213908</v>
      </c>
      <c r="I136" s="46">
        <f t="shared" ref="I136" si="480">+IFERROR(I135/H135-1,"nm")</f>
        <v>0.29222972972972983</v>
      </c>
      <c r="J136" s="46">
        <f>+IFERROR(J135/I135-1,"nm")</f>
        <v>0.23921568627450984</v>
      </c>
      <c r="K136" s="46">
        <f t="shared" ref="K136" si="481">+IFERROR(K135/J135-1,"nm")</f>
        <v>0.11537064448284462</v>
      </c>
      <c r="L136" s="46">
        <f t="shared" ref="L136" si="482">+IFERROR(L135/K135-1,"nm")</f>
        <v>0.11623262534598178</v>
      </c>
      <c r="M136" s="46">
        <f t="shared" ref="M136" si="483">+IFERROR(M135/L135-1,"nm")</f>
        <v>0.11713144610130155</v>
      </c>
      <c r="N136" s="46">
        <f t="shared" ref="N136" si="484">+IFERROR(N135/M135-1,"nm")</f>
        <v>0.11807039874275538</v>
      </c>
      <c r="O136" s="46">
        <f t="shared" ref="O136" si="485">+IFERROR(O135/N135-1,"nm")</f>
        <v>0.11905294489852447</v>
      </c>
    </row>
    <row r="137" spans="1:15" x14ac:dyDescent="0.3">
      <c r="A137" s="45" t="s">
        <v>131</v>
      </c>
      <c r="C137" s="46">
        <f>+IFERROR(C135/C$114,"nm")</f>
        <v>0.19729206963249515</v>
      </c>
      <c r="D137" s="46">
        <f t="shared" ref="D137:J137" si="486">+IFERROR(D135/D$114,"nm")</f>
        <v>0.23210562890896455</v>
      </c>
      <c r="E137" s="46">
        <f t="shared" si="486"/>
        <v>0.20688199282246147</v>
      </c>
      <c r="F137" s="46">
        <f t="shared" si="486"/>
        <v>0.23015873015873015</v>
      </c>
      <c r="G137" s="46">
        <f t="shared" si="486"/>
        <v>0.25180814617434338</v>
      </c>
      <c r="H137" s="46">
        <f t="shared" si="486"/>
        <v>0.2354813046937152</v>
      </c>
      <c r="I137" s="46">
        <f t="shared" si="486"/>
        <v>0.28635597978663674</v>
      </c>
      <c r="J137" s="46">
        <f t="shared" si="486"/>
        <v>0.31838790931989924</v>
      </c>
      <c r="K137" s="46">
        <f>+J137</f>
        <v>0.31838790931989924</v>
      </c>
      <c r="L137" s="46">
        <f t="shared" ref="L137:O137" si="487">+IFERROR(L135/L$21,"nm")</f>
        <v>0.11269037409182853</v>
      </c>
      <c r="M137" s="46">
        <f t="shared" si="487"/>
        <v>0.11783706383956352</v>
      </c>
      <c r="N137" s="46">
        <f t="shared" si="487"/>
        <v>0.12332237421745344</v>
      </c>
      <c r="O137" s="46">
        <f t="shared" si="487"/>
        <v>0.12917644452131918</v>
      </c>
    </row>
    <row r="138" spans="1:15" s="1" customFormat="1" x14ac:dyDescent="0.3">
      <c r="A138" s="9" t="s">
        <v>135</v>
      </c>
      <c r="C138" s="1">
        <f>C141-B141+C131</f>
        <v>-16</v>
      </c>
      <c r="D138" s="1">
        <f t="shared" ref="D138:J138" si="488">D141-C141+D131</f>
        <v>67</v>
      </c>
      <c r="E138" s="1">
        <f t="shared" si="488"/>
        <v>62</v>
      </c>
      <c r="F138" s="1">
        <f t="shared" si="488"/>
        <v>54</v>
      </c>
      <c r="G138" s="1">
        <f t="shared" si="488"/>
        <v>40</v>
      </c>
      <c r="H138" s="1">
        <f t="shared" si="488"/>
        <v>16</v>
      </c>
      <c r="I138" s="1">
        <f t="shared" si="488"/>
        <v>51</v>
      </c>
      <c r="J138" s="1">
        <f t="shared" si="488"/>
        <v>12</v>
      </c>
      <c r="K138" s="47">
        <f>+K114*K140</f>
        <v>13.384447733794138</v>
      </c>
      <c r="L138" s="47">
        <f t="shared" ref="L138:O138" si="489">+L114*L140</f>
        <v>14.940157232699107</v>
      </c>
      <c r="M138" s="47">
        <f t="shared" si="489"/>
        <v>16.690119454345975</v>
      </c>
      <c r="N138" s="47">
        <f t="shared" si="489"/>
        <v>18.660728513384818</v>
      </c>
      <c r="O138" s="47">
        <f t="shared" si="489"/>
        <v>20.882343196855146</v>
      </c>
    </row>
    <row r="139" spans="1:15" x14ac:dyDescent="0.3">
      <c r="A139" s="45" t="s">
        <v>129</v>
      </c>
      <c r="C139" s="46" t="str">
        <f>+IFERROR(C138/B138-1,"nm")</f>
        <v>nm</v>
      </c>
      <c r="D139" s="46">
        <f t="shared" ref="D139" si="490">+IFERROR(D138/C138-1,"nm")</f>
        <v>-5.1875</v>
      </c>
      <c r="E139" s="46">
        <f t="shared" ref="E139" si="491">+IFERROR(E138/D138-1,"nm")</f>
        <v>-7.4626865671641784E-2</v>
      </c>
      <c r="F139" s="46">
        <f t="shared" ref="F139" si="492">+IFERROR(F138/E138-1,"nm")</f>
        <v>-0.12903225806451613</v>
      </c>
      <c r="G139" s="46">
        <f t="shared" ref="G139" si="493">+IFERROR(G138/F138-1,"nm")</f>
        <v>-0.2592592592592593</v>
      </c>
      <c r="H139" s="46">
        <f t="shared" ref="H139" si="494">+IFERROR(H138/G138-1,"nm")</f>
        <v>-0.6</v>
      </c>
      <c r="I139" s="46">
        <f t="shared" ref="I139" si="495">+IFERROR(I138/H138-1,"nm")</f>
        <v>2.1875</v>
      </c>
      <c r="J139" s="46">
        <f>+IFERROR(J138/I138-1,"nm")</f>
        <v>-0.76470588235294112</v>
      </c>
      <c r="K139" s="46">
        <f>+IFERROR(K138/J138-1,"nm")</f>
        <v>0.11537064448284484</v>
      </c>
      <c r="L139" s="46">
        <f t="shared" ref="L139" si="496">+IFERROR(L138/K138-1,"nm")</f>
        <v>0.11623262534598178</v>
      </c>
      <c r="M139" s="46">
        <f t="shared" ref="M139" si="497">+IFERROR(M138/L138-1,"nm")</f>
        <v>0.11713144610130177</v>
      </c>
      <c r="N139" s="46">
        <f t="shared" ref="N139" si="498">+IFERROR(N138/M138-1,"nm")</f>
        <v>0.11807039874275516</v>
      </c>
      <c r="O139" s="46">
        <f t="shared" ref="O139" si="499">+IFERROR(O138/N138-1,"nm")</f>
        <v>0.11905294489852447</v>
      </c>
    </row>
    <row r="140" spans="1:15" x14ac:dyDescent="0.3">
      <c r="A140" s="45" t="s">
        <v>133</v>
      </c>
      <c r="C140" s="46">
        <f>+IFERROR(C138/C$114,"nm")</f>
        <v>-3.4386417365140768E-3</v>
      </c>
      <c r="D140" s="46">
        <f t="shared" ref="D140:J140" si="500">+IFERROR(D138/D$114,"nm")</f>
        <v>1.5520037062775075E-2</v>
      </c>
      <c r="E140" s="46">
        <f t="shared" si="500"/>
        <v>1.3088452607135318E-2</v>
      </c>
      <c r="F140" s="46">
        <f t="shared" si="500"/>
        <v>1.0452961672473868E-2</v>
      </c>
      <c r="G140" s="46">
        <f t="shared" si="500"/>
        <v>7.6132470498667679E-3</v>
      </c>
      <c r="H140" s="46">
        <f t="shared" si="500"/>
        <v>3.1821797931583136E-3</v>
      </c>
      <c r="I140" s="46">
        <f t="shared" si="500"/>
        <v>9.5451993262212244E-3</v>
      </c>
      <c r="J140" s="46">
        <f t="shared" si="500"/>
        <v>2.0151133501259445E-3</v>
      </c>
      <c r="K140" s="48">
        <f>+J140</f>
        <v>2.0151133501259445E-3</v>
      </c>
      <c r="L140" s="48">
        <f t="shared" ref="L140" si="501">+K140</f>
        <v>2.0151133501259445E-3</v>
      </c>
      <c r="M140" s="48">
        <f t="shared" ref="M140" si="502">+L140</f>
        <v>2.0151133501259445E-3</v>
      </c>
      <c r="N140" s="48">
        <f t="shared" ref="N140" si="503">+M140</f>
        <v>2.0151133501259445E-3</v>
      </c>
      <c r="O140" s="48">
        <f t="shared" ref="O140" si="504">+N140</f>
        <v>2.0151133501259445E-3</v>
      </c>
    </row>
    <row r="141" spans="1:15" s="1" customFormat="1" x14ac:dyDescent="0.3">
      <c r="A141" s="9" t="s">
        <v>143</v>
      </c>
      <c r="B141" s="1">
        <f>Historicals!B148</f>
        <v>373</v>
      </c>
      <c r="C141" s="1">
        <f>Historicals!C148</f>
        <v>308</v>
      </c>
      <c r="D141" s="1">
        <f>Historicals!D148</f>
        <v>332</v>
      </c>
      <c r="E141" s="1">
        <f>Historicals!E148</f>
        <v>340</v>
      </c>
      <c r="F141" s="1">
        <f>Historicals!F148</f>
        <v>339</v>
      </c>
      <c r="G141" s="1">
        <f>Historicals!G148</f>
        <v>326</v>
      </c>
      <c r="H141" s="1">
        <f>Historicals!H148</f>
        <v>296</v>
      </c>
      <c r="I141" s="1">
        <f>Historicals!I148</f>
        <v>304</v>
      </c>
      <c r="J141" s="1">
        <f>Historicals!J148</f>
        <v>274</v>
      </c>
      <c r="K141" s="47">
        <f>+K114*K143</f>
        <v>305.61155658829949</v>
      </c>
      <c r="L141" s="47">
        <f t="shared" ref="L141:O141" si="505">+L114*L143</f>
        <v>341.13359014662961</v>
      </c>
      <c r="M141" s="47">
        <f t="shared" si="505"/>
        <v>381.09106087423305</v>
      </c>
      <c r="N141" s="47">
        <f t="shared" si="505"/>
        <v>426.08663438895337</v>
      </c>
      <c r="O141" s="47">
        <f t="shared" si="505"/>
        <v>476.81350299485922</v>
      </c>
    </row>
    <row r="142" spans="1:15" x14ac:dyDescent="0.3">
      <c r="A142" s="45" t="s">
        <v>129</v>
      </c>
      <c r="C142" s="46">
        <f>+IFERROR(C141/B141-1,"nm")</f>
        <v>-0.17426273458445041</v>
      </c>
      <c r="D142" s="46">
        <f t="shared" ref="D142" si="506">+IFERROR(D141/C141-1,"nm")</f>
        <v>7.7922077922077948E-2</v>
      </c>
      <c r="E142" s="46">
        <f t="shared" ref="E142" si="507">+IFERROR(E141/D141-1,"nm")</f>
        <v>2.4096385542168752E-2</v>
      </c>
      <c r="F142" s="46">
        <f t="shared" ref="F142" si="508">+IFERROR(F141/E141-1,"nm")</f>
        <v>-2.9411764705882248E-3</v>
      </c>
      <c r="G142" s="46">
        <f t="shared" ref="G142" si="509">+IFERROR(G141/F141-1,"nm")</f>
        <v>-3.8348082595870192E-2</v>
      </c>
      <c r="H142" s="46">
        <f t="shared" ref="H142" si="510">+IFERROR(H141/G141-1,"nm")</f>
        <v>-9.2024539877300637E-2</v>
      </c>
      <c r="I142" s="46">
        <f t="shared" ref="I142" si="511">+IFERROR(I141/H141-1,"nm")</f>
        <v>2.7027027027026973E-2</v>
      </c>
      <c r="J142" s="46">
        <f>+IFERROR(J141/I141-1,"nm")</f>
        <v>-9.8684210526315819E-2</v>
      </c>
      <c r="K142" s="46">
        <f>+IFERROR(K141/J141-1,"nm")</f>
        <v>0.11537064448284484</v>
      </c>
      <c r="L142" s="46">
        <f t="shared" ref="L142" si="512">K142</f>
        <v>0.11537064448284484</v>
      </c>
      <c r="M142" s="46">
        <f t="shared" ref="M142" si="513">L142</f>
        <v>0.11537064448284484</v>
      </c>
      <c r="N142" s="46">
        <f t="shared" ref="N142" si="514">M142</f>
        <v>0.11537064448284484</v>
      </c>
      <c r="O142" s="46">
        <f t="shared" ref="O142" si="515">N142</f>
        <v>0.11537064448284484</v>
      </c>
    </row>
    <row r="143" spans="1:15" x14ac:dyDescent="0.3">
      <c r="A143" s="45" t="s">
        <v>133</v>
      </c>
      <c r="C143" s="46">
        <f>+IFERROR(C141/C$114,"nm")</f>
        <v>6.6193853427895979E-2</v>
      </c>
      <c r="D143" s="46">
        <f t="shared" ref="D143:J143" si="516">+IFERROR(D141/D$114,"nm")</f>
        <v>7.6905258281213806E-2</v>
      </c>
      <c r="E143" s="46">
        <f t="shared" si="516"/>
        <v>7.1775385264935612E-2</v>
      </c>
      <c r="F143" s="46">
        <f t="shared" si="516"/>
        <v>6.5621370499419282E-2</v>
      </c>
      <c r="G143" s="46">
        <f t="shared" si="516"/>
        <v>6.2047963456414161E-2</v>
      </c>
      <c r="H143" s="46">
        <f t="shared" si="516"/>
        <v>5.88703261734288E-2</v>
      </c>
      <c r="I143" s="46">
        <f t="shared" si="516"/>
        <v>5.6896874415122589E-2</v>
      </c>
      <c r="J143" s="46">
        <f t="shared" si="516"/>
        <v>4.6011754827875735E-2</v>
      </c>
      <c r="K143" s="48">
        <f>+J143</f>
        <v>4.6011754827875735E-2</v>
      </c>
      <c r="L143" s="48">
        <f t="shared" ref="L143" si="517">+K143</f>
        <v>4.6011754827875735E-2</v>
      </c>
      <c r="M143" s="48">
        <f t="shared" ref="M143" si="518">+L143</f>
        <v>4.6011754827875735E-2</v>
      </c>
      <c r="N143" s="48">
        <f t="shared" ref="N143" si="519">+M143</f>
        <v>4.6011754827875735E-2</v>
      </c>
      <c r="O143" s="48">
        <f t="shared" ref="O143" si="520">+N143</f>
        <v>4.6011754827875735E-2</v>
      </c>
    </row>
    <row r="144" spans="1:15" x14ac:dyDescent="0.3">
      <c r="A144" s="43" t="s">
        <v>150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39"/>
      <c r="L144" s="39"/>
      <c r="M144" s="39"/>
      <c r="N144" s="39"/>
      <c r="O144" s="39"/>
    </row>
    <row r="145" spans="1:16" s="1" customFormat="1" x14ac:dyDescent="0.3">
      <c r="A145" s="9" t="s">
        <v>136</v>
      </c>
      <c r="B145" s="1">
        <f>Historicals!B123</f>
        <v>125</v>
      </c>
      <c r="C145" s="1">
        <f>Historicals!C123</f>
        <v>115</v>
      </c>
      <c r="D145" s="1">
        <f>Historicals!D123</f>
        <v>73</v>
      </c>
      <c r="E145" s="1">
        <f>Historicals!E123</f>
        <v>73</v>
      </c>
      <c r="F145" s="1">
        <f>Historicals!F123</f>
        <v>88</v>
      </c>
      <c r="G145" s="1">
        <f>Historicals!G123</f>
        <v>42</v>
      </c>
      <c r="H145" s="1">
        <f>Historicals!H123</f>
        <v>30</v>
      </c>
      <c r="I145" s="1">
        <f>Historicals!I123</f>
        <v>25</v>
      </c>
      <c r="J145" s="1">
        <f>Historicals!J123</f>
        <v>102</v>
      </c>
      <c r="K145" s="9">
        <f>(J145*K146)+J145</f>
        <v>416.16</v>
      </c>
      <c r="L145" s="9">
        <f t="shared" ref="L145:O145" si="521">(K145*L146)+K145</f>
        <v>1697.9328000000003</v>
      </c>
      <c r="M145" s="9">
        <f t="shared" si="521"/>
        <v>6927.5658240000012</v>
      </c>
      <c r="N145" s="9">
        <f t="shared" si="521"/>
        <v>28264.468561920006</v>
      </c>
      <c r="O145" s="9">
        <f t="shared" si="521"/>
        <v>115319.03173263362</v>
      </c>
      <c r="P145" s="9"/>
    </row>
    <row r="146" spans="1:16" x14ac:dyDescent="0.3">
      <c r="A146" s="44" t="s">
        <v>129</v>
      </c>
      <c r="C146" s="46">
        <f t="shared" ref="C146" si="522">+IFERROR(C145/B145-1,"nm")</f>
        <v>-7.999999999999996E-2</v>
      </c>
      <c r="D146" s="46">
        <f t="shared" ref="D146" si="523">+IFERROR(D145/C145-1,"nm")</f>
        <v>-0.36521739130434783</v>
      </c>
      <c r="E146" s="46">
        <f t="shared" ref="E146" si="524">+IFERROR(E145/D145-1,"nm")</f>
        <v>0</v>
      </c>
      <c r="F146" s="46">
        <f t="shared" ref="F146" si="525">+IFERROR(F145/E145-1,"nm")</f>
        <v>0.20547945205479445</v>
      </c>
      <c r="G146" s="46">
        <f t="shared" ref="G146" si="526">+IFERROR(G145/F145-1,"nm")</f>
        <v>-0.52272727272727271</v>
      </c>
      <c r="H146" s="46">
        <f t="shared" ref="H146" si="527">+IFERROR(H145/G145-1,"nm")</f>
        <v>-0.2857142857142857</v>
      </c>
      <c r="I146" s="46">
        <f t="shared" ref="I146" si="528">+IFERROR(I145/H145-1,"nm")</f>
        <v>-0.16666666666666663</v>
      </c>
      <c r="J146" s="46">
        <f t="shared" ref="J146" si="529">+IFERROR(J145/I145-1,"nm")</f>
        <v>3.08</v>
      </c>
      <c r="K146" s="46">
        <f>J146</f>
        <v>3.08</v>
      </c>
      <c r="L146" s="46">
        <f t="shared" ref="L146:O146" si="530">K146</f>
        <v>3.08</v>
      </c>
      <c r="M146" s="46">
        <f t="shared" si="530"/>
        <v>3.08</v>
      </c>
      <c r="N146" s="46">
        <f t="shared" si="530"/>
        <v>3.08</v>
      </c>
      <c r="O146" s="46">
        <f t="shared" si="530"/>
        <v>3.08</v>
      </c>
    </row>
    <row r="147" spans="1:16" s="1" customFormat="1" x14ac:dyDescent="0.3">
      <c r="A147" s="9" t="s">
        <v>130</v>
      </c>
      <c r="B147" s="1">
        <f>B150+B154</f>
        <v>-1818</v>
      </c>
      <c r="C147" s="47">
        <f>+C154+C150</f>
        <v>-2057</v>
      </c>
      <c r="D147" s="47">
        <f t="shared" ref="D147:I147" si="531">+D154+D150</f>
        <v>-2366</v>
      </c>
      <c r="E147" s="47">
        <f t="shared" si="531"/>
        <v>-2444</v>
      </c>
      <c r="F147" s="47">
        <f t="shared" si="531"/>
        <v>-2441</v>
      </c>
      <c r="G147" s="47">
        <f t="shared" si="531"/>
        <v>-3067</v>
      </c>
      <c r="H147" s="47">
        <f t="shared" si="531"/>
        <v>-3254</v>
      </c>
      <c r="I147" s="47">
        <f t="shared" si="531"/>
        <v>-3434</v>
      </c>
      <c r="J147" s="47">
        <f>+J154+J150</f>
        <v>-4042</v>
      </c>
      <c r="K147" s="47">
        <f>+K145*K149</f>
        <v>-16491.36</v>
      </c>
      <c r="L147" s="47">
        <f t="shared" ref="L147:O147" si="532">+L145*L149</f>
        <v>-67284.748800000001</v>
      </c>
      <c r="M147" s="47">
        <f t="shared" si="532"/>
        <v>-274521.77510400006</v>
      </c>
      <c r="N147" s="47">
        <f t="shared" si="532"/>
        <v>-1120048.8424243203</v>
      </c>
      <c r="O147" s="47">
        <f t="shared" si="532"/>
        <v>-4569799.2770912265</v>
      </c>
    </row>
    <row r="148" spans="1:16" x14ac:dyDescent="0.3">
      <c r="A148" s="45" t="s">
        <v>129</v>
      </c>
      <c r="C148" s="46">
        <f>+IFERROR(C147/B147-1,"nm")</f>
        <v>0.13146314631463141</v>
      </c>
      <c r="D148" s="46">
        <f t="shared" ref="D148" si="533">+IFERROR(D147/C147-1,"nm")</f>
        <v>0.15021876519202726</v>
      </c>
      <c r="E148" s="46">
        <f t="shared" ref="E148" si="534">+IFERROR(E147/D147-1,"nm")</f>
        <v>3.2967032967033072E-2</v>
      </c>
      <c r="F148" s="46">
        <f t="shared" ref="F148" si="535">+IFERROR(F147/E147-1,"nm")</f>
        <v>-1.2274959083469206E-3</v>
      </c>
      <c r="G148" s="46">
        <f t="shared" ref="G148" si="536">+IFERROR(G147/F147-1,"nm")</f>
        <v>0.25645227365833678</v>
      </c>
      <c r="H148" s="46">
        <f t="shared" ref="H148" si="537">+IFERROR(H147/G147-1,"nm")</f>
        <v>6.0971633518095869E-2</v>
      </c>
      <c r="I148" s="46">
        <f t="shared" ref="I148" si="538">+IFERROR(I147/H147-1,"nm")</f>
        <v>5.5316533497234088E-2</v>
      </c>
      <c r="J148" s="46">
        <f>+IFERROR(J147/I147-1,"nm")</f>
        <v>0.1770529994175889</v>
      </c>
      <c r="K148" s="46">
        <f t="shared" ref="K148" si="539">+IFERROR(K147/J147-1,"nm")</f>
        <v>3.08</v>
      </c>
      <c r="L148" s="46">
        <f t="shared" ref="L148" si="540">+IFERROR(L147/K147-1,"nm")</f>
        <v>3.08</v>
      </c>
      <c r="M148" s="46">
        <f t="shared" ref="M148" si="541">+IFERROR(M147/L147-1,"nm")</f>
        <v>3.080000000000001</v>
      </c>
      <c r="N148" s="46">
        <f t="shared" ref="N148" si="542">+IFERROR(N147/M147-1,"nm")</f>
        <v>3.08</v>
      </c>
      <c r="O148" s="46">
        <f t="shared" ref="O148" si="543">+IFERROR(O147/N147-1,"nm")</f>
        <v>3.08</v>
      </c>
    </row>
    <row r="149" spans="1:16" x14ac:dyDescent="0.3">
      <c r="A149" s="45" t="s">
        <v>131</v>
      </c>
      <c r="C149" s="46">
        <f t="shared" ref="C149:J149" si="544">+IFERROR(C147/C$145,"nm")</f>
        <v>-17.88695652173913</v>
      </c>
      <c r="D149" s="46">
        <f t="shared" si="544"/>
        <v>-32.410958904109592</v>
      </c>
      <c r="E149" s="46">
        <f t="shared" si="544"/>
        <v>-33.479452054794521</v>
      </c>
      <c r="F149" s="46">
        <f t="shared" si="544"/>
        <v>-27.738636363636363</v>
      </c>
      <c r="G149" s="46">
        <f t="shared" si="544"/>
        <v>-73.023809523809518</v>
      </c>
      <c r="H149" s="46">
        <f t="shared" si="544"/>
        <v>-108.46666666666667</v>
      </c>
      <c r="I149" s="46">
        <f t="shared" si="544"/>
        <v>-137.36000000000001</v>
      </c>
      <c r="J149" s="46">
        <f t="shared" si="544"/>
        <v>-39.627450980392155</v>
      </c>
      <c r="K149" s="48">
        <f>+J149</f>
        <v>-39.627450980392155</v>
      </c>
      <c r="L149" s="48">
        <f t="shared" ref="L149:O149" si="545">+K149</f>
        <v>-39.627450980392155</v>
      </c>
      <c r="M149" s="48">
        <f t="shared" si="545"/>
        <v>-39.627450980392155</v>
      </c>
      <c r="N149" s="48">
        <f t="shared" si="545"/>
        <v>-39.627450980392155</v>
      </c>
      <c r="O149" s="48">
        <f t="shared" si="545"/>
        <v>-39.627450980392155</v>
      </c>
    </row>
    <row r="150" spans="1:16" s="1" customFormat="1" x14ac:dyDescent="0.3">
      <c r="A150" s="9" t="s">
        <v>132</v>
      </c>
      <c r="B150" s="1">
        <f>Historicals!B171</f>
        <v>175</v>
      </c>
      <c r="C150" s="1">
        <f>Historicals!C171</f>
        <v>210</v>
      </c>
      <c r="D150" s="1">
        <f>Historicals!D171</f>
        <v>230</v>
      </c>
      <c r="E150" s="1">
        <f>Historicals!E171</f>
        <v>233</v>
      </c>
      <c r="F150" s="1">
        <f>Historicals!F171</f>
        <v>217</v>
      </c>
      <c r="G150" s="1">
        <f>Historicals!G171</f>
        <v>195</v>
      </c>
      <c r="H150" s="1">
        <f>Historicals!H171</f>
        <v>214</v>
      </c>
      <c r="I150" s="1">
        <f>Historicals!I171</f>
        <v>222</v>
      </c>
      <c r="J150" s="1">
        <f>Historicals!J171</f>
        <v>220</v>
      </c>
      <c r="K150" s="47">
        <f>+K153*K160</f>
        <v>897.6</v>
      </c>
      <c r="L150" s="47">
        <f t="shared" ref="L150:O150" si="546">+L153*L160</f>
        <v>3662.2080000000005</v>
      </c>
      <c r="M150" s="47">
        <f t="shared" si="546"/>
        <v>14941.808640000001</v>
      </c>
      <c r="N150" s="47">
        <f t="shared" si="546"/>
        <v>60962.579251200012</v>
      </c>
      <c r="O150" s="47">
        <f t="shared" si="546"/>
        <v>248727.32334489602</v>
      </c>
    </row>
    <row r="151" spans="1:16" x14ac:dyDescent="0.3">
      <c r="A151" s="45" t="s">
        <v>129</v>
      </c>
      <c r="C151" s="46">
        <f>+IFERROR(C150/B150-1,"nm")</f>
        <v>0.19999999999999996</v>
      </c>
      <c r="D151" s="46">
        <f t="shared" ref="D151" si="547">+IFERROR(D150/C150-1,"nm")</f>
        <v>9.5238095238095344E-2</v>
      </c>
      <c r="E151" s="46">
        <f t="shared" ref="E151" si="548">+IFERROR(E150/D150-1,"nm")</f>
        <v>1.304347826086949E-2</v>
      </c>
      <c r="F151" s="46">
        <f t="shared" ref="F151" si="549">+IFERROR(F150/E150-1,"nm")</f>
        <v>-6.8669527896995763E-2</v>
      </c>
      <c r="G151" s="46">
        <f t="shared" ref="G151" si="550">+IFERROR(G150/F150-1,"nm")</f>
        <v>-0.10138248847926268</v>
      </c>
      <c r="H151" s="46">
        <f t="shared" ref="H151" si="551">+IFERROR(H150/G150-1,"nm")</f>
        <v>9.7435897435897534E-2</v>
      </c>
      <c r="I151" s="46">
        <f t="shared" ref="I151" si="552">+IFERROR(I150/H150-1,"nm")</f>
        <v>3.7383177570093462E-2</v>
      </c>
      <c r="J151" s="46">
        <f>+IFERROR(J150/I150-1,"nm")</f>
        <v>-9.009009009009028E-3</v>
      </c>
      <c r="K151" s="46">
        <f t="shared" ref="K151" si="553">+IFERROR(K150/J150-1,"nm")</f>
        <v>3.08</v>
      </c>
      <c r="L151" s="46">
        <f t="shared" ref="L151" si="554">+IFERROR(L150/K150-1,"nm")</f>
        <v>3.08</v>
      </c>
      <c r="M151" s="46">
        <f t="shared" ref="M151" si="555">+IFERROR(M150/L150-1,"nm")</f>
        <v>3.08</v>
      </c>
      <c r="N151" s="46">
        <f t="shared" ref="N151" si="556">+IFERROR(N150/M150-1,"nm")</f>
        <v>3.08</v>
      </c>
      <c r="O151" s="46">
        <f t="shared" ref="O151" si="557">+IFERROR(O150/N150-1,"nm")</f>
        <v>3.0799999999999992</v>
      </c>
    </row>
    <row r="152" spans="1:16" x14ac:dyDescent="0.3">
      <c r="A152" s="45" t="s">
        <v>133</v>
      </c>
      <c r="C152" s="46">
        <f t="shared" ref="C152:J152" si="558">+IFERROR(C150/C$145,"nm")</f>
        <v>1.826086956521739</v>
      </c>
      <c r="D152" s="46">
        <f t="shared" si="558"/>
        <v>3.1506849315068495</v>
      </c>
      <c r="E152" s="46">
        <f t="shared" si="558"/>
        <v>3.1917808219178081</v>
      </c>
      <c r="F152" s="46">
        <f t="shared" si="558"/>
        <v>2.4659090909090908</v>
      </c>
      <c r="G152" s="46">
        <f t="shared" si="558"/>
        <v>4.6428571428571432</v>
      </c>
      <c r="H152" s="46">
        <f t="shared" si="558"/>
        <v>7.1333333333333337</v>
      </c>
      <c r="I152" s="46">
        <f t="shared" si="558"/>
        <v>8.8800000000000008</v>
      </c>
      <c r="J152" s="46">
        <f t="shared" si="558"/>
        <v>2.1568627450980391</v>
      </c>
      <c r="K152" s="46">
        <f>+IFERROR(K150/K$21,"nm")</f>
        <v>4.5779030853868433E-2</v>
      </c>
      <c r="L152" s="46">
        <f>+IFERROR(L150/L$21,"nm")</f>
        <v>0.17483065013008836</v>
      </c>
      <c r="M152" s="46">
        <f>+IFERROR(M150/M$21,"nm")</f>
        <v>0.66768028188448403</v>
      </c>
      <c r="N152" s="46">
        <f>+IFERROR(N150/N$21,"nm")</f>
        <v>2.5498787454352798</v>
      </c>
      <c r="O152" s="46">
        <f>+IFERROR(O150/O$21,"nm")</f>
        <v>9.7380165220267685</v>
      </c>
    </row>
    <row r="153" spans="1:16" x14ac:dyDescent="0.3">
      <c r="A153" s="45" t="s">
        <v>142</v>
      </c>
      <c r="C153" s="46">
        <f>+IFERROR(C150/C160,"nm")</f>
        <v>0.43388429752066116</v>
      </c>
      <c r="D153" s="46">
        <f t="shared" ref="D153:I153" si="559">+IFERROR(D150/D160,"nm")</f>
        <v>0.45009784735812131</v>
      </c>
      <c r="E153" s="46">
        <f t="shared" si="559"/>
        <v>0.43714821763602252</v>
      </c>
      <c r="F153" s="46">
        <f t="shared" si="559"/>
        <v>0.36348408710217756</v>
      </c>
      <c r="G153" s="46">
        <f t="shared" si="559"/>
        <v>0.2932330827067669</v>
      </c>
      <c r="H153" s="46">
        <f t="shared" si="559"/>
        <v>0.25783132530120484</v>
      </c>
      <c r="I153" s="46">
        <f t="shared" si="559"/>
        <v>0.2846153846153846</v>
      </c>
      <c r="J153" s="46">
        <f>+IFERROR(J150/J160,"nm")</f>
        <v>0.27883396704689478</v>
      </c>
      <c r="K153" s="48">
        <f>+J153</f>
        <v>0.27883396704689478</v>
      </c>
      <c r="L153" s="48">
        <f t="shared" ref="L153" si="560">+K153</f>
        <v>0.27883396704689478</v>
      </c>
      <c r="M153" s="48">
        <f t="shared" ref="M153" si="561">+L153</f>
        <v>0.27883396704689478</v>
      </c>
      <c r="N153" s="48">
        <f t="shared" ref="N153" si="562">+M153</f>
        <v>0.27883396704689478</v>
      </c>
      <c r="O153" s="48">
        <f t="shared" ref="O153" si="563">+N153</f>
        <v>0.27883396704689478</v>
      </c>
    </row>
    <row r="154" spans="1:16" s="1" customFormat="1" x14ac:dyDescent="0.3">
      <c r="A154" s="9" t="s">
        <v>134</v>
      </c>
      <c r="B154" s="1">
        <f>Historicals!B138</f>
        <v>-1993</v>
      </c>
      <c r="C154" s="1">
        <f>Historicals!C138</f>
        <v>-2267</v>
      </c>
      <c r="D154" s="1">
        <f>Historicals!D138</f>
        <v>-2596</v>
      </c>
      <c r="E154" s="1">
        <f>Historicals!E138</f>
        <v>-2677</v>
      </c>
      <c r="F154" s="1">
        <f>Historicals!F138</f>
        <v>-2658</v>
      </c>
      <c r="G154" s="1">
        <f>Historicals!G138</f>
        <v>-3262</v>
      </c>
      <c r="H154" s="1">
        <f>Historicals!H138</f>
        <v>-3468</v>
      </c>
      <c r="I154" s="1">
        <f>Historicals!I138</f>
        <v>-3656</v>
      </c>
      <c r="J154" s="1">
        <f>Historicals!J138</f>
        <v>-4262</v>
      </c>
      <c r="K154" s="9">
        <f>+K147-K150</f>
        <v>-17388.96</v>
      </c>
      <c r="L154" s="9">
        <f t="shared" ref="L154:O154" si="564">+L147-L150</f>
        <v>-70946.9568</v>
      </c>
      <c r="M154" s="9">
        <f t="shared" si="564"/>
        <v>-289463.58374400006</v>
      </c>
      <c r="N154" s="9">
        <f t="shared" si="564"/>
        <v>-1181011.4216755203</v>
      </c>
      <c r="O154" s="9">
        <f t="shared" si="564"/>
        <v>-4818526.6004361222</v>
      </c>
    </row>
    <row r="155" spans="1:16" x14ac:dyDescent="0.3">
      <c r="A155" s="45" t="s">
        <v>129</v>
      </c>
      <c r="C155" s="46">
        <f>+IFERROR(C154/B154-1,"nm")</f>
        <v>0.13748118414450583</v>
      </c>
      <c r="D155" s="46">
        <f t="shared" ref="D155" si="565">+IFERROR(D154/C154-1,"nm")</f>
        <v>0.145125716806352</v>
      </c>
      <c r="E155" s="46">
        <f t="shared" ref="E155" si="566">+IFERROR(E154/D154-1,"nm")</f>
        <v>3.1201848998459125E-2</v>
      </c>
      <c r="F155" s="46">
        <f t="shared" ref="F155" si="567">+IFERROR(F154/E154-1,"nm")</f>
        <v>-7.097497198356395E-3</v>
      </c>
      <c r="G155" s="46">
        <f t="shared" ref="G155" si="568">+IFERROR(G154/F154-1,"nm")</f>
        <v>0.22723852520692245</v>
      </c>
      <c r="H155" s="46">
        <f t="shared" ref="H155" si="569">+IFERROR(H154/G154-1,"nm")</f>
        <v>6.3151440833844275E-2</v>
      </c>
      <c r="I155" s="46">
        <f t="shared" ref="I155" si="570">+IFERROR(I154/H154-1,"nm")</f>
        <v>5.4209919261822392E-2</v>
      </c>
      <c r="J155" s="46">
        <f>+IFERROR(J154/I154-1,"nm")</f>
        <v>0.16575492341356668</v>
      </c>
      <c r="K155" s="46">
        <f t="shared" ref="K155" si="571">+IFERROR(K154/J154-1,"nm")</f>
        <v>3.08</v>
      </c>
      <c r="L155" s="46">
        <f t="shared" ref="L155" si="572">+IFERROR(L154/K154-1,"nm")</f>
        <v>3.08</v>
      </c>
      <c r="M155" s="46">
        <f t="shared" ref="M155" si="573">+IFERROR(M154/L154-1,"nm")</f>
        <v>3.080000000000001</v>
      </c>
      <c r="N155" s="46">
        <f t="shared" ref="N155" si="574">+IFERROR(N154/M154-1,"nm")</f>
        <v>3.08</v>
      </c>
      <c r="O155" s="46">
        <f t="shared" ref="O155" si="575">+IFERROR(O154/N154-1,"nm")</f>
        <v>3.0799999999999992</v>
      </c>
    </row>
    <row r="156" spans="1:16" x14ac:dyDescent="0.3">
      <c r="A156" s="45" t="s">
        <v>131</v>
      </c>
      <c r="C156" s="46">
        <f t="shared" ref="C156:J156" si="576">+IFERROR(C154/C$145,"nm")</f>
        <v>-19.713043478260868</v>
      </c>
      <c r="D156" s="46">
        <f t="shared" si="576"/>
        <v>-35.561643835616437</v>
      </c>
      <c r="E156" s="46">
        <f t="shared" si="576"/>
        <v>-36.671232876712331</v>
      </c>
      <c r="F156" s="46">
        <f t="shared" si="576"/>
        <v>-30.204545454545453</v>
      </c>
      <c r="G156" s="46">
        <f t="shared" si="576"/>
        <v>-77.666666666666671</v>
      </c>
      <c r="H156" s="46">
        <f t="shared" si="576"/>
        <v>-115.6</v>
      </c>
      <c r="I156" s="46">
        <f t="shared" si="576"/>
        <v>-146.24</v>
      </c>
      <c r="J156" s="46">
        <f t="shared" si="576"/>
        <v>-41.784313725490193</v>
      </c>
      <c r="K156" s="46">
        <f>+J156</f>
        <v>-41.784313725490193</v>
      </c>
      <c r="L156" s="46">
        <f>+IFERROR(L154/L$21,"nm")</f>
        <v>-3.3869465038838023</v>
      </c>
      <c r="M156" s="46">
        <f>+IFERROR(M154/M$21,"nm")</f>
        <v>-12.934788006325778</v>
      </c>
      <c r="N156" s="46">
        <f>+IFERROR(N154/N$21,"nm")</f>
        <v>-49.398105513841649</v>
      </c>
      <c r="O156" s="46">
        <f>+IFERROR(O154/O$21,"nm")</f>
        <v>-188.65193825853677</v>
      </c>
    </row>
    <row r="157" spans="1:16" s="1" customFormat="1" x14ac:dyDescent="0.3">
      <c r="A157" s="9" t="s">
        <v>135</v>
      </c>
      <c r="C157" s="1">
        <f>C160-B160+C150</f>
        <v>157</v>
      </c>
      <c r="D157" s="1">
        <f t="shared" ref="D157:J157" si="577">D160-C160+D150</f>
        <v>257</v>
      </c>
      <c r="E157" s="1">
        <f t="shared" si="577"/>
        <v>255</v>
      </c>
      <c r="F157" s="1">
        <f t="shared" si="577"/>
        <v>281</v>
      </c>
      <c r="G157" s="1">
        <f t="shared" si="577"/>
        <v>263</v>
      </c>
      <c r="H157" s="1">
        <f t="shared" si="577"/>
        <v>379</v>
      </c>
      <c r="I157" s="1">
        <f t="shared" si="577"/>
        <v>172</v>
      </c>
      <c r="J157" s="1">
        <f t="shared" si="577"/>
        <v>229</v>
      </c>
      <c r="K157" s="47">
        <f>+K145*K159</f>
        <v>934.32</v>
      </c>
      <c r="L157" s="47">
        <f>+L145*L159</f>
        <v>3812.0256000000008</v>
      </c>
      <c r="M157" s="47">
        <f>+M145*M159</f>
        <v>15553.064448000003</v>
      </c>
      <c r="N157" s="47">
        <f>+N145*N159</f>
        <v>63456.502947840017</v>
      </c>
      <c r="O157" s="47">
        <f>+O145*O159</f>
        <v>258902.53202718726</v>
      </c>
    </row>
    <row r="158" spans="1:16" x14ac:dyDescent="0.3">
      <c r="A158" s="45" t="s">
        <v>129</v>
      </c>
      <c r="C158" s="46" t="str">
        <f>+IFERROR(C157/B157-1,"nm")</f>
        <v>nm</v>
      </c>
      <c r="D158" s="46">
        <f t="shared" ref="D158" si="578">+IFERROR(D157/C157-1,"nm")</f>
        <v>0.63694267515923575</v>
      </c>
      <c r="E158" s="46">
        <f t="shared" ref="E158" si="579">+IFERROR(E157/D157-1,"nm")</f>
        <v>-7.7821011673151474E-3</v>
      </c>
      <c r="F158" s="46">
        <f t="shared" ref="F158" si="580">+IFERROR(F157/E157-1,"nm")</f>
        <v>0.10196078431372557</v>
      </c>
      <c r="G158" s="46">
        <f t="shared" ref="G158" si="581">+IFERROR(G157/F157-1,"nm")</f>
        <v>-6.4056939501779375E-2</v>
      </c>
      <c r="H158" s="46">
        <f t="shared" ref="H158" si="582">+IFERROR(H157/G157-1,"nm")</f>
        <v>0.44106463878326996</v>
      </c>
      <c r="I158" s="46">
        <f t="shared" ref="I158" si="583">+IFERROR(I157/H157-1,"nm")</f>
        <v>-0.54617414248021112</v>
      </c>
      <c r="J158" s="46">
        <f>+IFERROR(J157/I157-1,"nm")</f>
        <v>0.33139534883720922</v>
      </c>
      <c r="K158" s="46">
        <f>+IFERROR(K157/J157-1,"nm")</f>
        <v>3.08</v>
      </c>
      <c r="L158" s="46">
        <f t="shared" ref="L158" si="584">+IFERROR(L157/K157-1,"nm")</f>
        <v>3.080000000000001</v>
      </c>
      <c r="M158" s="46">
        <f t="shared" ref="M158" si="585">+IFERROR(M157/L157-1,"nm")</f>
        <v>3.08</v>
      </c>
      <c r="N158" s="46">
        <f t="shared" ref="N158" si="586">+IFERROR(N157/M157-1,"nm")</f>
        <v>3.08</v>
      </c>
      <c r="O158" s="46">
        <f t="shared" ref="O158" si="587">+IFERROR(O157/N157-1,"nm")</f>
        <v>3.08</v>
      </c>
    </row>
    <row r="159" spans="1:16" x14ac:dyDescent="0.3">
      <c r="A159" s="45" t="s">
        <v>133</v>
      </c>
      <c r="C159" s="46">
        <f t="shared" ref="C159:J159" si="588">+IFERROR(C157/C$145,"nm")</f>
        <v>1.3652173913043477</v>
      </c>
      <c r="D159" s="46">
        <f t="shared" si="588"/>
        <v>3.5205479452054793</v>
      </c>
      <c r="E159" s="46">
        <f t="shared" si="588"/>
        <v>3.493150684931507</v>
      </c>
      <c r="F159" s="46">
        <f t="shared" si="588"/>
        <v>3.1931818181818183</v>
      </c>
      <c r="G159" s="46">
        <f t="shared" si="588"/>
        <v>6.2619047619047619</v>
      </c>
      <c r="H159" s="46">
        <f t="shared" si="588"/>
        <v>12.633333333333333</v>
      </c>
      <c r="I159" s="46">
        <f t="shared" si="588"/>
        <v>6.88</v>
      </c>
      <c r="J159" s="46">
        <f t="shared" si="588"/>
        <v>2.2450980392156863</v>
      </c>
      <c r="K159" s="48">
        <f>+J159</f>
        <v>2.2450980392156863</v>
      </c>
      <c r="L159" s="48">
        <f t="shared" ref="L159" si="589">+K159</f>
        <v>2.2450980392156863</v>
      </c>
      <c r="M159" s="48">
        <f t="shared" ref="M159" si="590">+L159</f>
        <v>2.2450980392156863</v>
      </c>
      <c r="N159" s="48">
        <f t="shared" ref="N159" si="591">+M159</f>
        <v>2.2450980392156863</v>
      </c>
      <c r="O159" s="48">
        <f t="shared" ref="O159" si="592">+N159</f>
        <v>2.2450980392156863</v>
      </c>
    </row>
    <row r="160" spans="1:16" s="1" customFormat="1" x14ac:dyDescent="0.3">
      <c r="A160" s="9" t="s">
        <v>143</v>
      </c>
      <c r="B160" s="1">
        <f>Historicals!B149</f>
        <v>537</v>
      </c>
      <c r="C160" s="1">
        <f>Historicals!C149</f>
        <v>484</v>
      </c>
      <c r="D160" s="1">
        <f>Historicals!D149</f>
        <v>511</v>
      </c>
      <c r="E160" s="1">
        <f>Historicals!E149</f>
        <v>533</v>
      </c>
      <c r="F160" s="1">
        <f>Historicals!F149</f>
        <v>597</v>
      </c>
      <c r="G160" s="1">
        <f>Historicals!G149</f>
        <v>665</v>
      </c>
      <c r="H160" s="1">
        <f>Historicals!H149</f>
        <v>830</v>
      </c>
      <c r="I160" s="1">
        <f>Historicals!I149</f>
        <v>780</v>
      </c>
      <c r="J160" s="1">
        <f>Historicals!J149</f>
        <v>789</v>
      </c>
      <c r="K160" s="47">
        <f>+K145*K162</f>
        <v>3219.1200000000003</v>
      </c>
      <c r="L160" s="47">
        <f>+L145*L162</f>
        <v>13134.009600000003</v>
      </c>
      <c r="M160" s="47">
        <f>+M145*M162</f>
        <v>53586.759168000011</v>
      </c>
      <c r="N160" s="47">
        <f>+N145*N162</f>
        <v>218633.97740544006</v>
      </c>
      <c r="O160" s="47">
        <f>+O145*O162</f>
        <v>892026.62781419535</v>
      </c>
    </row>
    <row r="161" spans="1:15" x14ac:dyDescent="0.3">
      <c r="A161" s="45" t="s">
        <v>129</v>
      </c>
      <c r="C161" s="46">
        <f>+IFERROR(C160/B160-1,"nm")</f>
        <v>-9.8696461824953396E-2</v>
      </c>
      <c r="D161" s="46">
        <f t="shared" ref="D161" si="593">+IFERROR(D160/C160-1,"nm")</f>
        <v>5.5785123966942241E-2</v>
      </c>
      <c r="E161" s="46">
        <f t="shared" ref="E161" si="594">+IFERROR(E160/D160-1,"nm")</f>
        <v>4.3052837573385627E-2</v>
      </c>
      <c r="F161" s="46">
        <f t="shared" ref="F161" si="595">+IFERROR(F160/E160-1,"nm")</f>
        <v>0.12007504690431525</v>
      </c>
      <c r="G161" s="46">
        <f t="shared" ref="G161" si="596">+IFERROR(G160/F160-1,"nm")</f>
        <v>0.11390284757118918</v>
      </c>
      <c r="H161" s="46">
        <f t="shared" ref="H161" si="597">+IFERROR(H160/G160-1,"nm")</f>
        <v>0.24812030075187974</v>
      </c>
      <c r="I161" s="46">
        <f t="shared" ref="I161" si="598">+IFERROR(I160/H160-1,"nm")</f>
        <v>-6.0240963855421659E-2</v>
      </c>
      <c r="J161" s="46">
        <f>+IFERROR(J160/I160-1,"nm")</f>
        <v>1.1538461538461497E-2</v>
      </c>
      <c r="K161" s="46">
        <f>+IFERROR(K160/J160-1,"nm")</f>
        <v>3.08</v>
      </c>
      <c r="L161" s="46">
        <f t="shared" ref="L161" si="599">K161</f>
        <v>3.08</v>
      </c>
      <c r="M161" s="46">
        <f t="shared" ref="M161" si="600">L161</f>
        <v>3.08</v>
      </c>
      <c r="N161" s="46">
        <f t="shared" ref="N161" si="601">M161</f>
        <v>3.08</v>
      </c>
      <c r="O161" s="46">
        <f t="shared" ref="O161" si="602">N161</f>
        <v>3.08</v>
      </c>
    </row>
    <row r="162" spans="1:15" x14ac:dyDescent="0.3">
      <c r="A162" s="45" t="s">
        <v>133</v>
      </c>
      <c r="C162" s="46">
        <f t="shared" ref="C162:J162" si="603">+IFERROR(C160/C$145,"nm")</f>
        <v>4.2086956521739127</v>
      </c>
      <c r="D162" s="46">
        <f t="shared" si="603"/>
        <v>7</v>
      </c>
      <c r="E162" s="46">
        <f t="shared" si="603"/>
        <v>7.3013698630136989</v>
      </c>
      <c r="F162" s="46">
        <f t="shared" si="603"/>
        <v>6.7840909090909092</v>
      </c>
      <c r="G162" s="46">
        <f t="shared" si="603"/>
        <v>15.833333333333334</v>
      </c>
      <c r="H162" s="46">
        <f t="shared" si="603"/>
        <v>27.666666666666668</v>
      </c>
      <c r="I162" s="46">
        <f t="shared" si="603"/>
        <v>31.2</v>
      </c>
      <c r="J162" s="46">
        <f t="shared" si="603"/>
        <v>7.7352941176470589</v>
      </c>
      <c r="K162" s="48">
        <f>+J162</f>
        <v>7.7352941176470589</v>
      </c>
      <c r="L162" s="48">
        <f t="shared" ref="L162" si="604">+K162</f>
        <v>7.7352941176470589</v>
      </c>
      <c r="M162" s="48">
        <f t="shared" ref="M162" si="605">+L162</f>
        <v>7.7352941176470589</v>
      </c>
      <c r="N162" s="48">
        <f t="shared" ref="N162" si="606">+M162</f>
        <v>7.7352941176470589</v>
      </c>
      <c r="O162" s="48">
        <f t="shared" ref="O162" si="607">+N162</f>
        <v>7.7352941176470589</v>
      </c>
    </row>
    <row r="163" spans="1:15" s="1" customFormat="1" x14ac:dyDescent="0.3">
      <c r="A163" s="43" t="s">
        <v>151</v>
      </c>
      <c r="B163" s="43"/>
      <c r="C163" s="43"/>
      <c r="D163" s="43"/>
      <c r="E163" s="43"/>
      <c r="F163" s="43"/>
      <c r="G163" s="43"/>
      <c r="H163" s="43"/>
      <c r="I163" s="43"/>
      <c r="J163" s="43"/>
      <c r="K163" s="39"/>
      <c r="L163" s="39"/>
      <c r="M163" s="39"/>
      <c r="N163" s="39"/>
      <c r="O163" s="39"/>
    </row>
    <row r="164" spans="1:15" s="1" customFormat="1" x14ac:dyDescent="0.3">
      <c r="A164" s="9" t="s">
        <v>136</v>
      </c>
      <c r="B164" s="1">
        <f>Historicals!B125</f>
        <v>1684</v>
      </c>
      <c r="C164" s="1">
        <f>Historicals!C125</f>
        <v>1982</v>
      </c>
      <c r="D164" s="1">
        <f>Historicals!D125</f>
        <v>1955</v>
      </c>
      <c r="E164" s="1">
        <f>Historicals!E125</f>
        <v>2042</v>
      </c>
      <c r="F164" s="1">
        <f>Historicals!F125</f>
        <v>1886</v>
      </c>
      <c r="G164" s="1">
        <f>Historicals!G125</f>
        <v>1906</v>
      </c>
      <c r="H164" s="1">
        <f>Historicals!H125</f>
        <v>1846</v>
      </c>
      <c r="I164" s="1">
        <f>Historicals!I125</f>
        <v>2205</v>
      </c>
      <c r="J164" s="1">
        <f>Historicals!J125</f>
        <v>2346</v>
      </c>
      <c r="K164" s="9">
        <f>(J164*K165)+J164</f>
        <v>2496.0163265306123</v>
      </c>
      <c r="L164" s="9">
        <f t="shared" ref="L164:O164" si="608">(K164*L165)+K164</f>
        <v>2655.6255338053588</v>
      </c>
      <c r="M164" s="9">
        <f t="shared" si="608"/>
        <v>2825.4410441303276</v>
      </c>
      <c r="N164" s="9">
        <f t="shared" si="608"/>
        <v>3006.1155054556684</v>
      </c>
      <c r="O164" s="9">
        <f t="shared" si="608"/>
        <v>3198.3432996820852</v>
      </c>
    </row>
    <row r="165" spans="1:15" x14ac:dyDescent="0.3">
      <c r="A165" s="44" t="s">
        <v>129</v>
      </c>
      <c r="C165" s="46">
        <f t="shared" ref="C165" si="609">+IFERROR(C164/B164-1,"nm")</f>
        <v>0.1769596199524941</v>
      </c>
      <c r="D165" s="46">
        <f t="shared" ref="D165" si="610">+IFERROR(D164/C164-1,"nm")</f>
        <v>-1.3622603430877955E-2</v>
      </c>
      <c r="E165" s="46">
        <f t="shared" ref="E165" si="611">+IFERROR(E164/D164-1,"nm")</f>
        <v>4.4501278772378416E-2</v>
      </c>
      <c r="F165" s="46">
        <f t="shared" ref="F165" si="612">+IFERROR(F164/E164-1,"nm")</f>
        <v>-7.6395690499510338E-2</v>
      </c>
      <c r="G165" s="46">
        <f t="shared" ref="G165" si="613">+IFERROR(G164/F164-1,"nm")</f>
        <v>1.0604453870625585E-2</v>
      </c>
      <c r="H165" s="46">
        <f t="shared" ref="H165" si="614">+IFERROR(H164/G164-1,"nm")</f>
        <v>-3.147953830010497E-2</v>
      </c>
      <c r="I165" s="46">
        <f t="shared" ref="I165" si="615">+IFERROR(I164/H164-1,"nm")</f>
        <v>0.19447453954496208</v>
      </c>
      <c r="J165" s="46">
        <f t="shared" ref="J165" si="616">+IFERROR(J164/I164-1,"nm")</f>
        <v>6.3945578231292544E-2</v>
      </c>
      <c r="K165" s="46">
        <f>J165</f>
        <v>6.3945578231292544E-2</v>
      </c>
      <c r="L165" s="46">
        <f t="shared" ref="L165:O165" si="617">K165</f>
        <v>6.3945578231292544E-2</v>
      </c>
      <c r="M165" s="46">
        <f t="shared" si="617"/>
        <v>6.3945578231292544E-2</v>
      </c>
      <c r="N165" s="46">
        <f t="shared" si="617"/>
        <v>6.3945578231292544E-2</v>
      </c>
      <c r="O165" s="46">
        <f t="shared" si="617"/>
        <v>6.3945578231292544E-2</v>
      </c>
    </row>
    <row r="166" spans="1:15" s="1" customFormat="1" x14ac:dyDescent="0.3">
      <c r="A166" s="9" t="s">
        <v>130</v>
      </c>
      <c r="B166" s="1">
        <f>B169+B173</f>
        <v>512</v>
      </c>
      <c r="C166" s="47">
        <f>+C173+C169</f>
        <v>535</v>
      </c>
      <c r="D166" s="47">
        <f t="shared" ref="D166:I166" si="618">+D173+D169</f>
        <v>514</v>
      </c>
      <c r="E166" s="47">
        <f t="shared" si="618"/>
        <v>505</v>
      </c>
      <c r="F166" s="47">
        <f t="shared" si="618"/>
        <v>343</v>
      </c>
      <c r="G166" s="47">
        <f t="shared" si="618"/>
        <v>334</v>
      </c>
      <c r="H166" s="47">
        <f t="shared" si="618"/>
        <v>322</v>
      </c>
      <c r="I166" s="47">
        <f t="shared" si="618"/>
        <v>569</v>
      </c>
      <c r="J166" s="47">
        <f>+J173+J169</f>
        <v>691</v>
      </c>
      <c r="K166" s="47">
        <f>+K164*K168</f>
        <v>735.18639455782318</v>
      </c>
      <c r="L166" s="47">
        <f t="shared" ref="L166:O166" si="619">+L164*L168</f>
        <v>782.19831366560231</v>
      </c>
      <c r="M166" s="47">
        <f t="shared" si="619"/>
        <v>832.21643712449122</v>
      </c>
      <c r="N166" s="47">
        <f t="shared" si="619"/>
        <v>885.43299841000294</v>
      </c>
      <c r="O166" s="47">
        <f t="shared" si="619"/>
        <v>942.05252347839769</v>
      </c>
    </row>
    <row r="167" spans="1:15" x14ac:dyDescent="0.3">
      <c r="A167" s="45" t="s">
        <v>129</v>
      </c>
      <c r="C167" s="46">
        <f>+IFERROR(C166/B166-1,"nm")</f>
        <v>4.4921875E-2</v>
      </c>
      <c r="D167" s="46">
        <f t="shared" ref="D167" si="620">+IFERROR(D166/C166-1,"nm")</f>
        <v>-3.9252336448598157E-2</v>
      </c>
      <c r="E167" s="46">
        <f t="shared" ref="E167" si="621">+IFERROR(E166/D166-1,"nm")</f>
        <v>-1.7509727626459193E-2</v>
      </c>
      <c r="F167" s="46">
        <f t="shared" ref="F167" si="622">+IFERROR(F166/E166-1,"nm")</f>
        <v>-0.32079207920792074</v>
      </c>
      <c r="G167" s="46">
        <f t="shared" ref="G167" si="623">+IFERROR(G166/F166-1,"nm")</f>
        <v>-2.6239067055393583E-2</v>
      </c>
      <c r="H167" s="46">
        <f t="shared" ref="H167" si="624">+IFERROR(H166/G166-1,"nm")</f>
        <v>-3.59281437125748E-2</v>
      </c>
      <c r="I167" s="46">
        <f t="shared" ref="I167" si="625">+IFERROR(I166/H166-1,"nm")</f>
        <v>0.76708074534161486</v>
      </c>
      <c r="J167" s="46">
        <f>+IFERROR(J166/I166-1,"nm")</f>
        <v>0.21441124780316345</v>
      </c>
      <c r="K167" s="46">
        <f t="shared" ref="K167" si="626">+IFERROR(K166/J166-1,"nm")</f>
        <v>6.3945578231292544E-2</v>
      </c>
      <c r="L167" s="46">
        <f t="shared" ref="L167" si="627">+IFERROR(L166/K166-1,"nm")</f>
        <v>6.3945578231292544E-2</v>
      </c>
      <c r="M167" s="46">
        <f t="shared" ref="M167" si="628">+IFERROR(M166/L166-1,"nm")</f>
        <v>6.3945578231292544E-2</v>
      </c>
      <c r="N167" s="46">
        <f t="shared" ref="N167" si="629">+IFERROR(N166/M166-1,"nm")</f>
        <v>6.3945578231292544E-2</v>
      </c>
      <c r="O167" s="46">
        <f t="shared" ref="O167" si="630">+IFERROR(O166/N166-1,"nm")</f>
        <v>6.3945578231292544E-2</v>
      </c>
    </row>
    <row r="168" spans="1:15" x14ac:dyDescent="0.3">
      <c r="A168" s="45" t="s">
        <v>131</v>
      </c>
      <c r="C168" s="46">
        <f>+IFERROR(C166/C$164,"nm")</f>
        <v>0.26992936427850656</v>
      </c>
      <c r="D168" s="46">
        <f t="shared" ref="D168:J168" si="631">+IFERROR(D166/D$164,"nm")</f>
        <v>0.26291560102301792</v>
      </c>
      <c r="E168" s="46">
        <f t="shared" si="631"/>
        <v>0.24730656219392752</v>
      </c>
      <c r="F168" s="46">
        <f t="shared" si="631"/>
        <v>0.18186638388123011</v>
      </c>
      <c r="G168" s="46">
        <f t="shared" si="631"/>
        <v>0.17523609653725078</v>
      </c>
      <c r="H168" s="46">
        <f t="shared" si="631"/>
        <v>0.17443120260021669</v>
      </c>
      <c r="I168" s="46">
        <f t="shared" si="631"/>
        <v>0.25804988662131517</v>
      </c>
      <c r="J168" s="46">
        <f t="shared" si="631"/>
        <v>0.29454390451832907</v>
      </c>
      <c r="K168" s="48">
        <f>+J168</f>
        <v>0.29454390451832907</v>
      </c>
      <c r="L168" s="48">
        <f t="shared" ref="L168:O168" si="632">+K168</f>
        <v>0.29454390451832907</v>
      </c>
      <c r="M168" s="48">
        <f t="shared" si="632"/>
        <v>0.29454390451832907</v>
      </c>
      <c r="N168" s="48">
        <f t="shared" si="632"/>
        <v>0.29454390451832907</v>
      </c>
      <c r="O168" s="48">
        <f t="shared" si="632"/>
        <v>0.29454390451832907</v>
      </c>
    </row>
    <row r="169" spans="1:15" s="1" customFormat="1" x14ac:dyDescent="0.3">
      <c r="A169" s="9" t="s">
        <v>132</v>
      </c>
      <c r="B169" s="1">
        <f>Historicals!B173</f>
        <v>16</v>
      </c>
      <c r="C169" s="1">
        <f>Historicals!C173</f>
        <v>18</v>
      </c>
      <c r="D169" s="1">
        <f>Historicals!D173</f>
        <v>27</v>
      </c>
      <c r="E169" s="1">
        <f>Historicals!E173</f>
        <v>28</v>
      </c>
      <c r="F169" s="1">
        <f>Historicals!F173</f>
        <v>33</v>
      </c>
      <c r="G169" s="1">
        <f>Historicals!G173</f>
        <v>31</v>
      </c>
      <c r="H169" s="1">
        <f>Historicals!H173</f>
        <v>25</v>
      </c>
      <c r="I169" s="1">
        <f>Historicals!I173</f>
        <v>26</v>
      </c>
      <c r="J169" s="1">
        <f>Historicals!J173</f>
        <v>22</v>
      </c>
      <c r="K169" s="47">
        <f>+K172*K179</f>
        <v>23.40680272108844</v>
      </c>
      <c r="L169" s="47">
        <f t="shared" ref="L169:O169" si="633">+L172*L179</f>
        <v>24.903564255634226</v>
      </c>
      <c r="M169" s="47">
        <f t="shared" si="633"/>
        <v>26.496037071980908</v>
      </c>
      <c r="N169" s="47">
        <f t="shared" si="633"/>
        <v>28.19034148338649</v>
      </c>
      <c r="O169" s="47">
        <f t="shared" si="633"/>
        <v>29.99298917007923</v>
      </c>
    </row>
    <row r="170" spans="1:15" x14ac:dyDescent="0.3">
      <c r="A170" s="45" t="s">
        <v>129</v>
      </c>
      <c r="C170" s="46">
        <f>+IFERROR(C169/B169-1,"nm")</f>
        <v>0.125</v>
      </c>
      <c r="D170" s="46">
        <f t="shared" ref="D170" si="634">+IFERROR(D169/C169-1,"nm")</f>
        <v>0.5</v>
      </c>
      <c r="E170" s="46">
        <f t="shared" ref="E170" si="635">+IFERROR(E169/D169-1,"nm")</f>
        <v>3.7037037037036979E-2</v>
      </c>
      <c r="F170" s="46">
        <f t="shared" ref="F170" si="636">+IFERROR(F169/E169-1,"nm")</f>
        <v>0.1785714285714286</v>
      </c>
      <c r="G170" s="46">
        <f t="shared" ref="G170" si="637">+IFERROR(G169/F169-1,"nm")</f>
        <v>-6.0606060606060552E-2</v>
      </c>
      <c r="H170" s="46">
        <f t="shared" ref="H170" si="638">+IFERROR(H169/G169-1,"nm")</f>
        <v>-0.19354838709677424</v>
      </c>
      <c r="I170" s="46">
        <f t="shared" ref="I170" si="639">+IFERROR(I169/H169-1,"nm")</f>
        <v>4.0000000000000036E-2</v>
      </c>
      <c r="J170" s="46">
        <f>+IFERROR(J169/I169-1,"nm")</f>
        <v>-0.15384615384615385</v>
      </c>
      <c r="K170" s="46">
        <f t="shared" ref="K170" si="640">+IFERROR(K169/J169-1,"nm")</f>
        <v>6.3945578231292766E-2</v>
      </c>
      <c r="L170" s="46">
        <f t="shared" ref="L170" si="641">+IFERROR(L169/K169-1,"nm")</f>
        <v>6.3945578231292322E-2</v>
      </c>
      <c r="M170" s="46">
        <f t="shared" ref="M170" si="642">+IFERROR(M169/L169-1,"nm")</f>
        <v>6.3945578231292544E-2</v>
      </c>
      <c r="N170" s="46">
        <f t="shared" ref="N170" si="643">+IFERROR(N169/M169-1,"nm")</f>
        <v>6.3945578231292544E-2</v>
      </c>
      <c r="O170" s="46">
        <f t="shared" ref="O170" si="644">+IFERROR(O169/N169-1,"nm")</f>
        <v>6.3945578231292544E-2</v>
      </c>
    </row>
    <row r="171" spans="1:15" x14ac:dyDescent="0.3">
      <c r="A171" s="45" t="s">
        <v>133</v>
      </c>
      <c r="C171" s="46">
        <f>+IFERROR(C169/C$164,"nm")</f>
        <v>9.0817356205852677E-3</v>
      </c>
      <c r="D171" s="46">
        <f t="shared" ref="D171:J171" si="645">+IFERROR(D169/D$164,"nm")</f>
        <v>1.3810741687979539E-2</v>
      </c>
      <c r="E171" s="46">
        <f t="shared" si="645"/>
        <v>1.3712047012732615E-2</v>
      </c>
      <c r="F171" s="46">
        <f t="shared" si="645"/>
        <v>1.7497348886532343E-2</v>
      </c>
      <c r="G171" s="46">
        <f t="shared" si="645"/>
        <v>1.6264428121720881E-2</v>
      </c>
      <c r="H171" s="46">
        <f t="shared" si="645"/>
        <v>1.3542795232936078E-2</v>
      </c>
      <c r="I171" s="46">
        <f t="shared" si="645"/>
        <v>1.1791383219954649E-2</v>
      </c>
      <c r="J171" s="46">
        <f t="shared" si="645"/>
        <v>9.3776641091219103E-3</v>
      </c>
      <c r="K171" s="46">
        <f>+IFERROR(K169/K$21,"nm")</f>
        <v>1.1937842512913539E-3</v>
      </c>
      <c r="L171" s="46">
        <f>+IFERROR(L169/L$21,"nm")</f>
        <v>1.1888746705181576E-3</v>
      </c>
      <c r="M171" s="46">
        <f>+IFERROR(M169/M$21,"nm")</f>
        <v>1.18398528098416E-3</v>
      </c>
      <c r="N171" s="46">
        <f>+IFERROR(N169/N$21,"nm")</f>
        <v>1.1791159996504695E-3</v>
      </c>
      <c r="O171" s="46">
        <f>+IFERROR(O169/O$21,"nm")</f>
        <v>1.1742667438197031E-3</v>
      </c>
    </row>
    <row r="172" spans="1:15" x14ac:dyDescent="0.3">
      <c r="A172" s="45" t="s">
        <v>142</v>
      </c>
      <c r="C172" s="46">
        <f>+IFERROR(C169/C179,"nm")</f>
        <v>0.14754098360655737</v>
      </c>
      <c r="D172" s="46">
        <f t="shared" ref="D172:I172" si="646">+IFERROR(D169/D179,"nm")</f>
        <v>0.216</v>
      </c>
      <c r="E172" s="46">
        <f t="shared" si="646"/>
        <v>0.224</v>
      </c>
      <c r="F172" s="46">
        <f t="shared" si="646"/>
        <v>0.28695652173913044</v>
      </c>
      <c r="G172" s="46">
        <f t="shared" si="646"/>
        <v>0.31</v>
      </c>
      <c r="H172" s="46">
        <f t="shared" si="646"/>
        <v>0.3125</v>
      </c>
      <c r="I172" s="46">
        <f t="shared" si="646"/>
        <v>0.41269841269841268</v>
      </c>
      <c r="J172" s="46">
        <f>+IFERROR(J169/J179,"nm")</f>
        <v>0.44897959183673469</v>
      </c>
      <c r="K172" s="48">
        <f>+J172</f>
        <v>0.44897959183673469</v>
      </c>
      <c r="L172" s="48">
        <f t="shared" ref="L172" si="647">+K172</f>
        <v>0.44897959183673469</v>
      </c>
      <c r="M172" s="48">
        <f t="shared" ref="M172" si="648">+L172</f>
        <v>0.44897959183673469</v>
      </c>
      <c r="N172" s="48">
        <f t="shared" ref="N172" si="649">+M172</f>
        <v>0.44897959183673469</v>
      </c>
      <c r="O172" s="48">
        <f t="shared" ref="O172" si="650">+N172</f>
        <v>0.44897959183673469</v>
      </c>
    </row>
    <row r="173" spans="1:15" s="1" customFormat="1" x14ac:dyDescent="0.3">
      <c r="A173" s="9" t="s">
        <v>134</v>
      </c>
      <c r="B173" s="1">
        <f>Historicals!B140</f>
        <v>496</v>
      </c>
      <c r="C173" s="1">
        <f>Historicals!C140</f>
        <v>517</v>
      </c>
      <c r="D173" s="1">
        <f>Historicals!D140</f>
        <v>487</v>
      </c>
      <c r="E173" s="1">
        <f>Historicals!E140</f>
        <v>477</v>
      </c>
      <c r="F173" s="1">
        <f>Historicals!F140</f>
        <v>310</v>
      </c>
      <c r="G173" s="1">
        <f>Historicals!G140</f>
        <v>303</v>
      </c>
      <c r="H173" s="1">
        <f>Historicals!H140</f>
        <v>297</v>
      </c>
      <c r="I173" s="1">
        <f>Historicals!I140</f>
        <v>543</v>
      </c>
      <c r="J173" s="1">
        <f>Historicals!J140</f>
        <v>669</v>
      </c>
      <c r="K173" s="9">
        <f>+K166-K169</f>
        <v>711.77959183673477</v>
      </c>
      <c r="L173" s="9">
        <f t="shared" ref="L173:O173" si="651">+L166-L169</f>
        <v>757.29474940996806</v>
      </c>
      <c r="M173" s="9">
        <f t="shared" si="651"/>
        <v>805.72040005251029</v>
      </c>
      <c r="N173" s="9">
        <f t="shared" si="651"/>
        <v>857.24265692661641</v>
      </c>
      <c r="O173" s="9">
        <f t="shared" si="651"/>
        <v>912.05953430831846</v>
      </c>
    </row>
    <row r="174" spans="1:15" x14ac:dyDescent="0.3">
      <c r="A174" s="45" t="s">
        <v>129</v>
      </c>
      <c r="C174" s="46">
        <f>+IFERROR(C173/B173-1,"nm")</f>
        <v>4.2338709677419262E-2</v>
      </c>
      <c r="D174" s="46">
        <f t="shared" ref="D174" si="652">+IFERROR(D173/C173-1,"nm")</f>
        <v>-5.8027079303675011E-2</v>
      </c>
      <c r="E174" s="46">
        <f t="shared" ref="E174" si="653">+IFERROR(E173/D173-1,"nm")</f>
        <v>-2.0533880903490731E-2</v>
      </c>
      <c r="F174" s="46">
        <f t="shared" ref="F174" si="654">+IFERROR(F173/E173-1,"nm")</f>
        <v>-0.35010482180293501</v>
      </c>
      <c r="G174" s="46">
        <f t="shared" ref="G174" si="655">+IFERROR(G173/F173-1,"nm")</f>
        <v>-2.2580645161290325E-2</v>
      </c>
      <c r="H174" s="46">
        <f t="shared" ref="H174" si="656">+IFERROR(H173/G173-1,"nm")</f>
        <v>-1.980198019801982E-2</v>
      </c>
      <c r="I174" s="46">
        <f t="shared" ref="I174" si="657">+IFERROR(I173/H173-1,"nm")</f>
        <v>0.82828282828282829</v>
      </c>
      <c r="J174" s="46">
        <f>+IFERROR(J173/I173-1,"nm")</f>
        <v>0.2320441988950277</v>
      </c>
      <c r="K174" s="46">
        <f t="shared" ref="K174" si="658">+IFERROR(K173/J173-1,"nm")</f>
        <v>6.3945578231292544E-2</v>
      </c>
      <c r="L174" s="46">
        <f t="shared" ref="L174" si="659">+IFERROR(L173/K173-1,"nm")</f>
        <v>6.3945578231292322E-2</v>
      </c>
      <c r="M174" s="46">
        <f t="shared" ref="M174" si="660">+IFERROR(M173/L173-1,"nm")</f>
        <v>6.3945578231292544E-2</v>
      </c>
      <c r="N174" s="46">
        <f t="shared" ref="N174" si="661">+IFERROR(N173/M173-1,"nm")</f>
        <v>6.3945578231292544E-2</v>
      </c>
      <c r="O174" s="46">
        <f t="shared" ref="O174" si="662">+IFERROR(O173/N173-1,"nm")</f>
        <v>6.3945578231292544E-2</v>
      </c>
    </row>
    <row r="175" spans="1:15" x14ac:dyDescent="0.3">
      <c r="A175" s="45" t="s">
        <v>131</v>
      </c>
      <c r="C175" s="46">
        <f>+IFERROR(C173/C$164,"nm")</f>
        <v>0.26084762865792127</v>
      </c>
      <c r="D175" s="46">
        <f t="shared" ref="D175:J175" si="663">+IFERROR(D173/D$164,"nm")</f>
        <v>0.24910485933503837</v>
      </c>
      <c r="E175" s="46">
        <f t="shared" si="663"/>
        <v>0.23359451518119489</v>
      </c>
      <c r="F175" s="46">
        <f t="shared" si="663"/>
        <v>0.16436903499469777</v>
      </c>
      <c r="G175" s="46">
        <f t="shared" si="663"/>
        <v>0.1589716684155299</v>
      </c>
      <c r="H175" s="46">
        <f t="shared" si="663"/>
        <v>0.16088840736728061</v>
      </c>
      <c r="I175" s="46">
        <f t="shared" si="663"/>
        <v>0.24625850340136055</v>
      </c>
      <c r="J175" s="46">
        <f t="shared" si="663"/>
        <v>0.28516624040920718</v>
      </c>
      <c r="K175" s="46">
        <f>+J175</f>
        <v>0.28516624040920718</v>
      </c>
      <c r="L175" s="46">
        <f>+IFERROR(L173/L$21,"nm")</f>
        <v>3.6152597935302157E-2</v>
      </c>
      <c r="M175" s="46">
        <f>+IFERROR(M173/M$21,"nm")</f>
        <v>3.600391604447286E-2</v>
      </c>
      <c r="N175" s="46">
        <f>+IFERROR(N173/N$21,"nm")</f>
        <v>3.5855845625734732E-2</v>
      </c>
      <c r="O175" s="46">
        <f>+IFERROR(O173/O$21,"nm")</f>
        <v>3.570838416433552E-2</v>
      </c>
    </row>
    <row r="176" spans="1:15" s="1" customFormat="1" x14ac:dyDescent="0.3">
      <c r="A176" s="9" t="s">
        <v>135</v>
      </c>
      <c r="C176" s="1">
        <f>C179-B179+C169</f>
        <v>70</v>
      </c>
      <c r="D176" s="1">
        <f t="shared" ref="D176:J176" si="664">D179-C179+D169</f>
        <v>30</v>
      </c>
      <c r="E176" s="1">
        <f t="shared" si="664"/>
        <v>28</v>
      </c>
      <c r="F176" s="1">
        <f t="shared" si="664"/>
        <v>23</v>
      </c>
      <c r="G176" s="1">
        <f t="shared" si="664"/>
        <v>16</v>
      </c>
      <c r="H176" s="1">
        <f t="shared" si="664"/>
        <v>5</v>
      </c>
      <c r="I176" s="1">
        <f t="shared" si="664"/>
        <v>9</v>
      </c>
      <c r="J176" s="1">
        <f t="shared" si="664"/>
        <v>8</v>
      </c>
      <c r="K176" s="47">
        <f>+K164*K178</f>
        <v>8.5115646258503403</v>
      </c>
      <c r="L176" s="47">
        <f>+L164*L178</f>
        <v>9.0558415475033556</v>
      </c>
      <c r="M176" s="47">
        <f>+M164*M178</f>
        <v>9.6349225716294207</v>
      </c>
      <c r="N176" s="47">
        <f>+N164*N178</f>
        <v>10.251033266685996</v>
      </c>
      <c r="O176" s="47">
        <f>+O164*O178</f>
        <v>10.906541516392448</v>
      </c>
    </row>
    <row r="177" spans="1:15" x14ac:dyDescent="0.3">
      <c r="A177" s="45" t="s">
        <v>129</v>
      </c>
      <c r="C177" s="46" t="str">
        <f>+IFERROR(C176/B176-1,"nm")</f>
        <v>nm</v>
      </c>
      <c r="D177" s="46">
        <f t="shared" ref="D177" si="665">+IFERROR(D176/C176-1,"nm")</f>
        <v>-0.5714285714285714</v>
      </c>
      <c r="E177" s="46">
        <f t="shared" ref="E177" si="666">+IFERROR(E176/D176-1,"nm")</f>
        <v>-6.6666666666666652E-2</v>
      </c>
      <c r="F177" s="46">
        <f t="shared" ref="F177" si="667">+IFERROR(F176/E176-1,"nm")</f>
        <v>-0.1785714285714286</v>
      </c>
      <c r="G177" s="46">
        <f t="shared" ref="G177" si="668">+IFERROR(G176/F176-1,"nm")</f>
        <v>-0.30434782608695654</v>
      </c>
      <c r="H177" s="46">
        <f t="shared" ref="H177" si="669">+IFERROR(H176/G176-1,"nm")</f>
        <v>-0.6875</v>
      </c>
      <c r="I177" s="46">
        <f t="shared" ref="I177" si="670">+IFERROR(I176/H176-1,"nm")</f>
        <v>0.8</v>
      </c>
      <c r="J177" s="46">
        <f>+IFERROR(J176/I176-1,"nm")</f>
        <v>-0.11111111111111116</v>
      </c>
      <c r="K177" s="46">
        <f>+IFERROR(K176/J176-1,"nm")</f>
        <v>6.3945578231292544E-2</v>
      </c>
      <c r="L177" s="46">
        <f t="shared" ref="L177" si="671">+IFERROR(L176/K176-1,"nm")</f>
        <v>6.3945578231292544E-2</v>
      </c>
      <c r="M177" s="46">
        <f t="shared" ref="M177" si="672">+IFERROR(M176/L176-1,"nm")</f>
        <v>6.3945578231292544E-2</v>
      </c>
      <c r="N177" s="46">
        <f t="shared" ref="N177" si="673">+IFERROR(N176/M176-1,"nm")</f>
        <v>6.3945578231292544E-2</v>
      </c>
      <c r="O177" s="46">
        <f t="shared" ref="O177" si="674">+IFERROR(O176/N176-1,"nm")</f>
        <v>6.3945578231292544E-2</v>
      </c>
    </row>
    <row r="178" spans="1:15" x14ac:dyDescent="0.3">
      <c r="A178" s="45" t="s">
        <v>133</v>
      </c>
      <c r="C178" s="46">
        <f>+IFERROR(C176/C$164,"nm")</f>
        <v>3.5317860746720484E-2</v>
      </c>
      <c r="D178" s="46">
        <f t="shared" ref="D178:J178" si="675">+IFERROR(D176/D$164,"nm")</f>
        <v>1.5345268542199489E-2</v>
      </c>
      <c r="E178" s="46">
        <f t="shared" si="675"/>
        <v>1.3712047012732615E-2</v>
      </c>
      <c r="F178" s="46">
        <f t="shared" si="675"/>
        <v>1.2195121951219513E-2</v>
      </c>
      <c r="G178" s="46">
        <f t="shared" si="675"/>
        <v>8.3945435466946487E-3</v>
      </c>
      <c r="H178" s="46">
        <f t="shared" si="675"/>
        <v>2.7085590465872156E-3</v>
      </c>
      <c r="I178" s="46">
        <f t="shared" si="675"/>
        <v>4.0816326530612249E-3</v>
      </c>
      <c r="J178" s="46">
        <f t="shared" si="675"/>
        <v>3.4100596760443308E-3</v>
      </c>
      <c r="K178" s="48">
        <f>+J178</f>
        <v>3.4100596760443308E-3</v>
      </c>
      <c r="L178" s="48">
        <f t="shared" ref="L178" si="676">+K178</f>
        <v>3.4100596760443308E-3</v>
      </c>
      <c r="M178" s="48">
        <f t="shared" ref="M178" si="677">+L178</f>
        <v>3.4100596760443308E-3</v>
      </c>
      <c r="N178" s="48">
        <f t="shared" ref="N178" si="678">+M178</f>
        <v>3.4100596760443308E-3</v>
      </c>
      <c r="O178" s="48">
        <f t="shared" ref="O178" si="679">+N178</f>
        <v>3.4100596760443308E-3</v>
      </c>
    </row>
    <row r="179" spans="1:15" s="1" customFormat="1" x14ac:dyDescent="0.3">
      <c r="A179" s="9" t="s">
        <v>143</v>
      </c>
      <c r="B179" s="1">
        <f>Historicals!B151</f>
        <v>70</v>
      </c>
      <c r="C179" s="1">
        <f>Historicals!C151</f>
        <v>122</v>
      </c>
      <c r="D179" s="1">
        <f>Historicals!D151</f>
        <v>125</v>
      </c>
      <c r="E179" s="1">
        <f>Historicals!E151</f>
        <v>125</v>
      </c>
      <c r="F179" s="1">
        <f>Historicals!F151</f>
        <v>115</v>
      </c>
      <c r="G179" s="1">
        <f>Historicals!G151</f>
        <v>100</v>
      </c>
      <c r="H179" s="1">
        <f>Historicals!H151</f>
        <v>80</v>
      </c>
      <c r="I179" s="1">
        <f>Historicals!I151</f>
        <v>63</v>
      </c>
      <c r="J179" s="1">
        <f>Historicals!J151</f>
        <v>49</v>
      </c>
      <c r="K179" s="47">
        <f>+K164*K181</f>
        <v>52.13333333333334</v>
      </c>
      <c r="L179" s="47">
        <f>+L164*L181</f>
        <v>55.467029478458052</v>
      </c>
      <c r="M179" s="47">
        <f>+M164*M181</f>
        <v>59.013900751230203</v>
      </c>
      <c r="N179" s="47">
        <f>+N164*N181</f>
        <v>62.78757875845173</v>
      </c>
      <c r="O179" s="47">
        <f>+O164*O181</f>
        <v>66.802566787903743</v>
      </c>
    </row>
    <row r="180" spans="1:15" x14ac:dyDescent="0.3">
      <c r="A180" s="45" t="s">
        <v>129</v>
      </c>
      <c r="C180" s="46">
        <f>+IFERROR(C179/B179-1,"nm")</f>
        <v>0.74285714285714288</v>
      </c>
      <c r="D180" s="46">
        <f t="shared" ref="D180" si="680">+IFERROR(D179/C179-1,"nm")</f>
        <v>2.4590163934426146E-2</v>
      </c>
      <c r="E180" s="46">
        <f t="shared" ref="E180" si="681">+IFERROR(E179/D179-1,"nm")</f>
        <v>0</v>
      </c>
      <c r="F180" s="46">
        <f t="shared" ref="F180" si="682">+IFERROR(F179/E179-1,"nm")</f>
        <v>-7.999999999999996E-2</v>
      </c>
      <c r="G180" s="46">
        <f t="shared" ref="G180" si="683">+IFERROR(G179/F179-1,"nm")</f>
        <v>-0.13043478260869568</v>
      </c>
      <c r="H180" s="46">
        <f t="shared" ref="H180" si="684">+IFERROR(H179/G179-1,"nm")</f>
        <v>-0.19999999999999996</v>
      </c>
      <c r="I180" s="46">
        <f t="shared" ref="I180" si="685">+IFERROR(I179/H179-1,"nm")</f>
        <v>-0.21250000000000002</v>
      </c>
      <c r="J180" s="46">
        <f>+IFERROR(J179/I179-1,"nm")</f>
        <v>-0.22222222222222221</v>
      </c>
      <c r="K180" s="46">
        <f>+IFERROR(K179/J179-1,"nm")</f>
        <v>6.3945578231292544E-2</v>
      </c>
      <c r="L180" s="46">
        <f t="shared" ref="L180" si="686">K180</f>
        <v>6.3945578231292544E-2</v>
      </c>
      <c r="M180" s="46">
        <f t="shared" ref="M180" si="687">L180</f>
        <v>6.3945578231292544E-2</v>
      </c>
      <c r="N180" s="46">
        <f t="shared" ref="N180" si="688">M180</f>
        <v>6.3945578231292544E-2</v>
      </c>
      <c r="O180" s="46">
        <f t="shared" ref="O180" si="689">N180</f>
        <v>6.3945578231292544E-2</v>
      </c>
    </row>
    <row r="181" spans="1:15" x14ac:dyDescent="0.3">
      <c r="A181" s="45" t="s">
        <v>133</v>
      </c>
      <c r="C181" s="46">
        <f>+IFERROR(C179/C$164,"nm")</f>
        <v>6.1553985872855703E-2</v>
      </c>
      <c r="D181" s="46">
        <f t="shared" ref="D181:J181" si="690">+IFERROR(D179/D$164,"nm")</f>
        <v>6.3938618925831206E-2</v>
      </c>
      <c r="E181" s="46">
        <f t="shared" si="690"/>
        <v>6.1214495592556317E-2</v>
      </c>
      <c r="F181" s="46">
        <f t="shared" si="690"/>
        <v>6.097560975609756E-2</v>
      </c>
      <c r="G181" s="46">
        <f t="shared" si="690"/>
        <v>5.2465897166841552E-2</v>
      </c>
      <c r="H181" s="46">
        <f t="shared" si="690"/>
        <v>4.3336944745395449E-2</v>
      </c>
      <c r="I181" s="46">
        <f t="shared" si="690"/>
        <v>2.8571428571428571E-2</v>
      </c>
      <c r="J181" s="46">
        <f t="shared" si="690"/>
        <v>2.0886615515771527E-2</v>
      </c>
      <c r="K181" s="48">
        <f>+J181</f>
        <v>2.0886615515771527E-2</v>
      </c>
      <c r="L181" s="48">
        <f t="shared" ref="L181" si="691">+K181</f>
        <v>2.0886615515771527E-2</v>
      </c>
      <c r="M181" s="48">
        <f t="shared" ref="M181" si="692">+L181</f>
        <v>2.0886615515771527E-2</v>
      </c>
      <c r="N181" s="48">
        <f t="shared" ref="N181" si="693">+M181</f>
        <v>2.0886615515771527E-2</v>
      </c>
      <c r="O181" s="48">
        <f t="shared" ref="O181" si="694">+N181</f>
        <v>2.0886615515771527E-2</v>
      </c>
    </row>
    <row r="182" spans="1:15" x14ac:dyDescent="0.3">
      <c r="A182" s="43" t="s">
        <v>152</v>
      </c>
      <c r="B182" s="43"/>
      <c r="C182" s="43"/>
      <c r="D182" s="43"/>
      <c r="E182" s="43"/>
      <c r="F182" s="43"/>
      <c r="G182" s="43"/>
      <c r="H182" s="43"/>
      <c r="I182" s="43"/>
      <c r="J182" s="43"/>
      <c r="K182" s="39"/>
      <c r="L182" s="39"/>
      <c r="M182" s="39"/>
      <c r="N182" s="39"/>
      <c r="O182" s="39"/>
    </row>
    <row r="183" spans="1:15" x14ac:dyDescent="0.3">
      <c r="A183" s="9" t="s">
        <v>136</v>
      </c>
      <c r="B183">
        <f>Historicals!B130</f>
        <v>3</v>
      </c>
      <c r="C183">
        <f>Historicals!C130</f>
        <v>-82</v>
      </c>
      <c r="D183">
        <f>Historicals!D130</f>
        <v>-86</v>
      </c>
      <c r="E183">
        <f>Historicals!E130</f>
        <v>75</v>
      </c>
      <c r="F183">
        <f>Historicals!F130</f>
        <v>26</v>
      </c>
      <c r="G183">
        <f>Historicals!G130</f>
        <v>-7</v>
      </c>
      <c r="H183">
        <f>Historicals!H130</f>
        <v>-11</v>
      </c>
      <c r="I183">
        <f>Historicals!I130</f>
        <v>40</v>
      </c>
      <c r="J183">
        <f>Historicals!J130</f>
        <v>-72</v>
      </c>
      <c r="K183" s="9">
        <f>(J183*K184)+J183</f>
        <v>129.6</v>
      </c>
      <c r="L183" s="9">
        <f>(K183*L184)+K183</f>
        <v>-233.27999999999994</v>
      </c>
      <c r="M183" s="9">
        <f t="shared" ref="M183:O183" si="695">(L183*M184)+L183</f>
        <v>419.90399999999988</v>
      </c>
      <c r="N183" s="9">
        <f t="shared" si="695"/>
        <v>-755.82719999999961</v>
      </c>
      <c r="O183" s="9">
        <f t="shared" si="695"/>
        <v>1360.4889599999992</v>
      </c>
    </row>
    <row r="184" spans="1:15" x14ac:dyDescent="0.3">
      <c r="A184" s="44" t="s">
        <v>129</v>
      </c>
      <c r="C184" s="46">
        <f t="shared" ref="C184" si="696">+IFERROR(C183/B183-1,"nm")</f>
        <v>-28.333333333333332</v>
      </c>
      <c r="D184" s="46">
        <f t="shared" ref="D184" si="697">+IFERROR(D183/C183-1,"nm")</f>
        <v>4.8780487804878092E-2</v>
      </c>
      <c r="E184" s="46">
        <f t="shared" ref="E184" si="698">+IFERROR(E183/D183-1,"nm")</f>
        <v>-1.8720930232558139</v>
      </c>
      <c r="F184" s="46">
        <f t="shared" ref="F184" si="699">+IFERROR(F183/E183-1,"nm")</f>
        <v>-0.65333333333333332</v>
      </c>
      <c r="G184" s="46">
        <f t="shared" ref="G184" si="700">+IFERROR(G183/F183-1,"nm")</f>
        <v>-1.2692307692307692</v>
      </c>
      <c r="H184" s="46">
        <f t="shared" ref="H184" si="701">+IFERROR(H183/G183-1,"nm")</f>
        <v>0.5714285714285714</v>
      </c>
      <c r="I184" s="46">
        <f t="shared" ref="I184" si="702">+IFERROR(I183/H183-1,"nm")</f>
        <v>-4.6363636363636367</v>
      </c>
      <c r="J184" s="46">
        <f t="shared" ref="J184" si="703">+IFERROR(J183/I183-1,"nm")</f>
        <v>-2.8</v>
      </c>
      <c r="K184" s="46">
        <f>J184</f>
        <v>-2.8</v>
      </c>
      <c r="L184" s="46">
        <f t="shared" ref="L184:O184" si="704">K184</f>
        <v>-2.8</v>
      </c>
      <c r="M184" s="46">
        <f t="shared" si="704"/>
        <v>-2.8</v>
      </c>
      <c r="N184" s="46">
        <f t="shared" si="704"/>
        <v>-2.8</v>
      </c>
      <c r="O184" s="46">
        <f t="shared" si="704"/>
        <v>-2.8</v>
      </c>
    </row>
    <row r="185" spans="1:15" s="1" customFormat="1" x14ac:dyDescent="0.3">
      <c r="A185" s="9" t="s">
        <v>130</v>
      </c>
      <c r="B185" s="1">
        <f>B188+B192</f>
        <v>-982</v>
      </c>
      <c r="C185" s="47">
        <f>+C192+C188</f>
        <v>-1022</v>
      </c>
      <c r="D185" s="47">
        <f t="shared" ref="D185:I185" si="705">+D192+D188</f>
        <v>-1089</v>
      </c>
      <c r="E185" s="47">
        <f t="shared" si="705"/>
        <v>-633</v>
      </c>
      <c r="F185" s="47">
        <f t="shared" si="705"/>
        <v>-1346</v>
      </c>
      <c r="G185" s="47">
        <f t="shared" si="705"/>
        <v>-1694</v>
      </c>
      <c r="H185" s="47">
        <f t="shared" si="705"/>
        <v>-1855</v>
      </c>
      <c r="I185" s="47">
        <f t="shared" si="705"/>
        <v>-2120</v>
      </c>
      <c r="J185" s="47">
        <f>+J192+J188</f>
        <v>-2085</v>
      </c>
      <c r="K185" s="47">
        <f>+K183*K187</f>
        <v>3752.9999999999995</v>
      </c>
      <c r="L185" s="47">
        <f t="shared" ref="L185:O185" si="706">+L183*L187</f>
        <v>-6755.3999999999978</v>
      </c>
      <c r="M185" s="47">
        <f t="shared" si="706"/>
        <v>12159.719999999996</v>
      </c>
      <c r="N185" s="47">
        <f t="shared" si="706"/>
        <v>-21887.495999999988</v>
      </c>
      <c r="O185" s="47">
        <f t="shared" si="706"/>
        <v>39397.492799999978</v>
      </c>
    </row>
    <row r="186" spans="1:15" x14ac:dyDescent="0.3">
      <c r="A186" s="45" t="s">
        <v>129</v>
      </c>
      <c r="C186" s="46">
        <f>+IFERROR(C185/B185-1,"nm")</f>
        <v>4.0733197556008127E-2</v>
      </c>
      <c r="D186" s="46">
        <f t="shared" ref="D186" si="707">+IFERROR(D185/C185-1,"nm")</f>
        <v>6.5557729941291498E-2</v>
      </c>
      <c r="E186" s="46">
        <f t="shared" ref="E186" si="708">+IFERROR(E185/D185-1,"nm")</f>
        <v>-0.41873278236914602</v>
      </c>
      <c r="F186" s="46">
        <f t="shared" ref="F186" si="709">+IFERROR(F185/E185-1,"nm")</f>
        <v>1.126382306477093</v>
      </c>
      <c r="G186" s="46">
        <f t="shared" ref="G186" si="710">+IFERROR(G185/F185-1,"nm")</f>
        <v>0.25854383358098065</v>
      </c>
      <c r="H186" s="46">
        <f t="shared" ref="H186" si="711">+IFERROR(H185/G185-1,"nm")</f>
        <v>9.5041322314049603E-2</v>
      </c>
      <c r="I186" s="46">
        <f t="shared" ref="I186" si="712">+IFERROR(I185/H185-1,"nm")</f>
        <v>0.14285714285714279</v>
      </c>
      <c r="J186" s="46">
        <f>+IFERROR(J185/I185-1,"nm")</f>
        <v>-1.650943396226412E-2</v>
      </c>
      <c r="K186" s="46">
        <f t="shared" ref="K186" si="713">+IFERROR(K185/J185-1,"nm")</f>
        <v>-2.8</v>
      </c>
      <c r="L186" s="46">
        <f t="shared" ref="L186" si="714">+IFERROR(L185/K185-1,"nm")</f>
        <v>-2.8</v>
      </c>
      <c r="M186" s="46">
        <f t="shared" ref="M186" si="715">+IFERROR(M185/L185-1,"nm")</f>
        <v>-2.8</v>
      </c>
      <c r="N186" s="46">
        <f t="shared" ref="N186" si="716">+IFERROR(N185/M185-1,"nm")</f>
        <v>-2.8</v>
      </c>
      <c r="O186" s="46">
        <f t="shared" ref="O186" si="717">+IFERROR(O185/N185-1,"nm")</f>
        <v>-2.8</v>
      </c>
    </row>
    <row r="187" spans="1:15" x14ac:dyDescent="0.3">
      <c r="A187" s="45" t="s">
        <v>131</v>
      </c>
      <c r="C187" s="46">
        <f>+IFERROR(C185/C$183,"nm")</f>
        <v>12.463414634146341</v>
      </c>
      <c r="D187" s="46">
        <f t="shared" ref="D187:J187" si="718">+IFERROR(D185/D$183,"nm")</f>
        <v>12.662790697674419</v>
      </c>
      <c r="E187" s="46">
        <f t="shared" si="718"/>
        <v>-8.44</v>
      </c>
      <c r="F187" s="46">
        <f t="shared" si="718"/>
        <v>-51.769230769230766</v>
      </c>
      <c r="G187" s="46">
        <f t="shared" si="718"/>
        <v>242</v>
      </c>
      <c r="H187" s="46">
        <f t="shared" si="718"/>
        <v>168.63636363636363</v>
      </c>
      <c r="I187" s="46">
        <f t="shared" si="718"/>
        <v>-53</v>
      </c>
      <c r="J187" s="46">
        <f t="shared" si="718"/>
        <v>28.958333333333332</v>
      </c>
      <c r="K187" s="48">
        <f>+J187</f>
        <v>28.958333333333332</v>
      </c>
      <c r="L187" s="48">
        <f t="shared" ref="L187:O187" si="719">+K187</f>
        <v>28.958333333333332</v>
      </c>
      <c r="M187" s="48">
        <f t="shared" si="719"/>
        <v>28.958333333333332</v>
      </c>
      <c r="N187" s="48">
        <f t="shared" si="719"/>
        <v>28.958333333333332</v>
      </c>
      <c r="O187" s="48">
        <f t="shared" si="719"/>
        <v>28.958333333333332</v>
      </c>
    </row>
    <row r="188" spans="1:15" s="1" customFormat="1" x14ac:dyDescent="0.3">
      <c r="A188" s="9" t="s">
        <v>132</v>
      </c>
      <c r="B188" s="1">
        <f>Historicals!B174</f>
        <v>54</v>
      </c>
      <c r="C188" s="1">
        <f>Historicals!C174</f>
        <v>75</v>
      </c>
      <c r="D188" s="1">
        <f>Historicals!D174</f>
        <v>84</v>
      </c>
      <c r="E188" s="1">
        <f>Historicals!E174</f>
        <v>91</v>
      </c>
      <c r="F188" s="1">
        <f>Historicals!F174</f>
        <v>110</v>
      </c>
      <c r="G188" s="1">
        <f>Historicals!G174</f>
        <v>116</v>
      </c>
      <c r="H188" s="1">
        <f>Historicals!H174</f>
        <v>112</v>
      </c>
      <c r="I188" s="1">
        <f>Historicals!I174</f>
        <v>141</v>
      </c>
      <c r="J188" s="1">
        <f>Historicals!J174</f>
        <v>134</v>
      </c>
      <c r="K188" s="47">
        <f>+K191*K198</f>
        <v>-241.20000000000002</v>
      </c>
      <c r="L188" s="47">
        <f t="shared" ref="L188:O188" si="720">+L191*L198</f>
        <v>434.15999999999985</v>
      </c>
      <c r="M188" s="47">
        <f t="shared" si="720"/>
        <v>-781.48799999999983</v>
      </c>
      <c r="N188" s="47">
        <f t="shared" si="720"/>
        <v>1406.6783999999993</v>
      </c>
      <c r="O188" s="47">
        <f t="shared" si="720"/>
        <v>-2532.021119999999</v>
      </c>
    </row>
    <row r="189" spans="1:15" x14ac:dyDescent="0.3">
      <c r="A189" s="45" t="s">
        <v>129</v>
      </c>
      <c r="C189" s="46">
        <f>+IFERROR(C188/B188-1,"nm")</f>
        <v>0.38888888888888884</v>
      </c>
      <c r="D189" s="46">
        <f t="shared" ref="D189" si="721">+IFERROR(D188/C188-1,"nm")</f>
        <v>0.12000000000000011</v>
      </c>
      <c r="E189" s="46">
        <f t="shared" ref="E189" si="722">+IFERROR(E188/D188-1,"nm")</f>
        <v>8.3333333333333259E-2</v>
      </c>
      <c r="F189" s="46">
        <f t="shared" ref="F189" si="723">+IFERROR(F188/E188-1,"nm")</f>
        <v>0.20879120879120872</v>
      </c>
      <c r="G189" s="46">
        <f t="shared" ref="G189" si="724">+IFERROR(G188/F188-1,"nm")</f>
        <v>5.4545454545454453E-2</v>
      </c>
      <c r="H189" s="46">
        <f t="shared" ref="H189" si="725">+IFERROR(H188/G188-1,"nm")</f>
        <v>-3.4482758620689613E-2</v>
      </c>
      <c r="I189" s="46">
        <f t="shared" ref="I189" si="726">+IFERROR(I188/H188-1,"nm")</f>
        <v>0.2589285714285714</v>
      </c>
      <c r="J189" s="46">
        <f>+IFERROR(J188/I188-1,"nm")</f>
        <v>-4.9645390070921946E-2</v>
      </c>
      <c r="K189" s="46">
        <f t="shared" ref="K189" si="727">+IFERROR(K188/J188-1,"nm")</f>
        <v>-2.8</v>
      </c>
      <c r="L189" s="46">
        <f t="shared" ref="L189" si="728">+IFERROR(L188/K188-1,"nm")</f>
        <v>-2.7999999999999994</v>
      </c>
      <c r="M189" s="46">
        <f t="shared" ref="M189" si="729">+IFERROR(M188/L188-1,"nm")</f>
        <v>-2.8000000000000003</v>
      </c>
      <c r="N189" s="46">
        <f t="shared" ref="N189" si="730">+IFERROR(N188/M188-1,"nm")</f>
        <v>-2.8</v>
      </c>
      <c r="O189" s="46">
        <f t="shared" ref="O189" si="731">+IFERROR(O188/N188-1,"nm")</f>
        <v>-2.8</v>
      </c>
    </row>
    <row r="190" spans="1:15" x14ac:dyDescent="0.3">
      <c r="A190" s="45" t="s">
        <v>133</v>
      </c>
      <c r="C190" s="46">
        <f>+IFERROR(C188/C$183,"nm")</f>
        <v>-0.91463414634146345</v>
      </c>
      <c r="D190" s="46">
        <f t="shared" ref="D190:J190" si="732">+IFERROR(D188/D$183,"nm")</f>
        <v>-0.97674418604651159</v>
      </c>
      <c r="E190" s="46">
        <f t="shared" si="732"/>
        <v>1.2133333333333334</v>
      </c>
      <c r="F190" s="46">
        <f t="shared" si="732"/>
        <v>4.2307692307692308</v>
      </c>
      <c r="G190" s="46">
        <f t="shared" si="732"/>
        <v>-16.571428571428573</v>
      </c>
      <c r="H190" s="46">
        <f t="shared" si="732"/>
        <v>-10.181818181818182</v>
      </c>
      <c r="I190" s="46">
        <f t="shared" si="732"/>
        <v>3.5249999999999999</v>
      </c>
      <c r="J190" s="46">
        <f t="shared" si="732"/>
        <v>-1.8611111111111112</v>
      </c>
      <c r="K190" s="46">
        <f>+IFERROR(K188/K$21,"nm")</f>
        <v>-1.2301584494154486E-2</v>
      </c>
      <c r="L190" s="46">
        <f>+IFERROR(L188/L$21,"nm")</f>
        <v>2.0726423802383463E-2</v>
      </c>
      <c r="M190" s="46">
        <f>+IFERROR(M188/M$21,"nm")</f>
        <v>-3.4921082226451371E-2</v>
      </c>
      <c r="N190" s="46">
        <f>+IFERROR(N188/N$21,"nm")</f>
        <v>5.8837066900385454E-2</v>
      </c>
      <c r="O190" s="46">
        <f>+IFERROR(O188/O$21,"nm")</f>
        <v>-9.9132106473442991E-2</v>
      </c>
    </row>
    <row r="191" spans="1:15" x14ac:dyDescent="0.3">
      <c r="A191" s="45" t="s">
        <v>142</v>
      </c>
      <c r="C191" s="46">
        <f>+IFERROR(C188/C198,"nm")</f>
        <v>0.10518934081346423</v>
      </c>
      <c r="D191" s="46">
        <f t="shared" ref="D191:I191" si="733">+IFERROR(D188/D198,"nm")</f>
        <v>8.9647812166488788E-2</v>
      </c>
      <c r="E191" s="46">
        <f t="shared" si="733"/>
        <v>7.3505654281098551E-2</v>
      </c>
      <c r="F191" s="46">
        <f t="shared" si="733"/>
        <v>7.586206896551724E-2</v>
      </c>
      <c r="G191" s="46">
        <f t="shared" si="733"/>
        <v>6.9336521219366412E-2</v>
      </c>
      <c r="H191" s="46">
        <f t="shared" si="733"/>
        <v>5.845511482254697E-2</v>
      </c>
      <c r="I191" s="46">
        <f t="shared" si="733"/>
        <v>7.5401069518716571E-2</v>
      </c>
      <c r="J191" s="46">
        <f>+IFERROR(J188/J198,"nm")</f>
        <v>7.374793615850303E-2</v>
      </c>
      <c r="K191" s="48">
        <f>+J191</f>
        <v>7.374793615850303E-2</v>
      </c>
      <c r="L191" s="48">
        <f t="shared" ref="L191" si="734">+K191</f>
        <v>7.374793615850303E-2</v>
      </c>
      <c r="M191" s="48">
        <f t="shared" ref="M191" si="735">+L191</f>
        <v>7.374793615850303E-2</v>
      </c>
      <c r="N191" s="48">
        <f t="shared" ref="N191" si="736">+M191</f>
        <v>7.374793615850303E-2</v>
      </c>
      <c r="O191" s="48">
        <f t="shared" ref="O191" si="737">+N191</f>
        <v>7.374793615850303E-2</v>
      </c>
    </row>
    <row r="192" spans="1:15" s="1" customFormat="1" x14ac:dyDescent="0.3">
      <c r="A192" s="9" t="s">
        <v>134</v>
      </c>
      <c r="B192" s="1">
        <f>Historicals!B141</f>
        <v>-1036</v>
      </c>
      <c r="C192" s="1">
        <f>Historicals!C141</f>
        <v>-1097</v>
      </c>
      <c r="D192" s="1">
        <f>Historicals!D141</f>
        <v>-1173</v>
      </c>
      <c r="E192" s="1">
        <f>Historicals!E141</f>
        <v>-724</v>
      </c>
      <c r="F192" s="1">
        <f>Historicals!F141</f>
        <v>-1456</v>
      </c>
      <c r="G192" s="1">
        <f>Historicals!G141</f>
        <v>-1810</v>
      </c>
      <c r="H192" s="1">
        <f>Historicals!H141</f>
        <v>-1967</v>
      </c>
      <c r="I192" s="1">
        <f>Historicals!I141</f>
        <v>-2261</v>
      </c>
      <c r="J192" s="1">
        <f>Historicals!J141</f>
        <v>-2219</v>
      </c>
      <c r="K192" s="9">
        <f>+K185-K188</f>
        <v>3994.1999999999994</v>
      </c>
      <c r="L192" s="9">
        <f t="shared" ref="L192:O192" si="738">+L185-L188</f>
        <v>-7189.5599999999977</v>
      </c>
      <c r="M192" s="9">
        <f t="shared" si="738"/>
        <v>12941.207999999995</v>
      </c>
      <c r="N192" s="9">
        <f t="shared" si="738"/>
        <v>-23294.174399999989</v>
      </c>
      <c r="O192" s="9">
        <f t="shared" si="738"/>
        <v>41929.513919999976</v>
      </c>
    </row>
    <row r="193" spans="1:15" x14ac:dyDescent="0.3">
      <c r="A193" s="45" t="s">
        <v>129</v>
      </c>
      <c r="C193" s="46">
        <f>+IFERROR(C192/B192-1,"nm")</f>
        <v>5.8880308880308929E-2</v>
      </c>
      <c r="D193" s="46">
        <f t="shared" ref="D193" si="739">+IFERROR(D192/C192-1,"nm")</f>
        <v>6.9279854147675568E-2</v>
      </c>
      <c r="E193" s="46">
        <f t="shared" ref="E193" si="740">+IFERROR(E192/D192-1,"nm")</f>
        <v>-0.38277919863597609</v>
      </c>
      <c r="F193" s="46">
        <f t="shared" ref="F193" si="741">+IFERROR(F192/E192-1,"nm")</f>
        <v>1.0110497237569063</v>
      </c>
      <c r="G193" s="46">
        <f t="shared" ref="G193" si="742">+IFERROR(G192/F192-1,"nm")</f>
        <v>0.24313186813186816</v>
      </c>
      <c r="H193" s="46">
        <f t="shared" ref="H193" si="743">+IFERROR(H192/G192-1,"nm")</f>
        <v>8.6740331491712785E-2</v>
      </c>
      <c r="I193" s="46">
        <f t="shared" ref="I193" si="744">+IFERROR(I192/H192-1,"nm")</f>
        <v>0.14946619217081847</v>
      </c>
      <c r="J193" s="46">
        <f>+IFERROR(J192/I192-1,"nm")</f>
        <v>-1.8575851393188847E-2</v>
      </c>
      <c r="K193" s="46">
        <f t="shared" ref="K193" si="745">+IFERROR(K192/J192-1,"nm")</f>
        <v>-2.8</v>
      </c>
      <c r="L193" s="46">
        <f t="shared" ref="L193" si="746">+IFERROR(L192/K192-1,"nm")</f>
        <v>-2.8</v>
      </c>
      <c r="M193" s="46">
        <f t="shared" ref="M193" si="747">+IFERROR(M192/L192-1,"nm")</f>
        <v>-2.8</v>
      </c>
      <c r="N193" s="46">
        <f t="shared" ref="N193" si="748">+IFERROR(N192/M192-1,"nm")</f>
        <v>-2.8</v>
      </c>
      <c r="O193" s="46">
        <f t="shared" ref="O193" si="749">+IFERROR(O192/N192-1,"nm")</f>
        <v>-2.8</v>
      </c>
    </row>
    <row r="194" spans="1:15" x14ac:dyDescent="0.3">
      <c r="A194" s="45" t="s">
        <v>131</v>
      </c>
      <c r="C194" s="46">
        <f>+IFERROR(C192/C$183,"nm")</f>
        <v>13.378048780487806</v>
      </c>
      <c r="D194" s="46">
        <f t="shared" ref="D194:J194" si="750">+IFERROR(D192/D$183,"nm")</f>
        <v>13.63953488372093</v>
      </c>
      <c r="E194" s="46">
        <f t="shared" si="750"/>
        <v>-9.6533333333333342</v>
      </c>
      <c r="F194" s="46">
        <f t="shared" si="750"/>
        <v>-56</v>
      </c>
      <c r="G194" s="46">
        <f t="shared" si="750"/>
        <v>258.57142857142856</v>
      </c>
      <c r="H194" s="46">
        <f t="shared" si="750"/>
        <v>178.81818181818181</v>
      </c>
      <c r="I194" s="46">
        <f t="shared" si="750"/>
        <v>-56.524999999999999</v>
      </c>
      <c r="J194" s="46">
        <f t="shared" si="750"/>
        <v>30.819444444444443</v>
      </c>
      <c r="K194" s="46">
        <f>+J194</f>
        <v>30.819444444444443</v>
      </c>
      <c r="L194" s="46">
        <f>+IFERROR(L192/L$21,"nm")</f>
        <v>-0.34322339117529033</v>
      </c>
      <c r="M194" s="46">
        <f>+IFERROR(M192/M$21,"nm")</f>
        <v>0.57828269746638483</v>
      </c>
      <c r="N194" s="46">
        <f>+IFERROR(N192/N$21,"nm")</f>
        <v>-0.97432426456683074</v>
      </c>
      <c r="O194" s="46">
        <f>+IFERROR(O192/O$21,"nm")</f>
        <v>1.6415980915266415</v>
      </c>
    </row>
    <row r="195" spans="1:15" s="1" customFormat="1" x14ac:dyDescent="0.3">
      <c r="A195" s="9" t="s">
        <v>135</v>
      </c>
      <c r="C195" s="1">
        <f>C198-B198+C188</f>
        <v>146</v>
      </c>
      <c r="D195" s="1">
        <f t="shared" ref="D195:J195" si="751">D198-C198+D188</f>
        <v>308</v>
      </c>
      <c r="E195" s="1">
        <f t="shared" si="751"/>
        <v>392</v>
      </c>
      <c r="F195" s="1">
        <f t="shared" si="751"/>
        <v>322</v>
      </c>
      <c r="G195" s="1">
        <f t="shared" si="751"/>
        <v>339</v>
      </c>
      <c r="H195" s="1">
        <f t="shared" si="751"/>
        <v>355</v>
      </c>
      <c r="I195" s="1">
        <f t="shared" si="751"/>
        <v>95</v>
      </c>
      <c r="J195" s="1">
        <f t="shared" si="751"/>
        <v>81</v>
      </c>
      <c r="K195" s="47">
        <f>+K183*K197</f>
        <v>-145.79999999999998</v>
      </c>
      <c r="L195" s="47">
        <f>+L183*L197</f>
        <v>262.43999999999994</v>
      </c>
      <c r="M195" s="47">
        <f>+M183*M197</f>
        <v>-472.39199999999988</v>
      </c>
      <c r="N195" s="47">
        <f>+N183*N197</f>
        <v>850.30559999999957</v>
      </c>
      <c r="O195" s="47">
        <f>+O183*O197</f>
        <v>-1530.5500799999991</v>
      </c>
    </row>
    <row r="196" spans="1:15" x14ac:dyDescent="0.3">
      <c r="A196" s="45" t="s">
        <v>129</v>
      </c>
      <c r="C196" s="46" t="str">
        <f>+IFERROR(C195/B195-1,"nm")</f>
        <v>nm</v>
      </c>
      <c r="D196" s="46">
        <f t="shared" ref="D196" si="752">+IFERROR(D195/C195-1,"nm")</f>
        <v>1.1095890410958904</v>
      </c>
      <c r="E196" s="46">
        <f t="shared" ref="E196" si="753">+IFERROR(E195/D195-1,"nm")</f>
        <v>0.27272727272727271</v>
      </c>
      <c r="F196" s="46">
        <f t="shared" ref="F196" si="754">+IFERROR(F195/E195-1,"nm")</f>
        <v>-0.1785714285714286</v>
      </c>
      <c r="G196" s="46">
        <f t="shared" ref="G196" si="755">+IFERROR(G195/F195-1,"nm")</f>
        <v>5.2795031055900665E-2</v>
      </c>
      <c r="H196" s="46">
        <f t="shared" ref="H196" si="756">+IFERROR(H195/G195-1,"nm")</f>
        <v>4.71976401179941E-2</v>
      </c>
      <c r="I196" s="46">
        <f t="shared" ref="I196" si="757">+IFERROR(I195/H195-1,"nm")</f>
        <v>-0.73239436619718312</v>
      </c>
      <c r="J196" s="46">
        <f>+IFERROR(J195/I195-1,"nm")</f>
        <v>-0.14736842105263159</v>
      </c>
      <c r="K196" s="46">
        <f>+IFERROR(K195/J195-1,"nm")</f>
        <v>-2.8</v>
      </c>
      <c r="L196" s="46">
        <f t="shared" ref="L196" si="758">+IFERROR(L195/K195-1,"nm")</f>
        <v>-2.8</v>
      </c>
      <c r="M196" s="46">
        <f t="shared" ref="M196" si="759">+IFERROR(M195/L195-1,"nm")</f>
        <v>-2.8</v>
      </c>
      <c r="N196" s="46">
        <f t="shared" ref="N196" si="760">+IFERROR(N195/M195-1,"nm")</f>
        <v>-2.8</v>
      </c>
      <c r="O196" s="46">
        <f t="shared" ref="O196" si="761">+IFERROR(O195/N195-1,"nm")</f>
        <v>-2.8</v>
      </c>
    </row>
    <row r="197" spans="1:15" x14ac:dyDescent="0.3">
      <c r="A197" s="45" t="s">
        <v>133</v>
      </c>
      <c r="C197" s="46">
        <f>+IFERROR(C195/C$183,"nm")</f>
        <v>-1.7804878048780488</v>
      </c>
      <c r="D197" s="46">
        <f t="shared" ref="D197:J197" si="762">+IFERROR(D195/D$183,"nm")</f>
        <v>-3.5813953488372094</v>
      </c>
      <c r="E197" s="46">
        <f t="shared" si="762"/>
        <v>5.2266666666666666</v>
      </c>
      <c r="F197" s="46">
        <f t="shared" si="762"/>
        <v>12.384615384615385</v>
      </c>
      <c r="G197" s="46">
        <f t="shared" si="762"/>
        <v>-48.428571428571431</v>
      </c>
      <c r="H197" s="46">
        <f t="shared" si="762"/>
        <v>-32.272727272727273</v>
      </c>
      <c r="I197" s="46">
        <f t="shared" si="762"/>
        <v>2.375</v>
      </c>
      <c r="J197" s="46">
        <f t="shared" si="762"/>
        <v>-1.125</v>
      </c>
      <c r="K197" s="48">
        <f>+J197</f>
        <v>-1.125</v>
      </c>
      <c r="L197" s="48">
        <f t="shared" ref="L197" si="763">+K197</f>
        <v>-1.125</v>
      </c>
      <c r="M197" s="48">
        <f t="shared" ref="M197" si="764">+L197</f>
        <v>-1.125</v>
      </c>
      <c r="N197" s="48">
        <f t="shared" ref="N197" si="765">+M197</f>
        <v>-1.125</v>
      </c>
      <c r="O197" s="48">
        <f t="shared" ref="O197" si="766">+N197</f>
        <v>-1.125</v>
      </c>
    </row>
    <row r="198" spans="1:15" s="1" customFormat="1" x14ac:dyDescent="0.3">
      <c r="A198" s="9" t="s">
        <v>143</v>
      </c>
      <c r="B198" s="1">
        <f>Historicals!B152</f>
        <v>642</v>
      </c>
      <c r="C198" s="1">
        <f>Historicals!C152</f>
        <v>713</v>
      </c>
      <c r="D198" s="1">
        <f>Historicals!D152</f>
        <v>937</v>
      </c>
      <c r="E198" s="1">
        <f>Historicals!E152</f>
        <v>1238</v>
      </c>
      <c r="F198" s="1">
        <f>Historicals!F152</f>
        <v>1450</v>
      </c>
      <c r="G198" s="1">
        <f>Historicals!G152</f>
        <v>1673</v>
      </c>
      <c r="H198" s="1">
        <f>Historicals!H152</f>
        <v>1916</v>
      </c>
      <c r="I198" s="1">
        <f>Historicals!I152</f>
        <v>1870</v>
      </c>
      <c r="J198" s="1">
        <f>Historicals!J152</f>
        <v>1817</v>
      </c>
      <c r="K198" s="47">
        <f>+K183*K200</f>
        <v>-3270.6</v>
      </c>
      <c r="L198" s="47">
        <f>+L183*L200</f>
        <v>5887.0799999999981</v>
      </c>
      <c r="M198" s="47">
        <f>+M183*M200</f>
        <v>-10596.743999999997</v>
      </c>
      <c r="N198" s="47">
        <f>+N183*N200</f>
        <v>19074.139199999991</v>
      </c>
      <c r="O198" s="47">
        <f>+O183*O200</f>
        <v>-34333.450559999983</v>
      </c>
    </row>
    <row r="199" spans="1:15" x14ac:dyDescent="0.3">
      <c r="A199" s="45" t="s">
        <v>129</v>
      </c>
      <c r="C199" s="46">
        <f>+IFERROR(C198/B198-1,"nm")</f>
        <v>0.11059190031152655</v>
      </c>
      <c r="D199" s="46">
        <f t="shared" ref="D199" si="767">+IFERROR(D198/C198-1,"nm")</f>
        <v>0.31416549789621318</v>
      </c>
      <c r="E199" s="46">
        <f t="shared" ref="E199" si="768">+IFERROR(E198/D198-1,"nm")</f>
        <v>0.32123799359658478</v>
      </c>
      <c r="F199" s="46">
        <f t="shared" ref="F199" si="769">+IFERROR(F198/E198-1,"nm")</f>
        <v>0.17124394184168024</v>
      </c>
      <c r="G199" s="46">
        <f t="shared" ref="G199" si="770">+IFERROR(G198/F198-1,"nm")</f>
        <v>0.15379310344827579</v>
      </c>
      <c r="H199" s="46">
        <f t="shared" ref="H199" si="771">+IFERROR(H198/G198-1,"nm")</f>
        <v>0.14524805738194857</v>
      </c>
      <c r="I199" s="46">
        <f t="shared" ref="I199" si="772">+IFERROR(I198/H198-1,"nm")</f>
        <v>-2.4008350730688965E-2</v>
      </c>
      <c r="J199" s="46">
        <f>+IFERROR(J198/I198-1,"nm")</f>
        <v>-2.8342245989304793E-2</v>
      </c>
      <c r="K199" s="46">
        <f>+IFERROR(K198/J198-1,"nm")</f>
        <v>-2.8</v>
      </c>
      <c r="L199" s="46">
        <f t="shared" ref="L199" si="773">K199</f>
        <v>-2.8</v>
      </c>
      <c r="M199" s="46">
        <f t="shared" ref="M199" si="774">L199</f>
        <v>-2.8</v>
      </c>
      <c r="N199" s="46">
        <f t="shared" ref="N199" si="775">M199</f>
        <v>-2.8</v>
      </c>
      <c r="O199" s="46">
        <f t="shared" ref="O199" si="776">N199</f>
        <v>-2.8</v>
      </c>
    </row>
    <row r="200" spans="1:15" x14ac:dyDescent="0.3">
      <c r="A200" s="45" t="s">
        <v>133</v>
      </c>
      <c r="C200" s="46">
        <f>+IFERROR(C198/C$183,"nm")</f>
        <v>-8.6951219512195124</v>
      </c>
      <c r="D200" s="46">
        <f t="shared" ref="D200:J200" si="777">+IFERROR(D198/D$183,"nm")</f>
        <v>-10.895348837209303</v>
      </c>
      <c r="E200" s="46">
        <f t="shared" si="777"/>
        <v>16.506666666666668</v>
      </c>
      <c r="F200" s="46">
        <f t="shared" si="777"/>
        <v>55.769230769230766</v>
      </c>
      <c r="G200" s="46">
        <f t="shared" si="777"/>
        <v>-239</v>
      </c>
      <c r="H200" s="46">
        <f t="shared" si="777"/>
        <v>-174.18181818181819</v>
      </c>
      <c r="I200" s="46">
        <f t="shared" si="777"/>
        <v>46.75</v>
      </c>
      <c r="J200" s="46">
        <f t="shared" si="777"/>
        <v>-25.236111111111111</v>
      </c>
      <c r="K200" s="48">
        <f>+J200</f>
        <v>-25.236111111111111</v>
      </c>
      <c r="L200" s="48">
        <f t="shared" ref="L200" si="778">+K200</f>
        <v>-25.236111111111111</v>
      </c>
      <c r="M200" s="48">
        <f t="shared" ref="M200" si="779">+L200</f>
        <v>-25.236111111111111</v>
      </c>
      <c r="N200" s="48">
        <f t="shared" ref="N200" si="780">+M200</f>
        <v>-25.236111111111111</v>
      </c>
      <c r="O200" s="48">
        <f t="shared" ref="O200" si="781">+N200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C7A7D-B9D1-4730-982A-2DE96F9FE483}">
  <dimension ref="A1:O69"/>
  <sheetViews>
    <sheetView tabSelected="1" topLeftCell="A8" zoomScale="76" workbookViewId="0">
      <selection activeCell="J53" sqref="J53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t="s">
        <v>203</v>
      </c>
    </row>
    <row r="2" spans="1:15" x14ac:dyDescent="0.3">
      <c r="A2" s="40" t="s">
        <v>202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1" t="s">
        <v>136</v>
      </c>
      <c r="B3" s="9">
        <f>'Segmental forecast'!C3</f>
        <v>30601</v>
      </c>
      <c r="C3" s="9">
        <f>'Segmental forecast'!D3</f>
        <v>32376</v>
      </c>
      <c r="D3" s="9">
        <f>'Segmental forecast'!E3</f>
        <v>34350</v>
      </c>
      <c r="E3" s="9">
        <f>'Segmental forecast'!F3</f>
        <v>36397</v>
      </c>
      <c r="F3" s="9">
        <f>'Segmental forecast'!G3</f>
        <v>39117</v>
      </c>
      <c r="G3" s="9">
        <f>'Segmental forecast'!H3</f>
        <v>37403</v>
      </c>
      <c r="H3" s="9">
        <f>'Segmental forecast'!I3</f>
        <v>44538</v>
      </c>
      <c r="I3" s="9">
        <f>'Segmental forecast'!J3</f>
        <v>46710</v>
      </c>
      <c r="J3" s="9">
        <f>(I3*J4)+I3</f>
        <v>48987.922672773813</v>
      </c>
      <c r="K3" s="9">
        <f t="shared" ref="K3:N3" si="1">(J3*K4)+J3</f>
        <v>51376.933585820305</v>
      </c>
      <c r="L3" s="9">
        <f t="shared" si="1"/>
        <v>53882.450217649341</v>
      </c>
      <c r="M3" s="9">
        <f t="shared" si="1"/>
        <v>56510.154242812896</v>
      </c>
      <c r="N3" s="9">
        <f t="shared" si="1"/>
        <v>59266.00441604451</v>
      </c>
      <c r="O3" t="s">
        <v>201</v>
      </c>
    </row>
    <row r="4" spans="1:15" x14ac:dyDescent="0.3">
      <c r="A4" s="42" t="s">
        <v>129</v>
      </c>
      <c r="B4" s="70">
        <f>'Segmental forecast'!C4</f>
        <v>0.10079499262563396</v>
      </c>
      <c r="C4" s="70">
        <f>(C3-B3)/B3</f>
        <v>5.8004640371229696E-2</v>
      </c>
      <c r="D4" s="70">
        <f t="shared" ref="D4:I4" si="2">(D3-C3)/C3</f>
        <v>6.0971089696071165E-2</v>
      </c>
      <c r="E4" s="70">
        <f t="shared" si="2"/>
        <v>5.9592430858806403E-2</v>
      </c>
      <c r="F4" s="70">
        <f t="shared" si="2"/>
        <v>7.4731433909388134E-2</v>
      </c>
      <c r="G4" s="70">
        <f t="shared" si="2"/>
        <v>-4.3817266150267146E-2</v>
      </c>
      <c r="H4" s="70">
        <f t="shared" si="2"/>
        <v>0.1907600994572628</v>
      </c>
      <c r="I4" s="70">
        <f t="shared" si="2"/>
        <v>4.8767344739323724E-2</v>
      </c>
      <c r="J4" s="70">
        <f>+I4</f>
        <v>4.8767344739323724E-2</v>
      </c>
      <c r="K4" s="70">
        <f t="shared" ref="K4:N4" si="3">+J4</f>
        <v>4.8767344739323724E-2</v>
      </c>
      <c r="L4" s="70">
        <f t="shared" si="3"/>
        <v>4.8767344739323724E-2</v>
      </c>
      <c r="M4" s="70">
        <f t="shared" si="3"/>
        <v>4.8767344739323724E-2</v>
      </c>
      <c r="N4" s="70">
        <f t="shared" si="3"/>
        <v>4.8767344739323724E-2</v>
      </c>
    </row>
    <row r="5" spans="1:15" x14ac:dyDescent="0.3">
      <c r="A5" s="1" t="s">
        <v>200</v>
      </c>
      <c r="B5" s="9">
        <f>B7-B10+B6</f>
        <v>4811</v>
      </c>
      <c r="C5" s="9">
        <f t="shared" ref="C5:I5" si="4">C7-C10+C6</f>
        <v>5272</v>
      </c>
      <c r="D5" s="9">
        <f t="shared" si="4"/>
        <v>5592</v>
      </c>
      <c r="E5" s="9">
        <f t="shared" si="4"/>
        <v>5072</v>
      </c>
      <c r="F5" s="9">
        <f t="shared" si="4"/>
        <v>5506</v>
      </c>
      <c r="G5" s="9">
        <f t="shared" si="4"/>
        <v>3608</v>
      </c>
      <c r="H5" s="9">
        <f t="shared" si="4"/>
        <v>7405</v>
      </c>
      <c r="I5" s="9">
        <f t="shared" si="4"/>
        <v>7368</v>
      </c>
      <c r="J5" s="9">
        <f>(I5*'Segmental forecast'!K6)+I5</f>
        <v>7277.6658406156257</v>
      </c>
      <c r="K5" s="9">
        <f>(J5*'Segmental forecast'!L6)+'Three Statements'!J5</f>
        <v>7188.4392084233905</v>
      </c>
      <c r="L5" s="9">
        <f>(K5*'Segmental forecast'!M6)+'Three Statements'!K5</f>
        <v>7100.3065247672284</v>
      </c>
      <c r="M5" s="9">
        <f>(L5*'Segmental forecast'!N6)+'Three Statements'!L5</f>
        <v>7013.2543774699652</v>
      </c>
      <c r="N5" s="9">
        <f>(M5*'Segmental forecast'!O6)+'Three Statements'!M5</f>
        <v>6927.2695187922327</v>
      </c>
    </row>
    <row r="6" spans="1:15" x14ac:dyDescent="0.3">
      <c r="A6" s="72" t="s">
        <v>132</v>
      </c>
      <c r="B6" s="71">
        <f>'Segmental forecast'!C8</f>
        <v>606</v>
      </c>
      <c r="C6" s="71">
        <f>'Segmental forecast'!D8</f>
        <v>649</v>
      </c>
      <c r="D6" s="71">
        <f>'Segmental forecast'!E8</f>
        <v>706</v>
      </c>
      <c r="E6" s="71">
        <f>'Segmental forecast'!F8</f>
        <v>747</v>
      </c>
      <c r="F6" s="71">
        <f>'Segmental forecast'!G8</f>
        <v>705</v>
      </c>
      <c r="G6" s="71">
        <f>'Segmental forecast'!H8</f>
        <v>721</v>
      </c>
      <c r="H6" s="71">
        <f>'Segmental forecast'!I8</f>
        <v>744</v>
      </c>
      <c r="I6" s="71">
        <f>'Segmental forecast'!J8</f>
        <v>717</v>
      </c>
      <c r="J6" s="71">
        <f>(I6*'Segmental forecast'!K9)+I6</f>
        <v>690.97983870967744</v>
      </c>
      <c r="K6" s="71">
        <f>(J6*'Segmental forecast'!L9)+J6</f>
        <v>665.90395746618105</v>
      </c>
      <c r="L6" s="71">
        <f>(K6*'Segmental forecast'!M9)+K6</f>
        <v>641.73808804200519</v>
      </c>
      <c r="M6" s="71">
        <f>(L6*'Segmental forecast'!N9)+L6</f>
        <v>618.44920581467443</v>
      </c>
      <c r="N6" s="71">
        <f>(M6*'Segmental forecast'!O9)+M6</f>
        <v>596.0054846359161</v>
      </c>
    </row>
    <row r="7" spans="1:15" x14ac:dyDescent="0.3">
      <c r="A7" s="4" t="s">
        <v>134</v>
      </c>
      <c r="B7" s="5">
        <f>'Segmental forecast'!C11</f>
        <v>4233</v>
      </c>
      <c r="C7" s="5">
        <f>'Segmental forecast'!D11</f>
        <v>4642</v>
      </c>
      <c r="D7" s="5">
        <f>'Segmental forecast'!E11</f>
        <v>4945</v>
      </c>
      <c r="E7" s="5">
        <f>'Segmental forecast'!F11</f>
        <v>4379</v>
      </c>
      <c r="F7" s="5">
        <f>'Segmental forecast'!G11</f>
        <v>4850</v>
      </c>
      <c r="G7" s="5">
        <f>'Segmental forecast'!H11</f>
        <v>2976</v>
      </c>
      <c r="H7" s="5">
        <f>'Segmental forecast'!I11</f>
        <v>6923</v>
      </c>
      <c r="I7" s="5">
        <f>'Segmental forecast'!J11</f>
        <v>6856</v>
      </c>
      <c r="J7" s="5">
        <f>(I7*J8)+I7</f>
        <v>6789.648418315759</v>
      </c>
      <c r="K7" s="5">
        <f t="shared" ref="K7:N7" si="5">(J7*K8)+J7</f>
        <v>6723.9389796291844</v>
      </c>
      <c r="L7" s="5">
        <f t="shared" si="5"/>
        <v>6658.865469353992</v>
      </c>
      <c r="M7" s="5">
        <f t="shared" si="5"/>
        <v>6594.4217330479514</v>
      </c>
      <c r="N7" s="5">
        <f t="shared" si="5"/>
        <v>6530.6016758308178</v>
      </c>
    </row>
    <row r="8" spans="1:15" x14ac:dyDescent="0.3">
      <c r="A8" s="42" t="s">
        <v>129</v>
      </c>
      <c r="B8" s="70">
        <f>'Segmental forecast'!C12</f>
        <v>0.18339390550740853</v>
      </c>
      <c r="C8" s="70">
        <f>(C7-B7)/B7</f>
        <v>9.6621781242617527E-2</v>
      </c>
      <c r="D8" s="70">
        <f t="shared" ref="D8:I8" si="6">(D7-C7)/C7</f>
        <v>6.527358897027144E-2</v>
      </c>
      <c r="E8" s="70">
        <f t="shared" si="6"/>
        <v>-0.11445904954499495</v>
      </c>
      <c r="F8" s="70">
        <f t="shared" si="6"/>
        <v>0.10755880337976707</v>
      </c>
      <c r="G8" s="70">
        <f t="shared" si="6"/>
        <v>-0.38639175257731961</v>
      </c>
      <c r="H8" s="70">
        <f t="shared" si="6"/>
        <v>1.32627688172043</v>
      </c>
      <c r="I8" s="70">
        <f t="shared" si="6"/>
        <v>-9.6778853098367767E-3</v>
      </c>
      <c r="J8" s="70">
        <f>+I8</f>
        <v>-9.6778853098367767E-3</v>
      </c>
      <c r="K8" s="70">
        <f t="shared" ref="K8:N8" si="7">+J8</f>
        <v>-9.6778853098367767E-3</v>
      </c>
      <c r="L8" s="70">
        <f t="shared" si="7"/>
        <v>-9.6778853098367767E-3</v>
      </c>
      <c r="M8" s="70">
        <f t="shared" si="7"/>
        <v>-9.6778853098367767E-3</v>
      </c>
      <c r="N8" s="70">
        <f t="shared" si="7"/>
        <v>-9.6778853098367767E-3</v>
      </c>
    </row>
    <row r="9" spans="1:15" x14ac:dyDescent="0.3">
      <c r="A9" s="42" t="s">
        <v>131</v>
      </c>
      <c r="B9" s="70">
        <f>B7/B3</f>
        <v>0.13832881278389594</v>
      </c>
      <c r="C9" s="70">
        <f t="shared" ref="C9:I9" si="8">C7/C3</f>
        <v>0.14337781072399308</v>
      </c>
      <c r="D9" s="70">
        <f t="shared" si="8"/>
        <v>0.14395924308588065</v>
      </c>
      <c r="E9" s="70">
        <f t="shared" si="8"/>
        <v>0.12031211363573921</v>
      </c>
      <c r="F9" s="70">
        <f t="shared" si="8"/>
        <v>0.12398701331901731</v>
      </c>
      <c r="G9" s="70">
        <f t="shared" si="8"/>
        <v>7.9565810229126011E-2</v>
      </c>
      <c r="H9" s="70">
        <f t="shared" si="8"/>
        <v>0.1554402981723472</v>
      </c>
      <c r="I9" s="70">
        <f t="shared" si="8"/>
        <v>0.14677799186469706</v>
      </c>
      <c r="J9" s="70">
        <f>J7/J3</f>
        <v>0.1385984146269845</v>
      </c>
      <c r="K9" s="70">
        <f t="shared" ref="K9:N9" si="9">K7/K3</f>
        <v>0.13087466515294224</v>
      </c>
      <c r="L9" s="70">
        <f t="shared" si="9"/>
        <v>0.12358134128007532</v>
      </c>
      <c r="M9" s="70">
        <f t="shared" si="9"/>
        <v>0.11669445644605804</v>
      </c>
      <c r="N9" s="70">
        <f t="shared" si="9"/>
        <v>0.11019136080081099</v>
      </c>
    </row>
    <row r="10" spans="1:15" x14ac:dyDescent="0.3">
      <c r="A10" s="2" t="s">
        <v>24</v>
      </c>
      <c r="B10">
        <f>Historicals!C8</f>
        <v>28</v>
      </c>
      <c r="C10">
        <f>Historicals!D8</f>
        <v>19</v>
      </c>
      <c r="D10">
        <f>Historicals!E8</f>
        <v>59</v>
      </c>
      <c r="E10">
        <f>Historicals!F8</f>
        <v>54</v>
      </c>
      <c r="F10">
        <f>Historicals!G8</f>
        <v>49</v>
      </c>
      <c r="G10">
        <f>Historicals!H8</f>
        <v>89</v>
      </c>
      <c r="H10">
        <f>Historicals!I8</f>
        <v>262</v>
      </c>
      <c r="I10">
        <f>Historicals!J8</f>
        <v>205</v>
      </c>
      <c r="J10" s="3"/>
      <c r="K10" s="3"/>
      <c r="L10" s="3"/>
      <c r="M10" s="3"/>
      <c r="N10" s="3"/>
    </row>
    <row r="11" spans="1:15" x14ac:dyDescent="0.3">
      <c r="A11" s="4" t="s">
        <v>199</v>
      </c>
      <c r="B11" s="5">
        <f>B7-B10</f>
        <v>4205</v>
      </c>
      <c r="C11" s="5">
        <f t="shared" ref="C11:I11" si="10">C7-C10</f>
        <v>4623</v>
      </c>
      <c r="D11" s="5">
        <f t="shared" si="10"/>
        <v>4886</v>
      </c>
      <c r="E11" s="5">
        <f t="shared" si="10"/>
        <v>4325</v>
      </c>
      <c r="F11" s="5">
        <f t="shared" si="10"/>
        <v>4801</v>
      </c>
      <c r="G11" s="5">
        <f t="shared" si="10"/>
        <v>2887</v>
      </c>
      <c r="H11" s="5">
        <f t="shared" si="10"/>
        <v>6661</v>
      </c>
      <c r="I11" s="5">
        <f t="shared" si="10"/>
        <v>6651</v>
      </c>
      <c r="J11" s="5">
        <f>J14+J12</f>
        <v>6917.6347150547153</v>
      </c>
      <c r="K11" s="5">
        <f t="shared" ref="K11:N11" si="11">K14+K12</f>
        <v>7254.9893919845017</v>
      </c>
      <c r="L11" s="5">
        <f t="shared" si="11"/>
        <v>7608.7959607435459</v>
      </c>
      <c r="M11" s="5">
        <f t="shared" si="11"/>
        <v>7979.856736412301</v>
      </c>
      <c r="N11" s="5">
        <f t="shared" si="11"/>
        <v>8369.0131608473348</v>
      </c>
    </row>
    <row r="12" spans="1:15" x14ac:dyDescent="0.3">
      <c r="A12" t="s">
        <v>26</v>
      </c>
      <c r="B12" s="3">
        <f>Historicals!C11</f>
        <v>932</v>
      </c>
      <c r="C12" s="3">
        <f>Historicals!D11</f>
        <v>863</v>
      </c>
      <c r="D12" s="3">
        <f>Historicals!E11</f>
        <v>646</v>
      </c>
      <c r="E12" s="3">
        <f>Historicals!F11</f>
        <v>2392</v>
      </c>
      <c r="F12" s="3">
        <f>Historicals!G11</f>
        <v>772</v>
      </c>
      <c r="G12" s="3">
        <f>Historicals!H11</f>
        <v>348</v>
      </c>
      <c r="H12" s="3">
        <f>Historicals!I11</f>
        <v>934</v>
      </c>
      <c r="I12" s="3">
        <f>Historicals!J11</f>
        <v>605</v>
      </c>
      <c r="J12" s="3">
        <f>J14*J13</f>
        <v>576.78734876076385</v>
      </c>
      <c r="K12" s="3">
        <f t="shared" ref="K12:N12" si="12">K14*K13</f>
        <v>604.91573623906061</v>
      </c>
      <c r="L12" s="3">
        <f t="shared" si="12"/>
        <v>634.41587048647261</v>
      </c>
      <c r="M12" s="3">
        <f t="shared" si="12"/>
        <v>665.35464795058465</v>
      </c>
      <c r="N12" s="3">
        <f t="shared" si="12"/>
        <v>697.80222744110222</v>
      </c>
    </row>
    <row r="13" spans="1:15" x14ac:dyDescent="0.3">
      <c r="A13" s="64" t="s">
        <v>198</v>
      </c>
      <c r="B13" s="63">
        <f>B12/B11</f>
        <v>0.22164090368608799</v>
      </c>
      <c r="C13" s="63">
        <f t="shared" ref="C13:I13" si="13">C12/C11</f>
        <v>0.18667531905688947</v>
      </c>
      <c r="D13" s="63">
        <f t="shared" si="13"/>
        <v>0.13221449038067951</v>
      </c>
      <c r="E13" s="63">
        <f t="shared" si="13"/>
        <v>0.55306358381502885</v>
      </c>
      <c r="F13" s="63">
        <f t="shared" si="13"/>
        <v>0.16079983336804832</v>
      </c>
      <c r="G13" s="63">
        <f t="shared" si="13"/>
        <v>0.12054035330793211</v>
      </c>
      <c r="H13" s="63">
        <f t="shared" si="13"/>
        <v>0.14021918630836211</v>
      </c>
      <c r="I13" s="63">
        <f t="shared" si="13"/>
        <v>9.0963764847391368E-2</v>
      </c>
      <c r="J13" s="62">
        <f>+I13</f>
        <v>9.0963764847391368E-2</v>
      </c>
      <c r="K13" s="62">
        <f t="shared" ref="K13:N13" si="14">+J13</f>
        <v>9.0963764847391368E-2</v>
      </c>
      <c r="L13" s="62">
        <f t="shared" si="14"/>
        <v>9.0963764847391368E-2</v>
      </c>
      <c r="M13" s="62">
        <f t="shared" si="14"/>
        <v>9.0963764847391368E-2</v>
      </c>
      <c r="N13" s="62">
        <f t="shared" si="14"/>
        <v>9.0963764847391368E-2</v>
      </c>
    </row>
    <row r="14" spans="1:15" ht="15" thickBot="1" x14ac:dyDescent="0.35">
      <c r="A14" s="6" t="s">
        <v>197</v>
      </c>
      <c r="B14" s="7">
        <f>B11-B12</f>
        <v>3273</v>
      </c>
      <c r="C14" s="7">
        <f t="shared" ref="C14:H14" si="15">C11-C12</f>
        <v>3760</v>
      </c>
      <c r="D14" s="7">
        <f t="shared" si="15"/>
        <v>4240</v>
      </c>
      <c r="E14" s="7">
        <f t="shared" si="15"/>
        <v>1933</v>
      </c>
      <c r="F14" s="7">
        <f t="shared" si="15"/>
        <v>4029</v>
      </c>
      <c r="G14" s="7">
        <f t="shared" si="15"/>
        <v>2539</v>
      </c>
      <c r="H14" s="7">
        <f t="shared" si="15"/>
        <v>5727</v>
      </c>
      <c r="I14" s="7">
        <f>I11-I12</f>
        <v>6046</v>
      </c>
      <c r="J14" s="7">
        <f>($O$14*J3)</f>
        <v>6340.8473662939514</v>
      </c>
      <c r="K14" s="7">
        <f t="shared" ref="K14:N14" si="16">($O$14*K3)</f>
        <v>6650.0736557454411</v>
      </c>
      <c r="L14" s="7">
        <f t="shared" si="16"/>
        <v>6974.3800902570738</v>
      </c>
      <c r="M14" s="7">
        <f t="shared" si="16"/>
        <v>7314.5020884617161</v>
      </c>
      <c r="N14" s="7">
        <f t="shared" si="16"/>
        <v>7671.2109334062325</v>
      </c>
      <c r="O14" s="75">
        <f>I14/I3</f>
        <v>0.12943695140226932</v>
      </c>
    </row>
    <row r="15" spans="1:15" ht="15" thickTop="1" x14ac:dyDescent="0.3">
      <c r="A15" t="s">
        <v>196</v>
      </c>
      <c r="B15" s="3">
        <f>Historicals!C18</f>
        <v>1768.8</v>
      </c>
      <c r="C15" s="3">
        <f>Historicals!D18</f>
        <v>1742.5</v>
      </c>
      <c r="D15" s="3">
        <f>Historicals!E18</f>
        <v>1692</v>
      </c>
      <c r="E15" s="3">
        <f>Historicals!F18</f>
        <v>1659.1</v>
      </c>
      <c r="F15" s="3">
        <f>Historicals!G18</f>
        <v>1618.4</v>
      </c>
      <c r="G15" s="3">
        <f>Historicals!H18</f>
        <v>1591.6</v>
      </c>
      <c r="H15" s="3">
        <f>Historicals!I18</f>
        <v>1609.4</v>
      </c>
      <c r="I15" s="3">
        <f>Historicals!J18</f>
        <v>1610.8</v>
      </c>
      <c r="J15" s="3">
        <f>(I15*$O$15)+I15</f>
        <v>1612.2012178451596</v>
      </c>
      <c r="K15" s="3">
        <f t="shared" ref="K15:N15" si="17">(J15*$O$15)+J15</f>
        <v>1613.6036545948693</v>
      </c>
      <c r="L15" s="3">
        <f t="shared" si="17"/>
        <v>1615.0073113094415</v>
      </c>
      <c r="M15" s="3">
        <f t="shared" si="17"/>
        <v>1616.4121890501108</v>
      </c>
      <c r="N15" s="3">
        <f t="shared" si="17"/>
        <v>1617.8182888790345</v>
      </c>
      <c r="O15" s="75">
        <f>(I15-H15)/H15</f>
        <v>8.6988939977622937E-4</v>
      </c>
    </row>
    <row r="16" spans="1:15" x14ac:dyDescent="0.3">
      <c r="A16" t="s">
        <v>195</v>
      </c>
      <c r="B16" s="69">
        <f>Historicals!C14</f>
        <v>1.9</v>
      </c>
      <c r="C16" s="69">
        <f>Historicals!D14</f>
        <v>2.21</v>
      </c>
      <c r="D16" s="69">
        <f>Historicals!E14</f>
        <v>2.56</v>
      </c>
      <c r="E16" s="69">
        <f>Historicals!F14</f>
        <v>1.19</v>
      </c>
      <c r="F16" s="69">
        <f>Historicals!G14</f>
        <v>2.5499999999999998</v>
      </c>
      <c r="G16" s="69">
        <f>Historicals!H14</f>
        <v>1.63</v>
      </c>
      <c r="H16" s="69">
        <f>Historicals!I14</f>
        <v>3.64</v>
      </c>
      <c r="I16" s="69">
        <f>Historicals!J14</f>
        <v>3.83</v>
      </c>
      <c r="J16" s="69">
        <f>J14/J15</f>
        <v>3.933037201627362</v>
      </c>
      <c r="K16" s="69">
        <f t="shared" ref="K16:N16" si="18">K14/K15</f>
        <v>4.1212559458506481</v>
      </c>
      <c r="L16" s="69">
        <f t="shared" si="18"/>
        <v>4.3184820535594195</v>
      </c>
      <c r="M16" s="69">
        <f t="shared" si="18"/>
        <v>4.5251465795739287</v>
      </c>
      <c r="N16" s="69">
        <f t="shared" si="18"/>
        <v>4.7417012071989344</v>
      </c>
    </row>
    <row r="17" spans="1:15" x14ac:dyDescent="0.3">
      <c r="A17" t="s">
        <v>194</v>
      </c>
      <c r="B17" s="69">
        <f>-B61/B15</f>
        <v>0.508254183627318</v>
      </c>
      <c r="C17" s="69">
        <f t="shared" ref="C17:I17" si="19">-C61/C15</f>
        <v>0.58651362984218081</v>
      </c>
      <c r="D17" s="69">
        <f t="shared" si="19"/>
        <v>0.66962174940898345</v>
      </c>
      <c r="E17" s="69">
        <f t="shared" si="19"/>
        <v>0.74920137423904531</v>
      </c>
      <c r="F17" s="69">
        <f t="shared" si="19"/>
        <v>0.82303509639149774</v>
      </c>
      <c r="G17" s="69">
        <f t="shared" si="19"/>
        <v>0.91228951997989449</v>
      </c>
      <c r="H17" s="69">
        <f t="shared" si="19"/>
        <v>1.0177705977382876</v>
      </c>
      <c r="I17" s="69">
        <f>-I61/I15</f>
        <v>1.1404271169605165</v>
      </c>
      <c r="J17" s="69">
        <f t="shared" ref="J17:N17" si="20">-J61/J15</f>
        <v>1.2778655740193716</v>
      </c>
      <c r="K17" s="69">
        <f t="shared" si="20"/>
        <v>1.4318674126374646</v>
      </c>
      <c r="L17" s="69">
        <f t="shared" si="20"/>
        <v>1.6044287670449657</v>
      </c>
      <c r="M17" s="69">
        <f t="shared" si="20"/>
        <v>1.7977863353841055</v>
      </c>
      <c r="N17" s="69">
        <f t="shared" si="20"/>
        <v>2.0144463712443712</v>
      </c>
    </row>
    <row r="18" spans="1:15" x14ac:dyDescent="0.3">
      <c r="A18" s="64" t="s">
        <v>129</v>
      </c>
      <c r="B18" s="63"/>
      <c r="C18" s="63">
        <f>(C17-B17)/B17</f>
        <v>0.15397698383186798</v>
      </c>
      <c r="D18" s="63">
        <f t="shared" ref="D18:I18" si="21">(D17-C17)/C17</f>
        <v>0.14169853067040469</v>
      </c>
      <c r="E18" s="63">
        <f t="shared" si="21"/>
        <v>0.11884265243818595</v>
      </c>
      <c r="F18" s="63">
        <f t="shared" si="21"/>
        <v>9.8549902190775404E-2</v>
      </c>
      <c r="G18" s="63">
        <f t="shared" si="21"/>
        <v>0.10844546481641239</v>
      </c>
      <c r="H18" s="63">
        <f t="shared" si="21"/>
        <v>0.1156223714602331</v>
      </c>
      <c r="I18" s="63">
        <f t="shared" si="21"/>
        <v>0.12051489745803122</v>
      </c>
      <c r="J18" s="62">
        <f>+I18</f>
        <v>0.12051489745803122</v>
      </c>
      <c r="K18" s="62">
        <f t="shared" ref="K18:N18" si="22">+J18</f>
        <v>0.12051489745803122</v>
      </c>
      <c r="L18" s="62">
        <f t="shared" si="22"/>
        <v>0.12051489745803122</v>
      </c>
      <c r="M18" s="62">
        <f t="shared" si="22"/>
        <v>0.12051489745803122</v>
      </c>
      <c r="N18" s="62">
        <f t="shared" si="22"/>
        <v>0.12051489745803122</v>
      </c>
      <c r="O18" t="s">
        <v>192</v>
      </c>
    </row>
    <row r="19" spans="1:15" x14ac:dyDescent="0.3">
      <c r="A19" s="64" t="s">
        <v>193</v>
      </c>
      <c r="B19" s="63">
        <f>B17/B16</f>
        <v>0.26750220190911472</v>
      </c>
      <c r="C19" s="63">
        <f t="shared" ref="C19:I19" si="23">C17/C16</f>
        <v>0.26539078273401845</v>
      </c>
      <c r="D19" s="63">
        <f>D17/D16</f>
        <v>0.26157099586288413</v>
      </c>
      <c r="E19" s="63">
        <f t="shared" si="23"/>
        <v>0.62958098675550034</v>
      </c>
      <c r="F19" s="63">
        <f t="shared" si="23"/>
        <v>0.32275886132999915</v>
      </c>
      <c r="G19" s="63">
        <f t="shared" si="23"/>
        <v>0.55968682207355491</v>
      </c>
      <c r="H19" s="63">
        <f t="shared" si="23"/>
        <v>0.2796073070709581</v>
      </c>
      <c r="I19" s="63">
        <f>I17/I16</f>
        <v>0.29776164933694949</v>
      </c>
      <c r="J19" s="63">
        <f t="shared" ref="J19:N19" si="24">J17/J16</f>
        <v>0.32490553953840878</v>
      </c>
      <c r="K19" s="63">
        <f t="shared" si="24"/>
        <v>0.34743472170882606</v>
      </c>
      <c r="L19" s="63">
        <f t="shared" si="24"/>
        <v>0.37152609346206467</v>
      </c>
      <c r="M19" s="63">
        <f t="shared" si="24"/>
        <v>0.39728797813956745</v>
      </c>
      <c r="N19" s="63">
        <f t="shared" si="24"/>
        <v>0.42483621030064128</v>
      </c>
      <c r="O19" t="s">
        <v>192</v>
      </c>
    </row>
    <row r="20" spans="1:15" x14ac:dyDescent="0.3">
      <c r="A20" s="66" t="s">
        <v>191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3">
      <c r="A21" t="s">
        <v>190</v>
      </c>
      <c r="B21" s="3">
        <f>Historicals!C25</f>
        <v>3852</v>
      </c>
      <c r="C21" s="3">
        <f>Historicals!D25</f>
        <v>3138</v>
      </c>
      <c r="D21" s="3">
        <f>Historicals!E25</f>
        <v>3808</v>
      </c>
      <c r="E21" s="3">
        <f>Historicals!F25</f>
        <v>4249</v>
      </c>
      <c r="F21" s="3">
        <f>Historicals!G25</f>
        <v>4466</v>
      </c>
      <c r="G21" s="3">
        <f>Historicals!H25</f>
        <v>8348</v>
      </c>
      <c r="H21" s="3">
        <f>Historicals!I25</f>
        <v>9889</v>
      </c>
      <c r="I21" s="3">
        <f>Historicals!J25</f>
        <v>8574</v>
      </c>
      <c r="J21" s="3">
        <f>(I21*$O$21)+I21</f>
        <v>7433.8634846799469</v>
      </c>
      <c r="K21" s="3">
        <f t="shared" ref="K21:N21" si="25">(J21*$O$21)+J21</f>
        <v>6445.3378013596785</v>
      </c>
      <c r="L21" s="3">
        <f t="shared" si="25"/>
        <v>5588.2623428918887</v>
      </c>
      <c r="M21" s="3">
        <f t="shared" si="25"/>
        <v>4845.1573797102892</v>
      </c>
      <c r="N21" s="3">
        <f t="shared" si="25"/>
        <v>4200.8675673613125</v>
      </c>
      <c r="O21" s="75">
        <f>(I21-H21)/H21</f>
        <v>-0.13297603397714633</v>
      </c>
    </row>
    <row r="22" spans="1:15" x14ac:dyDescent="0.3">
      <c r="A22" t="s">
        <v>189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75"/>
    </row>
    <row r="23" spans="1:15" x14ac:dyDescent="0.3">
      <c r="A23" t="s">
        <v>188</v>
      </c>
      <c r="B23" s="3">
        <f>Historicals!C30-Historicals!C45</f>
        <v>9255</v>
      </c>
      <c r="C23" s="3">
        <f>Historicals!D30-Historicals!D45</f>
        <v>9667</v>
      </c>
      <c r="D23" s="3">
        <f>Historicals!E30-Historicals!E45</f>
        <v>10587</v>
      </c>
      <c r="E23" s="3">
        <f>Historicals!F30-Historicals!F45</f>
        <v>9094</v>
      </c>
      <c r="F23" s="3">
        <f>Historicals!G30-Historicals!G45</f>
        <v>8659</v>
      </c>
      <c r="G23" s="3">
        <f>Historicals!H30-Historicals!H45</f>
        <v>12272</v>
      </c>
      <c r="H23" s="3">
        <f>Historicals!I30-Historicals!I45</f>
        <v>16617</v>
      </c>
      <c r="I23" s="3">
        <f>Historicals!J30-Historicals!J45</f>
        <v>17483</v>
      </c>
      <c r="J23" s="3">
        <f>J3*J24</f>
        <v>18335.599488077598</v>
      </c>
      <c r="K23" s="3">
        <f t="shared" ref="K23:N23" si="26">K3*K24</f>
        <v>19229.777989314844</v>
      </c>
      <c r="L23" s="3">
        <f t="shared" si="26"/>
        <v>20167.56320178042</v>
      </c>
      <c r="M23" s="3">
        <f t="shared" si="26"/>
        <v>21151.081708993745</v>
      </c>
      <c r="N23" s="3">
        <f t="shared" si="26"/>
        <v>22182.563802305849</v>
      </c>
      <c r="O23" s="75"/>
    </row>
    <row r="24" spans="1:15" x14ac:dyDescent="0.3">
      <c r="A24" s="64" t="s">
        <v>187</v>
      </c>
      <c r="B24" s="63">
        <f>B23/B3</f>
        <v>0.30244109669618641</v>
      </c>
      <c r="C24" s="63">
        <f t="shared" ref="C24:H24" si="27">C23/C3</f>
        <v>0.29858537188040524</v>
      </c>
      <c r="D24" s="63">
        <f t="shared" si="27"/>
        <v>0.30820960698689959</v>
      </c>
      <c r="E24" s="63">
        <f t="shared" si="27"/>
        <v>0.24985575734263812</v>
      </c>
      <c r="F24" s="63">
        <f t="shared" si="27"/>
        <v>0.22136155635657132</v>
      </c>
      <c r="G24" s="63">
        <f t="shared" si="27"/>
        <v>0.32810202390182608</v>
      </c>
      <c r="H24" s="63">
        <f t="shared" si="27"/>
        <v>0.37309713054021287</v>
      </c>
      <c r="I24" s="63">
        <f>I23/I3</f>
        <v>0.37428816099336332</v>
      </c>
      <c r="J24" s="62">
        <f>+I24</f>
        <v>0.37428816099336332</v>
      </c>
      <c r="K24" s="62">
        <f t="shared" ref="K24:N24" si="28">+J24</f>
        <v>0.37428816099336332</v>
      </c>
      <c r="L24" s="62">
        <f t="shared" si="28"/>
        <v>0.37428816099336332</v>
      </c>
      <c r="M24" s="62">
        <f t="shared" si="28"/>
        <v>0.37428816099336332</v>
      </c>
      <c r="N24" s="62">
        <f t="shared" si="28"/>
        <v>0.37428816099336332</v>
      </c>
      <c r="O24" s="75"/>
    </row>
    <row r="25" spans="1:15" x14ac:dyDescent="0.3">
      <c r="A25" t="s">
        <v>186</v>
      </c>
      <c r="B25" s="3">
        <f>Historicals!C29</f>
        <v>1968</v>
      </c>
      <c r="C25" s="3">
        <f>Historicals!D29</f>
        <v>1489</v>
      </c>
      <c r="D25" s="3">
        <f>Historicals!E29</f>
        <v>1150</v>
      </c>
      <c r="E25" s="3">
        <f>Historicals!F29</f>
        <v>1130</v>
      </c>
      <c r="F25" s="3">
        <f>Historicals!G29</f>
        <v>1968</v>
      </c>
      <c r="G25" s="3">
        <f>Historicals!H29</f>
        <v>1653</v>
      </c>
      <c r="H25" s="3">
        <f>Historicals!I29</f>
        <v>1498</v>
      </c>
      <c r="I25" s="3">
        <f>Historicals!J29</f>
        <v>2129</v>
      </c>
      <c r="J25" s="3">
        <f>(I25*$O$25)+I25</f>
        <v>3025.7950600801069</v>
      </c>
      <c r="K25" s="3">
        <f t="shared" ref="K25:N25" si="29">(J25*$O$25)+J25</f>
        <v>4300.3455827173211</v>
      </c>
      <c r="L25" s="3">
        <f t="shared" si="29"/>
        <v>6111.7728608846301</v>
      </c>
      <c r="M25" s="3">
        <f t="shared" si="29"/>
        <v>8686.2245799889024</v>
      </c>
      <c r="N25" s="3">
        <f t="shared" si="29"/>
        <v>12345.108231506258</v>
      </c>
      <c r="O25" s="75">
        <f>(I25-H25)/H25</f>
        <v>0.4212283044058745</v>
      </c>
    </row>
    <row r="26" spans="1:15" x14ac:dyDescent="0.3">
      <c r="A26" t="s">
        <v>185</v>
      </c>
      <c r="B26" s="3">
        <f>Historicals!C31</f>
        <v>3011</v>
      </c>
      <c r="C26" s="3">
        <f>Historicals!D31</f>
        <v>3520</v>
      </c>
      <c r="D26" s="3">
        <f>Historicals!E31</f>
        <v>3989</v>
      </c>
      <c r="E26" s="3">
        <f>Historicals!F31</f>
        <v>4454</v>
      </c>
      <c r="F26" s="3">
        <f>Historicals!G31</f>
        <v>4744</v>
      </c>
      <c r="G26" s="3">
        <f>Historicals!H31</f>
        <v>4866</v>
      </c>
      <c r="H26" s="3">
        <f>Historicals!I31</f>
        <v>4904</v>
      </c>
      <c r="I26" s="3">
        <f>Historicals!J31</f>
        <v>4791</v>
      </c>
      <c r="J26" s="3">
        <f>(I26*$O$26)+I26</f>
        <v>4680.6037928221858</v>
      </c>
      <c r="K26" s="3">
        <f t="shared" ref="K26:N26" si="30">(J26*$O$26)+J26</f>
        <v>4572.7513807934529</v>
      </c>
      <c r="L26" s="3">
        <f t="shared" si="30"/>
        <v>4467.3841487319396</v>
      </c>
      <c r="M26" s="3">
        <f t="shared" si="30"/>
        <v>4364.4448320910933</v>
      </c>
      <c r="N26" s="3">
        <f t="shared" si="30"/>
        <v>4263.877485837771</v>
      </c>
      <c r="O26" s="75">
        <f t="shared" ref="O22:O68" si="31">(I26-H26)/H26</f>
        <v>-2.3042414355628059E-2</v>
      </c>
    </row>
    <row r="27" spans="1:15" x14ac:dyDescent="0.3">
      <c r="A27" t="s">
        <v>184</v>
      </c>
      <c r="B27" s="3">
        <f>Historicals!C33</f>
        <v>281</v>
      </c>
      <c r="C27" s="3">
        <f>Historicals!D33</f>
        <v>281</v>
      </c>
      <c r="D27" s="3">
        <f>Historicals!E33</f>
        <v>283</v>
      </c>
      <c r="E27" s="3">
        <f>Historicals!F33</f>
        <v>285</v>
      </c>
      <c r="F27" s="3">
        <f>Historicals!G33</f>
        <v>283</v>
      </c>
      <c r="G27" s="3">
        <f>Historicals!H33</f>
        <v>274</v>
      </c>
      <c r="H27" s="3">
        <f>Historicals!I33</f>
        <v>269</v>
      </c>
      <c r="I27" s="3">
        <f>Historicals!J33</f>
        <v>286</v>
      </c>
      <c r="J27" s="3">
        <f>(I27*$O$27)+I27</f>
        <v>304.07434944237917</v>
      </c>
      <c r="K27" s="3">
        <f t="shared" ref="K27:N27" si="32">(J27*$O$27)+J27</f>
        <v>323.29094401680464</v>
      </c>
      <c r="L27" s="3">
        <f t="shared" si="32"/>
        <v>343.72197021861012</v>
      </c>
      <c r="M27" s="3">
        <f t="shared" si="32"/>
        <v>365.44417651495354</v>
      </c>
      <c r="N27" s="3">
        <f t="shared" si="32"/>
        <v>388.53916164786881</v>
      </c>
      <c r="O27" s="75">
        <f t="shared" si="31"/>
        <v>6.3197026022304828E-2</v>
      </c>
    </row>
    <row r="28" spans="1:15" x14ac:dyDescent="0.3">
      <c r="A28" t="s">
        <v>40</v>
      </c>
      <c r="B28" s="3">
        <f>Historicals!C34</f>
        <v>131</v>
      </c>
      <c r="C28" s="3">
        <f>Historicals!D34</f>
        <v>131</v>
      </c>
      <c r="D28" s="3">
        <f>Historicals!E34</f>
        <v>139</v>
      </c>
      <c r="E28" s="3">
        <f>Historicals!F34</f>
        <v>154</v>
      </c>
      <c r="F28" s="3">
        <f>Historicals!G34</f>
        <v>154</v>
      </c>
      <c r="G28" s="3">
        <f>Historicals!H34</f>
        <v>223</v>
      </c>
      <c r="H28" s="3">
        <f>Historicals!I34</f>
        <v>242</v>
      </c>
      <c r="I28" s="3">
        <f>Historicals!J34</f>
        <v>284</v>
      </c>
      <c r="J28" s="3">
        <f>(I28*$O$28)+I28</f>
        <v>333.28925619834712</v>
      </c>
      <c r="K28" s="3">
        <f t="shared" ref="K28:N28" si="33">(J28*$O$28)+J28</f>
        <v>391.13284611706854</v>
      </c>
      <c r="L28" s="3">
        <f t="shared" si="33"/>
        <v>459.015406186973</v>
      </c>
      <c r="M28" s="3">
        <f t="shared" si="33"/>
        <v>538.67923701281131</v>
      </c>
      <c r="N28" s="3">
        <f t="shared" si="33"/>
        <v>632.16902194891907</v>
      </c>
      <c r="O28" s="75">
        <f t="shared" si="31"/>
        <v>0.17355371900826447</v>
      </c>
    </row>
    <row r="29" spans="1:15" x14ac:dyDescent="0.3">
      <c r="A29" s="68" t="s">
        <v>38</v>
      </c>
      <c r="B29" s="3">
        <f>Historicals!C32</f>
        <v>0</v>
      </c>
      <c r="C29" s="3">
        <f>Historicals!D32</f>
        <v>0</v>
      </c>
      <c r="D29" s="3">
        <f>Historicals!E32</f>
        <v>0</v>
      </c>
      <c r="E29" s="3">
        <f>Historicals!F32</f>
        <v>0</v>
      </c>
      <c r="F29" s="3">
        <f>Historicals!G32</f>
        <v>0</v>
      </c>
      <c r="G29" s="3">
        <f>Historicals!H32</f>
        <v>3097</v>
      </c>
      <c r="H29" s="3">
        <f>Historicals!I32</f>
        <v>3113</v>
      </c>
      <c r="I29" s="3">
        <f>Historicals!J32</f>
        <v>2926</v>
      </c>
      <c r="J29" s="3">
        <f>(I29*$O$29)+I29</f>
        <v>2750.2332155477034</v>
      </c>
      <c r="K29" s="3">
        <f t="shared" ref="K29:N29" si="34">(J29*$O$29)+J29</f>
        <v>2585.0248598434246</v>
      </c>
      <c r="L29" s="3">
        <f t="shared" si="34"/>
        <v>2429.740680983572</v>
      </c>
      <c r="M29" s="3">
        <f t="shared" si="34"/>
        <v>2283.7845270022267</v>
      </c>
      <c r="N29" s="3">
        <f t="shared" si="34"/>
        <v>2146.5960571823048</v>
      </c>
      <c r="O29" s="75">
        <f t="shared" si="31"/>
        <v>-6.0070671378091869E-2</v>
      </c>
    </row>
    <row r="30" spans="1:15" x14ac:dyDescent="0.3">
      <c r="A30" t="s">
        <v>183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75"/>
    </row>
    <row r="31" spans="1:15" ht="15" thickBot="1" x14ac:dyDescent="0.35">
      <c r="A31" s="6" t="s">
        <v>182</v>
      </c>
      <c r="B31" s="7">
        <f>Historicals!C36</f>
        <v>21597</v>
      </c>
      <c r="C31" s="7">
        <f>Historicals!D36</f>
        <v>21379</v>
      </c>
      <c r="D31" s="7">
        <f>Historicals!E36</f>
        <v>23259</v>
      </c>
      <c r="E31" s="7">
        <f>Historicals!F36</f>
        <v>22536</v>
      </c>
      <c r="F31" s="7">
        <f>Historicals!G36</f>
        <v>23717</v>
      </c>
      <c r="G31" s="7">
        <f>Historicals!H36</f>
        <v>31342</v>
      </c>
      <c r="H31" s="7">
        <f>Historicals!I36</f>
        <v>37740</v>
      </c>
      <c r="I31" s="7">
        <f>Historicals!J36</f>
        <v>40321</v>
      </c>
      <c r="J31" s="3">
        <f>(I31*$O$31)+I31</f>
        <v>43078.511950185479</v>
      </c>
      <c r="K31" s="3">
        <f t="shared" ref="K31:N31" si="35">(J31*$O$31)+J31</f>
        <v>46024.607322295407</v>
      </c>
      <c r="L31" s="3">
        <f t="shared" si="35"/>
        <v>49172.183143674432</v>
      </c>
      <c r="M31" s="3">
        <f t="shared" si="35"/>
        <v>52535.018456176389</v>
      </c>
      <c r="N31" s="3">
        <f t="shared" si="35"/>
        <v>56127.834636234453</v>
      </c>
      <c r="O31" s="75">
        <f t="shared" si="31"/>
        <v>6.8388977212506627E-2</v>
      </c>
    </row>
    <row r="32" spans="1:15" ht="15" thickTop="1" x14ac:dyDescent="0.3">
      <c r="A32" t="s">
        <v>181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75"/>
    </row>
    <row r="33" spans="1:15" x14ac:dyDescent="0.3">
      <c r="A33" s="2" t="s">
        <v>45</v>
      </c>
      <c r="B33" s="3">
        <f>Historicals!C39</f>
        <v>107</v>
      </c>
      <c r="C33" s="3">
        <f>Historicals!D39</f>
        <v>44</v>
      </c>
      <c r="D33" s="3">
        <f>Historicals!E39</f>
        <v>6</v>
      </c>
      <c r="E33" s="3">
        <f>Historicals!F39</f>
        <v>6</v>
      </c>
      <c r="F33" s="3">
        <f>Historicals!G39</f>
        <v>6</v>
      </c>
      <c r="G33" s="3">
        <f>Historicals!H39</f>
        <v>3</v>
      </c>
      <c r="H33" s="3">
        <f>Historicals!I39</f>
        <v>0</v>
      </c>
      <c r="I33" s="3">
        <f>Historicals!J39</f>
        <v>500</v>
      </c>
      <c r="J33" s="3"/>
      <c r="K33" s="3"/>
      <c r="L33" s="3"/>
      <c r="M33" s="3"/>
      <c r="N33" s="3"/>
      <c r="O33" s="75"/>
    </row>
    <row r="34" spans="1:15" x14ac:dyDescent="0.3">
      <c r="A34" s="2" t="s">
        <v>46</v>
      </c>
      <c r="B34" s="3">
        <f>Historicals!C40</f>
        <v>74</v>
      </c>
      <c r="C34" s="3">
        <f>Historicals!D40</f>
        <v>1</v>
      </c>
      <c r="D34" s="3">
        <f>Historicals!E40</f>
        <v>325</v>
      </c>
      <c r="E34" s="3">
        <f>Historicals!F40</f>
        <v>336</v>
      </c>
      <c r="F34" s="3">
        <f>Historicals!G40</f>
        <v>9</v>
      </c>
      <c r="G34" s="3">
        <f>Historicals!H40</f>
        <v>248</v>
      </c>
      <c r="H34" s="3">
        <f>Historicals!I40</f>
        <v>2</v>
      </c>
      <c r="I34" s="3">
        <f>Historicals!J40</f>
        <v>10</v>
      </c>
      <c r="J34" s="3"/>
      <c r="K34" s="3"/>
      <c r="L34" s="3"/>
      <c r="M34" s="3"/>
      <c r="N34" s="3"/>
      <c r="O34" s="75">
        <f t="shared" si="31"/>
        <v>4</v>
      </c>
    </row>
    <row r="35" spans="1:15" x14ac:dyDescent="0.3">
      <c r="A35" t="s">
        <v>180</v>
      </c>
      <c r="B35" s="3"/>
      <c r="C35" s="3"/>
      <c r="D35" s="3"/>
      <c r="E35" s="3"/>
      <c r="F35" s="3"/>
      <c r="G35" s="3"/>
      <c r="H35" s="3"/>
      <c r="I35" s="3"/>
      <c r="J35" s="3">
        <f t="shared" ref="J32:J43" si="36">(I35*$O$31)+I35</f>
        <v>0</v>
      </c>
      <c r="K35" s="3"/>
      <c r="L35" s="3"/>
      <c r="M35" s="3"/>
      <c r="N35" s="3"/>
      <c r="O35" s="75"/>
    </row>
    <row r="36" spans="1:15" x14ac:dyDescent="0.3">
      <c r="A36" t="s">
        <v>49</v>
      </c>
      <c r="B36" s="3">
        <f>Historicals!C46</f>
        <v>1079</v>
      </c>
      <c r="C36" s="3">
        <f>Historicals!D46</f>
        <v>1993</v>
      </c>
      <c r="D36" s="3">
        <f>Historicals!E46</f>
        <v>3471</v>
      </c>
      <c r="E36" s="3">
        <f>Historicals!F46</f>
        <v>3468</v>
      </c>
      <c r="F36" s="3">
        <f>Historicals!G46</f>
        <v>3464</v>
      </c>
      <c r="G36" s="3">
        <f>Historicals!H46</f>
        <v>9406</v>
      </c>
      <c r="H36" s="3">
        <f>Historicals!I46</f>
        <v>9413</v>
      </c>
      <c r="I36" s="3">
        <f>Historicals!J46</f>
        <v>8920</v>
      </c>
      <c r="J36" s="3">
        <f>(I36*$O$36)+I36</f>
        <v>8452.8205673005414</v>
      </c>
      <c r="K36" s="3">
        <f t="shared" ref="K36:N36" si="37">(J36*$O$36)+J36</f>
        <v>8010.1093658048258</v>
      </c>
      <c r="L36" s="3">
        <f t="shared" si="37"/>
        <v>7590.5848871750823</v>
      </c>
      <c r="M36" s="3">
        <f t="shared" si="37"/>
        <v>7193.0327412728921</v>
      </c>
      <c r="N36" s="3">
        <f t="shared" si="37"/>
        <v>6816.302140885392</v>
      </c>
      <c r="O36" s="75">
        <f t="shared" si="31"/>
        <v>-5.2374375863167962E-2</v>
      </c>
    </row>
    <row r="37" spans="1:15" x14ac:dyDescent="0.3">
      <c r="A37" s="68" t="s">
        <v>50</v>
      </c>
      <c r="B37" s="3">
        <f>Historicals!C47</f>
        <v>0</v>
      </c>
      <c r="C37" s="3">
        <f>Historicals!D47</f>
        <v>0</v>
      </c>
      <c r="D37" s="3">
        <f>Historicals!E47</f>
        <v>0</v>
      </c>
      <c r="E37" s="3">
        <f>Historicals!F47</f>
        <v>0</v>
      </c>
      <c r="F37" s="3">
        <f>Historicals!G47</f>
        <v>0</v>
      </c>
      <c r="G37" s="3">
        <f>Historicals!H47</f>
        <v>2913</v>
      </c>
      <c r="H37" s="3">
        <f>Historicals!I47</f>
        <v>2931</v>
      </c>
      <c r="I37" s="3">
        <f>Historicals!J47</f>
        <v>2777</v>
      </c>
      <c r="J37" s="3">
        <f>(I37*$O$37)+I37</f>
        <v>2631.0914363698398</v>
      </c>
      <c r="K37" s="3">
        <f t="shared" ref="K37:N37" si="38">(J37*$O$37)+J37</f>
        <v>2492.8491705216802</v>
      </c>
      <c r="L37" s="3">
        <f t="shared" si="38"/>
        <v>2361.8704014120458</v>
      </c>
      <c r="M37" s="3">
        <f t="shared" si="38"/>
        <v>2237.7734918871552</v>
      </c>
      <c r="N37" s="3">
        <f t="shared" si="38"/>
        <v>2120.1968566941759</v>
      </c>
      <c r="O37" s="75">
        <f t="shared" si="31"/>
        <v>-5.2541794609348345E-2</v>
      </c>
    </row>
    <row r="38" spans="1:15" x14ac:dyDescent="0.3">
      <c r="A38" t="s">
        <v>179</v>
      </c>
      <c r="B38" s="3"/>
      <c r="C38" s="3"/>
      <c r="D38" s="3"/>
      <c r="E38" s="3"/>
      <c r="F38" s="3"/>
      <c r="G38" s="3"/>
      <c r="H38" s="3"/>
      <c r="I38" s="3"/>
      <c r="J38" s="3">
        <f t="shared" si="36"/>
        <v>0</v>
      </c>
      <c r="K38" s="3"/>
      <c r="L38" s="3"/>
      <c r="M38" s="3"/>
      <c r="N38" s="3"/>
      <c r="O38" s="75"/>
    </row>
    <row r="39" spans="1:15" x14ac:dyDescent="0.3">
      <c r="A39" t="s">
        <v>178</v>
      </c>
      <c r="B39" s="3"/>
      <c r="C39" s="3"/>
      <c r="D39" s="3"/>
      <c r="E39" s="3"/>
      <c r="F39" s="3"/>
      <c r="G39" s="3"/>
      <c r="H39" s="3"/>
      <c r="I39" s="3"/>
      <c r="J39" s="3">
        <f t="shared" si="36"/>
        <v>0</v>
      </c>
      <c r="K39" s="3"/>
      <c r="L39" s="3"/>
      <c r="M39" s="3"/>
      <c r="N39" s="3"/>
      <c r="O39" s="75"/>
    </row>
    <row r="40" spans="1:15" x14ac:dyDescent="0.3">
      <c r="A40" s="2" t="s">
        <v>177</v>
      </c>
      <c r="B40" s="3"/>
      <c r="C40" s="3"/>
      <c r="D40" s="3"/>
      <c r="E40" s="3"/>
      <c r="F40" s="3"/>
      <c r="G40" s="3"/>
      <c r="H40" s="3"/>
      <c r="I40" s="3"/>
      <c r="J40" s="3">
        <f t="shared" si="36"/>
        <v>0</v>
      </c>
      <c r="K40" s="3"/>
      <c r="L40" s="3"/>
      <c r="M40" s="3"/>
      <c r="N40" s="3"/>
      <c r="O40" s="75"/>
    </row>
    <row r="41" spans="1:15" x14ac:dyDescent="0.3">
      <c r="A41" s="2" t="s">
        <v>176</v>
      </c>
      <c r="B41" s="3">
        <f>Historicals!C57</f>
        <v>4685</v>
      </c>
      <c r="C41" s="3">
        <f>Historicals!D57</f>
        <v>4151</v>
      </c>
      <c r="D41" s="3">
        <f>Historicals!E57</f>
        <v>6907</v>
      </c>
      <c r="E41" s="3">
        <f>Historicals!F57</f>
        <v>3517</v>
      </c>
      <c r="F41" s="3">
        <f>Historicals!G57</f>
        <v>1643</v>
      </c>
      <c r="G41" s="3">
        <f>Historicals!H57</f>
        <v>-191</v>
      </c>
      <c r="H41" s="3">
        <f>Historicals!I57</f>
        <v>3179</v>
      </c>
      <c r="I41" s="3">
        <f>Historicals!J57</f>
        <v>3476</v>
      </c>
      <c r="J41" s="3">
        <f>(I41*$O$41)+I41</f>
        <v>3800.7474048442905</v>
      </c>
      <c r="K41" s="3">
        <f t="shared" ref="K41:N41" si="39">(J41*$O$41)+J41</f>
        <v>4155.8345326325116</v>
      </c>
      <c r="L41" s="3">
        <f t="shared" si="39"/>
        <v>4544.0958903525043</v>
      </c>
      <c r="M41" s="3">
        <f t="shared" si="39"/>
        <v>4968.6308005238452</v>
      </c>
      <c r="N41" s="3">
        <f t="shared" si="39"/>
        <v>5432.8281417492562</v>
      </c>
      <c r="O41" s="75">
        <f t="shared" si="31"/>
        <v>9.3425605536332182E-2</v>
      </c>
    </row>
    <row r="42" spans="1:15" x14ac:dyDescent="0.3">
      <c r="A42" s="2" t="s">
        <v>175</v>
      </c>
      <c r="B42" s="3"/>
      <c r="C42" s="3"/>
      <c r="D42" s="3"/>
      <c r="E42" s="3"/>
      <c r="F42" s="3"/>
      <c r="G42" s="3"/>
      <c r="H42" s="3"/>
      <c r="I42" s="3"/>
      <c r="J42" s="3">
        <f t="shared" si="36"/>
        <v>0</v>
      </c>
      <c r="K42" s="3"/>
      <c r="L42" s="3"/>
      <c r="M42" s="3"/>
      <c r="N42" s="3"/>
      <c r="O42" s="75"/>
    </row>
    <row r="43" spans="1:15" ht="15" thickBot="1" x14ac:dyDescent="0.35">
      <c r="A43" s="6" t="s">
        <v>174</v>
      </c>
      <c r="B43" s="7">
        <f>Historicals!C59</f>
        <v>21597</v>
      </c>
      <c r="C43" s="7">
        <f>Historicals!D59</f>
        <v>21379</v>
      </c>
      <c r="D43" s="7">
        <f>Historicals!E59</f>
        <v>23259</v>
      </c>
      <c r="E43" s="7">
        <f>Historicals!F59</f>
        <v>22536</v>
      </c>
      <c r="F43" s="7">
        <f>Historicals!G59</f>
        <v>23717</v>
      </c>
      <c r="G43" s="7">
        <f>Historicals!H59</f>
        <v>31342</v>
      </c>
      <c r="H43" s="7">
        <f>Historicals!I59</f>
        <v>37740</v>
      </c>
      <c r="I43" s="7">
        <f>Historicals!J59</f>
        <v>40321</v>
      </c>
      <c r="J43" s="3">
        <f>(I43*$O$43)+I43</f>
        <v>43078.511950185479</v>
      </c>
      <c r="K43" s="3">
        <f t="shared" ref="K43:N43" si="40">(J43*$O$43)+J43</f>
        <v>46024.607322295407</v>
      </c>
      <c r="L43" s="3">
        <f t="shared" si="40"/>
        <v>49172.183143674432</v>
      </c>
      <c r="M43" s="3">
        <f t="shared" si="40"/>
        <v>52535.018456176389</v>
      </c>
      <c r="N43" s="3">
        <f t="shared" si="40"/>
        <v>56127.834636234453</v>
      </c>
      <c r="O43" s="75">
        <f t="shared" si="31"/>
        <v>6.8388977212506627E-2</v>
      </c>
    </row>
    <row r="44" spans="1:15" ht="15" thickTop="1" x14ac:dyDescent="0.3">
      <c r="A44" s="67" t="s">
        <v>173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75"/>
    </row>
    <row r="45" spans="1:15" x14ac:dyDescent="0.3">
      <c r="A45" s="66" t="s">
        <v>172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75"/>
    </row>
    <row r="46" spans="1:15" x14ac:dyDescent="0.3">
      <c r="A46" s="1" t="s">
        <v>134</v>
      </c>
      <c r="B46" s="9">
        <f>B7</f>
        <v>4233</v>
      </c>
      <c r="C46" s="9">
        <f t="shared" ref="C46:I46" si="41">C7</f>
        <v>4642</v>
      </c>
      <c r="D46" s="9">
        <f t="shared" si="41"/>
        <v>4945</v>
      </c>
      <c r="E46" s="9">
        <f t="shared" si="41"/>
        <v>4379</v>
      </c>
      <c r="F46" s="9">
        <f t="shared" si="41"/>
        <v>4850</v>
      </c>
      <c r="G46" s="9">
        <f t="shared" si="41"/>
        <v>2976</v>
      </c>
      <c r="H46" s="9">
        <f t="shared" si="41"/>
        <v>6923</v>
      </c>
      <c r="I46" s="9">
        <f t="shared" si="41"/>
        <v>6856</v>
      </c>
      <c r="J46" s="9">
        <f>J7</f>
        <v>6789.648418315759</v>
      </c>
      <c r="K46" s="9">
        <f t="shared" ref="K46:N46" si="42">K7</f>
        <v>6723.9389796291844</v>
      </c>
      <c r="L46" s="9">
        <f t="shared" si="42"/>
        <v>6658.865469353992</v>
      </c>
      <c r="M46" s="9">
        <f t="shared" si="42"/>
        <v>6594.4217330479514</v>
      </c>
      <c r="N46" s="9">
        <f t="shared" si="42"/>
        <v>6530.6016758308178</v>
      </c>
      <c r="O46" s="75"/>
    </row>
    <row r="47" spans="1:15" x14ac:dyDescent="0.3">
      <c r="A47" t="s">
        <v>132</v>
      </c>
      <c r="B47" s="65">
        <f>B6</f>
        <v>606</v>
      </c>
      <c r="C47" s="65">
        <f t="shared" ref="C47:I47" si="43">C6</f>
        <v>649</v>
      </c>
      <c r="D47" s="65">
        <f t="shared" si="43"/>
        <v>706</v>
      </c>
      <c r="E47" s="65">
        <f t="shared" si="43"/>
        <v>747</v>
      </c>
      <c r="F47" s="65">
        <f t="shared" si="43"/>
        <v>705</v>
      </c>
      <c r="G47" s="65">
        <f t="shared" si="43"/>
        <v>721</v>
      </c>
      <c r="H47" s="65">
        <f t="shared" si="43"/>
        <v>744</v>
      </c>
      <c r="I47" s="65">
        <f t="shared" si="43"/>
        <v>717</v>
      </c>
      <c r="J47" s="65">
        <f>'Segmental forecast'!K8</f>
        <v>690.97983870967744</v>
      </c>
      <c r="K47" s="65">
        <f>'Segmental forecast'!L8</f>
        <v>665.90395746618105</v>
      </c>
      <c r="L47" s="65">
        <f>'Segmental forecast'!M8</f>
        <v>641.73808804200519</v>
      </c>
      <c r="M47" s="65">
        <f>'Segmental forecast'!N8</f>
        <v>618.44920581467443</v>
      </c>
      <c r="N47" s="65">
        <f>'Segmental forecast'!O8</f>
        <v>596.0054846359161</v>
      </c>
      <c r="O47" s="75"/>
    </row>
    <row r="48" spans="1:15" x14ac:dyDescent="0.3">
      <c r="A48" t="s">
        <v>171</v>
      </c>
      <c r="B48">
        <f>Historicals!C101</f>
        <v>1262</v>
      </c>
      <c r="C48">
        <f>Historicals!D101</f>
        <v>748</v>
      </c>
      <c r="D48">
        <f>Historicals!E101</f>
        <v>703</v>
      </c>
      <c r="E48">
        <f>Historicals!F101</f>
        <v>529</v>
      </c>
      <c r="F48">
        <f>Historicals!G101</f>
        <v>757</v>
      </c>
      <c r="G48">
        <f>Historicals!H101</f>
        <v>1028</v>
      </c>
      <c r="H48">
        <f>Historicals!I101</f>
        <v>1177</v>
      </c>
      <c r="I48">
        <f>Historicals!J101</f>
        <v>1231</v>
      </c>
      <c r="J48" s="3">
        <f>(I48*$O$48)+I48</f>
        <v>1287.4774851316906</v>
      </c>
      <c r="K48" s="3">
        <f t="shared" ref="K48:N48" si="44">(J48*$O$48)+J48</f>
        <v>1346.5461208131785</v>
      </c>
      <c r="L48" s="3">
        <f t="shared" si="44"/>
        <v>1408.3247873585581</v>
      </c>
      <c r="M48" s="3">
        <f t="shared" si="44"/>
        <v>1472.937819233972</v>
      </c>
      <c r="N48" s="3">
        <f t="shared" si="44"/>
        <v>1540.5152552905859</v>
      </c>
      <c r="O48" s="75">
        <f t="shared" si="31"/>
        <v>4.5879354290569246E-2</v>
      </c>
    </row>
    <row r="49" spans="1:15" x14ac:dyDescent="0.3">
      <c r="A49" s="1" t="s">
        <v>170</v>
      </c>
      <c r="B49" s="9">
        <f>B7*(1-B13)</f>
        <v>3294.7940546967893</v>
      </c>
      <c r="C49" s="9">
        <f t="shared" ref="C49:I49" si="45">C7*(1-C13)</f>
        <v>3775.4531689379191</v>
      </c>
      <c r="D49" s="9">
        <f t="shared" si="45"/>
        <v>4291.19934506754</v>
      </c>
      <c r="E49" s="9">
        <f t="shared" si="45"/>
        <v>1957.1345664739886</v>
      </c>
      <c r="F49" s="9">
        <f t="shared" si="45"/>
        <v>4070.1208081649661</v>
      </c>
      <c r="G49" s="9">
        <f t="shared" si="45"/>
        <v>2617.2719085555941</v>
      </c>
      <c r="H49" s="9">
        <f t="shared" si="45"/>
        <v>5952.2625731872085</v>
      </c>
      <c r="I49" s="9">
        <f t="shared" si="45"/>
        <v>6232.3524282062854</v>
      </c>
      <c r="J49" s="3">
        <f>(I49*$O$49)+I49</f>
        <v>6525.6222002602726</v>
      </c>
      <c r="K49" s="3">
        <f t="shared" ref="K49:N49" si="46">(J49*$O$49)+J49</f>
        <v>6832.6920839400636</v>
      </c>
      <c r="L49" s="3">
        <f t="shared" si="46"/>
        <v>7154.2114577327447</v>
      </c>
      <c r="M49" s="3">
        <f t="shared" si="46"/>
        <v>7490.8602572999343</v>
      </c>
      <c r="N49" s="3">
        <f t="shared" si="46"/>
        <v>7843.3504133771457</v>
      </c>
      <c r="O49" s="75">
        <f t="shared" si="31"/>
        <v>4.7056031479656223E-2</v>
      </c>
    </row>
    <row r="50" spans="1:15" x14ac:dyDescent="0.3">
      <c r="A50" t="s">
        <v>169</v>
      </c>
      <c r="B50" s="3">
        <f>Historicals!C100</f>
        <v>53</v>
      </c>
      <c r="C50" s="3">
        <f>Historicals!D100</f>
        <v>70</v>
      </c>
      <c r="D50" s="3">
        <f>Historicals!E100</f>
        <v>98</v>
      </c>
      <c r="E50" s="3">
        <f>Historicals!F100</f>
        <v>125</v>
      </c>
      <c r="F50" s="3">
        <f>Historicals!G100</f>
        <v>153</v>
      </c>
      <c r="G50" s="3">
        <f>Historicals!H100</f>
        <v>140</v>
      </c>
      <c r="H50" s="3">
        <f>Historicals!I100</f>
        <v>293</v>
      </c>
      <c r="I50" s="3">
        <f>Historicals!J100</f>
        <v>290</v>
      </c>
      <c r="J50" s="3">
        <f>(I50*$O$50)+I50</f>
        <v>287.03071672354946</v>
      </c>
      <c r="K50" s="3">
        <f t="shared" ref="K50:N50" si="47">(J50*$O$50)+J50</f>
        <v>284.09183566494659</v>
      </c>
      <c r="L50" s="3">
        <f t="shared" si="47"/>
        <v>281.18304553868433</v>
      </c>
      <c r="M50" s="3">
        <f t="shared" si="47"/>
        <v>278.30403824647937</v>
      </c>
      <c r="N50" s="3">
        <f t="shared" si="47"/>
        <v>275.45450884463827</v>
      </c>
      <c r="O50" s="75">
        <f t="shared" si="31"/>
        <v>-1.0238907849829351E-2</v>
      </c>
    </row>
    <row r="51" spans="1:15" x14ac:dyDescent="0.3">
      <c r="A51" t="s">
        <v>168</v>
      </c>
      <c r="B51" s="3"/>
      <c r="C51" s="3">
        <f>C23-B23</f>
        <v>412</v>
      </c>
      <c r="D51" s="3">
        <f t="shared" ref="D51:I51" si="48">D23-C23</f>
        <v>920</v>
      </c>
      <c r="E51" s="3">
        <f t="shared" si="48"/>
        <v>-1493</v>
      </c>
      <c r="F51" s="3">
        <f t="shared" si="48"/>
        <v>-435</v>
      </c>
      <c r="G51" s="3">
        <f t="shared" si="48"/>
        <v>3613</v>
      </c>
      <c r="H51" s="3">
        <f t="shared" si="48"/>
        <v>4345</v>
      </c>
      <c r="I51" s="3">
        <f t="shared" si="48"/>
        <v>866</v>
      </c>
      <c r="J51" s="3">
        <f>(I51*$O$51)+I51</f>
        <v>172.60207134637517</v>
      </c>
      <c r="K51" s="3">
        <f t="shared" ref="K51:N51" si="49">(J51*$O$51)+J51</f>
        <v>34.401241377666508</v>
      </c>
      <c r="L51" s="3">
        <f t="shared" si="49"/>
        <v>6.8564959799906084</v>
      </c>
      <c r="M51" s="3">
        <f t="shared" si="49"/>
        <v>1.3665651366333416</v>
      </c>
      <c r="N51" s="3">
        <f t="shared" si="49"/>
        <v>0.27236948407928052</v>
      </c>
      <c r="O51" s="75">
        <f t="shared" si="31"/>
        <v>-0.80069044879171458</v>
      </c>
    </row>
    <row r="52" spans="1:15" x14ac:dyDescent="0.3">
      <c r="A52" t="s">
        <v>135</v>
      </c>
      <c r="B52" s="3">
        <f>'Segmental forecast'!C14</f>
        <v>783</v>
      </c>
      <c r="C52" s="3">
        <f>'Segmental forecast'!D14</f>
        <v>1158</v>
      </c>
      <c r="D52" s="3">
        <f>'Segmental forecast'!E14</f>
        <v>1175</v>
      </c>
      <c r="E52" s="3">
        <f>'Segmental forecast'!F14</f>
        <v>1212</v>
      </c>
      <c r="F52" s="3">
        <f>'Segmental forecast'!G14</f>
        <v>995</v>
      </c>
      <c r="G52" s="3">
        <f>'Segmental forecast'!H14</f>
        <v>843</v>
      </c>
      <c r="H52" s="3">
        <f>'Segmental forecast'!I14</f>
        <v>782</v>
      </c>
      <c r="I52" s="3">
        <f>'Segmental forecast'!J14</f>
        <v>604</v>
      </c>
      <c r="J52" s="3">
        <f>(I52*$O$52)+I52</f>
        <v>466.5166240409207</v>
      </c>
      <c r="K52" s="3">
        <f t="shared" ref="K52:N52" si="50">(J52*$O$52)+J52</f>
        <v>360.32741805718172</v>
      </c>
      <c r="L52" s="3">
        <f t="shared" si="50"/>
        <v>278.3091566579767</v>
      </c>
      <c r="M52" s="3">
        <f t="shared" si="50"/>
        <v>214.96001358237586</v>
      </c>
      <c r="N52" s="3">
        <f t="shared" si="50"/>
        <v>166.03049642423917</v>
      </c>
      <c r="O52" s="75">
        <f t="shared" si="31"/>
        <v>-0.22762148337595908</v>
      </c>
    </row>
    <row r="53" spans="1:15" x14ac:dyDescent="0.3">
      <c r="A53" s="1" t="s">
        <v>167</v>
      </c>
      <c r="B53" s="9">
        <f>B49+B6-'Segmental forecast'!C14-'Three Statements'!B51</f>
        <v>3117.7940546967893</v>
      </c>
      <c r="C53" s="9">
        <f>C49+C6-'Segmental forecast'!D14-'Three Statements'!C51</f>
        <v>2854.4531689379191</v>
      </c>
      <c r="D53" s="9">
        <f>D49+D6-'Segmental forecast'!E14-'Three Statements'!D51</f>
        <v>2902.19934506754</v>
      </c>
      <c r="E53" s="9">
        <f>E49+E6-'Segmental forecast'!F14-'Three Statements'!E51</f>
        <v>2985.1345664739883</v>
      </c>
      <c r="F53" s="9">
        <f>F49+F6-'Segmental forecast'!G14-'Three Statements'!F51</f>
        <v>4215.1208081649656</v>
      </c>
      <c r="G53" s="9">
        <f>G49+G6-'Segmental forecast'!H14-'Three Statements'!G51</f>
        <v>-1117.7280914444059</v>
      </c>
      <c r="H53" s="9">
        <f>H49+H6-'Segmental forecast'!I14-'Three Statements'!H51</f>
        <v>1569.2625731872085</v>
      </c>
      <c r="I53" s="9">
        <f>I49+I6-'Segmental forecast'!J14-'Three Statements'!I51</f>
        <v>5479.3524282062854</v>
      </c>
      <c r="J53" s="3"/>
      <c r="K53" s="9"/>
      <c r="L53" s="9"/>
      <c r="M53" s="9"/>
      <c r="N53" s="9"/>
      <c r="O53" s="75">
        <f t="shared" si="31"/>
        <v>2.4916734279067105</v>
      </c>
    </row>
    <row r="54" spans="1:15" x14ac:dyDescent="0.3">
      <c r="A54" t="s">
        <v>166</v>
      </c>
      <c r="B54" s="3"/>
      <c r="C54" s="3"/>
      <c r="D54" s="3"/>
      <c r="E54" s="3"/>
      <c r="F54" s="3"/>
      <c r="G54" s="3"/>
      <c r="H54" s="3"/>
      <c r="I54" s="3"/>
      <c r="J54" s="3">
        <f t="shared" ref="J49:J58" si="51">(I54*$O$43)+I54</f>
        <v>0</v>
      </c>
      <c r="K54" s="3"/>
      <c r="L54" s="3"/>
      <c r="M54" s="3"/>
      <c r="N54" s="3"/>
      <c r="O54" s="75"/>
    </row>
    <row r="55" spans="1:15" x14ac:dyDescent="0.3">
      <c r="A55" s="27" t="s">
        <v>165</v>
      </c>
      <c r="B55" s="26">
        <f>Historicals!C76</f>
        <v>4680</v>
      </c>
      <c r="C55" s="26">
        <f>Historicals!D76</f>
        <v>3096</v>
      </c>
      <c r="D55" s="26">
        <f>Historicals!E76</f>
        <v>3846</v>
      </c>
      <c r="E55" s="26">
        <f>Historicals!F76</f>
        <v>4955</v>
      </c>
      <c r="F55" s="26">
        <f>Historicals!G76</f>
        <v>5903</v>
      </c>
      <c r="G55" s="26">
        <f>Historicals!H76</f>
        <v>2485</v>
      </c>
      <c r="H55" s="26">
        <f>Historicals!I76</f>
        <v>6657</v>
      </c>
      <c r="I55" s="26">
        <f>Historicals!J76</f>
        <v>5188</v>
      </c>
      <c r="J55" s="3">
        <f>(I55*$O$55)+I55</f>
        <v>4043.1641880727057</v>
      </c>
      <c r="K55" s="3">
        <f t="shared" ref="K55:N55" si="52">(J55*$O$55)+J55</f>
        <v>3150.9592620882077</v>
      </c>
      <c r="L55" s="3">
        <f t="shared" si="52"/>
        <v>2455.6371716559443</v>
      </c>
      <c r="M55" s="3">
        <f t="shared" si="52"/>
        <v>1913.751787073913</v>
      </c>
      <c r="N55" s="3">
        <f t="shared" si="52"/>
        <v>1491.4442348414391</v>
      </c>
      <c r="O55" s="75">
        <f t="shared" si="31"/>
        <v>-0.220669971458615</v>
      </c>
    </row>
    <row r="56" spans="1:15" x14ac:dyDescent="0.3">
      <c r="A56" t="s">
        <v>164</v>
      </c>
      <c r="B56" s="3" t="s">
        <v>147</v>
      </c>
      <c r="C56" s="3" t="s">
        <v>147</v>
      </c>
      <c r="D56" s="3" t="s">
        <v>147</v>
      </c>
      <c r="E56" s="3" t="s">
        <v>147</v>
      </c>
      <c r="F56" s="3" t="s">
        <v>147</v>
      </c>
      <c r="G56" s="3" t="s">
        <v>147</v>
      </c>
      <c r="H56" s="3" t="s">
        <v>147</v>
      </c>
      <c r="I56" s="3" t="s">
        <v>147</v>
      </c>
      <c r="J56" s="3"/>
      <c r="K56" s="3"/>
      <c r="L56" s="3"/>
      <c r="M56" s="3"/>
      <c r="N56" s="3"/>
      <c r="O56" s="75"/>
    </row>
    <row r="57" spans="1:15" x14ac:dyDescent="0.3">
      <c r="A57" t="s">
        <v>163</v>
      </c>
      <c r="B57" s="3">
        <f>Historicals!C82</f>
        <v>-147</v>
      </c>
      <c r="C57" s="3">
        <f>Historicals!D82</f>
        <v>166</v>
      </c>
      <c r="D57" s="3">
        <f>Historicals!E82</f>
        <v>-21</v>
      </c>
      <c r="E57" s="3">
        <f>Historicals!F82</f>
        <v>-22</v>
      </c>
      <c r="F57" s="3">
        <f>Historicals!G82</f>
        <v>5</v>
      </c>
      <c r="G57" s="3">
        <f>Historicals!H82</f>
        <v>31</v>
      </c>
      <c r="H57" s="3">
        <f>Historicals!I82</f>
        <v>171</v>
      </c>
      <c r="I57" s="3">
        <f>Historicals!J82</f>
        <v>-19</v>
      </c>
      <c r="J57" s="3">
        <f>(I57*$O$57)+I57</f>
        <v>2.1111111111111107</v>
      </c>
      <c r="K57" s="3">
        <f>(J57*$O$57)+J57</f>
        <v>-0.23456790123456805</v>
      </c>
      <c r="L57" s="3">
        <f t="shared" ref="K57:N57" si="53">(K57*$O$57)+K57</f>
        <v>2.6063100137174222E-2</v>
      </c>
      <c r="M57" s="3">
        <f t="shared" si="53"/>
        <v>-2.8959000152415822E-3</v>
      </c>
      <c r="N57" s="3">
        <f t="shared" si="53"/>
        <v>3.2176666836017604E-4</v>
      </c>
      <c r="O57" s="75">
        <f t="shared" si="31"/>
        <v>-1.1111111111111112</v>
      </c>
    </row>
    <row r="58" spans="1:15" x14ac:dyDescent="0.3">
      <c r="A58" s="27" t="s">
        <v>162</v>
      </c>
      <c r="B58" s="26">
        <f>Historicals!C83</f>
        <v>-175</v>
      </c>
      <c r="C58" s="26">
        <f>Historicals!D83</f>
        <v>-1034</v>
      </c>
      <c r="D58" s="26">
        <f>Historicals!E83</f>
        <v>-1008</v>
      </c>
      <c r="E58" s="26">
        <f>Historicals!F83</f>
        <v>276</v>
      </c>
      <c r="F58" s="26">
        <f>Historicals!G83</f>
        <v>-264</v>
      </c>
      <c r="G58" s="26">
        <f>Historicals!H83</f>
        <v>-1028</v>
      </c>
      <c r="H58" s="26">
        <f>Historicals!I83</f>
        <v>-3800</v>
      </c>
      <c r="I58" s="26">
        <f>Historicals!J83</f>
        <v>-1524</v>
      </c>
      <c r="J58" s="3">
        <f t="shared" si="51"/>
        <v>-1628.2248012718601</v>
      </c>
      <c r="K58" s="26"/>
      <c r="L58" s="26"/>
      <c r="M58" s="26"/>
      <c r="N58" s="26"/>
      <c r="O58" s="75">
        <f t="shared" si="31"/>
        <v>-0.59894736842105267</v>
      </c>
    </row>
    <row r="59" spans="1:15" x14ac:dyDescent="0.3">
      <c r="A59" t="s">
        <v>161</v>
      </c>
      <c r="B59" s="3">
        <f>Historicals!C88</f>
        <v>514</v>
      </c>
      <c r="C59" s="3">
        <f>Historicals!D88</f>
        <v>507</v>
      </c>
      <c r="D59" s="3">
        <f>Historicals!E88</f>
        <v>489</v>
      </c>
      <c r="E59" s="3">
        <f>Historicals!F88</f>
        <v>733</v>
      </c>
      <c r="F59" s="3">
        <f>Historicals!G88</f>
        <v>700</v>
      </c>
      <c r="G59" s="3">
        <f>Historicals!H88</f>
        <v>885</v>
      </c>
      <c r="H59" s="3">
        <f>Historicals!I88</f>
        <v>1172</v>
      </c>
      <c r="I59" s="3">
        <f>Historicals!J88</f>
        <v>1151</v>
      </c>
      <c r="J59" s="3">
        <f>J60*I59</f>
        <v>943.82</v>
      </c>
      <c r="K59" s="3">
        <f t="shared" ref="K59:N59" si="54">K60*J59</f>
        <v>773.93240000000014</v>
      </c>
      <c r="L59" s="3">
        <f t="shared" si="54"/>
        <v>634.62456800000018</v>
      </c>
      <c r="M59" s="3">
        <f t="shared" si="54"/>
        <v>520.39214576000018</v>
      </c>
      <c r="N59" s="3">
        <f t="shared" si="54"/>
        <v>426.7215595232002</v>
      </c>
      <c r="O59" s="75"/>
    </row>
    <row r="60" spans="1:15" x14ac:dyDescent="0.3">
      <c r="A60" s="64" t="s">
        <v>129</v>
      </c>
      <c r="B60" s="63"/>
      <c r="C60" s="63">
        <f>(C59-B59)/B59</f>
        <v>-1.3618677042801557E-2</v>
      </c>
      <c r="D60" s="63">
        <f t="shared" ref="D60:H60" si="55">(D59-C59)/C59</f>
        <v>-3.5502958579881658E-2</v>
      </c>
      <c r="E60" s="63">
        <f t="shared" si="55"/>
        <v>0.49897750511247446</v>
      </c>
      <c r="F60" s="63">
        <f t="shared" si="55"/>
        <v>-4.5020463847203276E-2</v>
      </c>
      <c r="G60" s="63">
        <f t="shared" si="55"/>
        <v>0.26428571428571429</v>
      </c>
      <c r="H60" s="63">
        <f t="shared" si="55"/>
        <v>0.32429378531073444</v>
      </c>
      <c r="I60" s="63">
        <f>(I59-H59)/H59</f>
        <v>-1.7918088737201365E-2</v>
      </c>
      <c r="J60" s="76">
        <f>(1-(0.18))</f>
        <v>0.82000000000000006</v>
      </c>
      <c r="K60" s="76">
        <f t="shared" ref="K60:N60" si="56">(1-(0.18))</f>
        <v>0.82000000000000006</v>
      </c>
      <c r="L60" s="76">
        <f t="shared" si="56"/>
        <v>0.82000000000000006</v>
      </c>
      <c r="M60" s="76">
        <f t="shared" si="56"/>
        <v>0.82000000000000006</v>
      </c>
      <c r="N60" s="76">
        <f t="shared" si="56"/>
        <v>0.82000000000000006</v>
      </c>
      <c r="O60" s="75"/>
    </row>
    <row r="61" spans="1:15" x14ac:dyDescent="0.3">
      <c r="A61" t="s">
        <v>160</v>
      </c>
      <c r="B61" s="3">
        <f>Historicals!C90</f>
        <v>-899</v>
      </c>
      <c r="C61" s="3">
        <f>Historicals!D90</f>
        <v>-1022</v>
      </c>
      <c r="D61" s="3">
        <f>Historicals!E90</f>
        <v>-1133</v>
      </c>
      <c r="E61" s="3">
        <f>Historicals!F90</f>
        <v>-1243</v>
      </c>
      <c r="F61" s="3">
        <f>Historicals!G90</f>
        <v>-1332</v>
      </c>
      <c r="G61" s="3">
        <f>Historicals!H90</f>
        <v>-1452</v>
      </c>
      <c r="H61" s="3">
        <f>Historicals!I90</f>
        <v>-1638</v>
      </c>
      <c r="I61" s="3">
        <f>Historicals!J90</f>
        <v>-1837</v>
      </c>
      <c r="J61" s="3">
        <f>(I61*$O$61)+I61</f>
        <v>-2060.1764346764348</v>
      </c>
      <c r="K61" s="3">
        <f t="shared" ref="K61:N61" si="57">(J61*$O$61)+J61</f>
        <v>-2310.4664899271129</v>
      </c>
      <c r="L61" s="3">
        <f t="shared" si="57"/>
        <v>-2591.1641892528123</v>
      </c>
      <c r="M61" s="3">
        <f t="shared" si="57"/>
        <v>-2905.9637458225984</v>
      </c>
      <c r="N61" s="3">
        <f t="shared" si="57"/>
        <v>-3259.0081813651486</v>
      </c>
      <c r="O61" s="75">
        <f t="shared" si="31"/>
        <v>0.12148962148962149</v>
      </c>
    </row>
    <row r="62" spans="1:15" x14ac:dyDescent="0.3">
      <c r="A62" t="s">
        <v>159</v>
      </c>
      <c r="B62" s="3" t="str">
        <f>Historicals!C85</f>
        <v>-</v>
      </c>
      <c r="C62" s="3">
        <f>Historicals!D85</f>
        <v>981</v>
      </c>
      <c r="D62" s="3">
        <f>Historicals!E85</f>
        <v>1482</v>
      </c>
      <c r="E62" s="3" t="str">
        <f>Historicals!F85</f>
        <v>-</v>
      </c>
      <c r="F62" s="3" t="str">
        <f>Historicals!G85</f>
        <v>-</v>
      </c>
      <c r="G62" s="3">
        <f>Historicals!H85</f>
        <v>6134</v>
      </c>
      <c r="H62" s="3">
        <f>Historicals!I85</f>
        <v>0</v>
      </c>
      <c r="I62" s="3">
        <f>Historicals!J85</f>
        <v>0</v>
      </c>
      <c r="J62" s="3">
        <f>Historicals!K85</f>
        <v>0</v>
      </c>
      <c r="K62" s="3">
        <f>Historicals!L85</f>
        <v>0</v>
      </c>
      <c r="L62" s="3">
        <f>Historicals!M85</f>
        <v>0</v>
      </c>
      <c r="M62" s="3">
        <f>Historicals!N85</f>
        <v>0</v>
      </c>
      <c r="N62" s="3">
        <f>Historicals!O85</f>
        <v>0</v>
      </c>
      <c r="O62" s="75"/>
    </row>
    <row r="63" spans="1:15" x14ac:dyDescent="0.3">
      <c r="A63" t="s">
        <v>158</v>
      </c>
      <c r="B63" s="3">
        <f>Historicals!C91</f>
        <v>192</v>
      </c>
      <c r="C63" s="3">
        <f>Historicals!D91</f>
        <v>168</v>
      </c>
      <c r="D63" s="3">
        <f>Historicals!E91</f>
        <v>-90</v>
      </c>
      <c r="E63" s="3">
        <f>Historicals!F91</f>
        <v>-84</v>
      </c>
      <c r="F63" s="3">
        <f>Historicals!G91</f>
        <v>-50</v>
      </c>
      <c r="G63" s="3">
        <f>Historicals!H91</f>
        <v>-58</v>
      </c>
      <c r="H63" s="3">
        <f>Historicals!I91</f>
        <v>-136</v>
      </c>
      <c r="I63" s="3">
        <f>Historicals!J91</f>
        <v>-151</v>
      </c>
      <c r="J63" s="3">
        <f>(I63*$O$63)+I63</f>
        <v>-167.65441176470588</v>
      </c>
      <c r="K63" s="3">
        <f t="shared" ref="K63:N63" si="58">(J63*$O$63)+J63</f>
        <v>-186.14570717993081</v>
      </c>
      <c r="L63" s="3">
        <f t="shared" si="58"/>
        <v>-206.67648370712905</v>
      </c>
      <c r="M63" s="3">
        <f t="shared" si="58"/>
        <v>-229.47168411600359</v>
      </c>
      <c r="N63" s="3">
        <f t="shared" si="58"/>
        <v>-254.7810610405628</v>
      </c>
      <c r="O63" s="75">
        <f t="shared" si="31"/>
        <v>0.11029411764705882</v>
      </c>
    </row>
    <row r="64" spans="1:15" x14ac:dyDescent="0.3">
      <c r="A64" s="27" t="s">
        <v>157</v>
      </c>
      <c r="B64" s="26">
        <f>Historicals!C92</f>
        <v>-2790</v>
      </c>
      <c r="C64" s="26">
        <f>Historicals!D92</f>
        <v>-2671</v>
      </c>
      <c r="D64" s="26">
        <f>Historicals!E92</f>
        <v>-2148</v>
      </c>
      <c r="E64" s="26">
        <f>Historicals!F92</f>
        <v>-4835</v>
      </c>
      <c r="F64" s="26">
        <f>Historicals!G92</f>
        <v>-5293</v>
      </c>
      <c r="G64" s="26">
        <f>Historicals!H92</f>
        <v>2491</v>
      </c>
      <c r="H64" s="26">
        <f>Historicals!I92</f>
        <v>-1459</v>
      </c>
      <c r="I64" s="26">
        <f>Historicals!J92</f>
        <v>-4836</v>
      </c>
      <c r="J64" s="3"/>
      <c r="K64" s="3"/>
      <c r="L64" s="3"/>
      <c r="M64" s="3"/>
      <c r="N64" s="3"/>
      <c r="O64" s="75">
        <f t="shared" si="31"/>
        <v>2.3145990404386567</v>
      </c>
    </row>
    <row r="65" spans="1:15" x14ac:dyDescent="0.3">
      <c r="A65" t="s">
        <v>156</v>
      </c>
      <c r="B65" s="3">
        <f>Historicals!C93</f>
        <v>-83</v>
      </c>
      <c r="C65" s="3">
        <f>Historicals!D93</f>
        <v>-105</v>
      </c>
      <c r="D65" s="3">
        <f>Historicals!E93</f>
        <v>-20</v>
      </c>
      <c r="E65" s="3">
        <f>Historicals!F93</f>
        <v>45</v>
      </c>
      <c r="F65" s="3">
        <f>Historicals!G93</f>
        <v>-129</v>
      </c>
      <c r="G65" s="3">
        <f>Historicals!H93</f>
        <v>-66</v>
      </c>
      <c r="H65" s="3">
        <f>Historicals!I93</f>
        <v>143</v>
      </c>
      <c r="I65" s="3">
        <f>Historicals!J93</f>
        <v>-143</v>
      </c>
      <c r="J65" s="3">
        <f>(I65*$O$65)+I65</f>
        <v>143</v>
      </c>
      <c r="K65" s="3">
        <f t="shared" ref="K65:N65" si="59">(J65*$O$65)+J65</f>
        <v>-143</v>
      </c>
      <c r="L65" s="3">
        <f t="shared" si="59"/>
        <v>143</v>
      </c>
      <c r="M65" s="3">
        <f t="shared" si="59"/>
        <v>-143</v>
      </c>
      <c r="N65" s="3">
        <f t="shared" si="59"/>
        <v>143</v>
      </c>
      <c r="O65" s="75">
        <f t="shared" si="31"/>
        <v>-2</v>
      </c>
    </row>
    <row r="66" spans="1:15" x14ac:dyDescent="0.3">
      <c r="A66" s="27" t="s">
        <v>155</v>
      </c>
      <c r="B66" s="26">
        <f>B65+B64+B58+B55</f>
        <v>1632</v>
      </c>
      <c r="C66" s="26">
        <f t="shared" ref="C66:I66" si="60">C65+C64+C58+C55</f>
        <v>-714</v>
      </c>
      <c r="D66" s="26">
        <f t="shared" si="60"/>
        <v>670</v>
      </c>
      <c r="E66" s="26">
        <f t="shared" si="60"/>
        <v>441</v>
      </c>
      <c r="F66" s="26">
        <f t="shared" si="60"/>
        <v>217</v>
      </c>
      <c r="G66" s="26">
        <f t="shared" si="60"/>
        <v>3882</v>
      </c>
      <c r="H66" s="26">
        <f t="shared" si="60"/>
        <v>1541</v>
      </c>
      <c r="I66" s="26">
        <f t="shared" si="60"/>
        <v>-1315</v>
      </c>
      <c r="J66" s="3">
        <f>(I66*$O$66)+I66</f>
        <v>1122.1447112264764</v>
      </c>
      <c r="K66" s="3">
        <f t="shared" ref="K66:N66" si="61">(J66*$O$66)+J66</f>
        <v>-957.5731961471879</v>
      </c>
      <c r="L66" s="3">
        <f t="shared" si="61"/>
        <v>817.13741267589376</v>
      </c>
      <c r="M66" s="3">
        <f t="shared" si="61"/>
        <v>-697.29766234185627</v>
      </c>
      <c r="N66" s="3">
        <f t="shared" si="61"/>
        <v>595.03337182319342</v>
      </c>
      <c r="O66" s="75">
        <f t="shared" si="31"/>
        <v>-1.8533419857235562</v>
      </c>
    </row>
    <row r="67" spans="1:15" x14ac:dyDescent="0.3">
      <c r="A67" t="s">
        <v>154</v>
      </c>
      <c r="B67" s="3">
        <f>Historicals!C95</f>
        <v>2220</v>
      </c>
      <c r="C67" s="3">
        <f>Historicals!D95</f>
        <v>3852</v>
      </c>
      <c r="D67" s="3">
        <f>Historicals!E95</f>
        <v>3138</v>
      </c>
      <c r="E67" s="3">
        <f>Historicals!F95</f>
        <v>3808</v>
      </c>
      <c r="F67" s="3">
        <f>Historicals!G95</f>
        <v>4249</v>
      </c>
      <c r="G67" s="3">
        <f>Historicals!H95</f>
        <v>4466</v>
      </c>
      <c r="H67" s="3">
        <f>Historicals!I95</f>
        <v>8348</v>
      </c>
      <c r="I67" s="3">
        <f>Historicals!J95</f>
        <v>9889</v>
      </c>
      <c r="J67" s="3">
        <f>(I67*$O$67)+I67</f>
        <v>11714.461068519406</v>
      </c>
      <c r="K67" s="3">
        <f t="shared" ref="K67:N67" si="62">(J67*$O$67)+J67</f>
        <v>13876.893328532391</v>
      </c>
      <c r="L67" s="3">
        <f t="shared" si="62"/>
        <v>16438.500015076283</v>
      </c>
      <c r="M67" s="3">
        <f t="shared" si="62"/>
        <v>19472.966776364323</v>
      </c>
      <c r="N67" s="3">
        <f t="shared" si="62"/>
        <v>23067.58127113881</v>
      </c>
      <c r="O67" s="75">
        <f t="shared" si="31"/>
        <v>0.18459511260182079</v>
      </c>
    </row>
    <row r="68" spans="1:15" ht="15" thickBot="1" x14ac:dyDescent="0.35">
      <c r="A68" s="6" t="s">
        <v>153</v>
      </c>
      <c r="B68" s="7">
        <f>Historicals!C96</f>
        <v>3852</v>
      </c>
      <c r="C68" s="7">
        <f>Historicals!D96</f>
        <v>3138</v>
      </c>
      <c r="D68" s="7">
        <f>Historicals!E96</f>
        <v>3808</v>
      </c>
      <c r="E68" s="7">
        <f>Historicals!F96</f>
        <v>4249</v>
      </c>
      <c r="F68" s="7">
        <f>Historicals!G96</f>
        <v>4466</v>
      </c>
      <c r="G68" s="7">
        <f>Historicals!H96</f>
        <v>8348</v>
      </c>
      <c r="H68" s="7">
        <f>Historicals!I96</f>
        <v>9889</v>
      </c>
      <c r="I68" s="7">
        <f>Historicals!J96</f>
        <v>8574</v>
      </c>
      <c r="J68" s="3">
        <f>(I68*$O$68)+I68</f>
        <v>7433.8634846799469</v>
      </c>
      <c r="K68" s="3">
        <f t="shared" ref="K68:N68" si="63">(J68*$O$68)+J68</f>
        <v>6445.3378013596785</v>
      </c>
      <c r="L68" s="3">
        <f t="shared" si="63"/>
        <v>5588.2623428918887</v>
      </c>
      <c r="M68" s="3">
        <f t="shared" si="63"/>
        <v>4845.1573797102892</v>
      </c>
      <c r="N68" s="3">
        <f t="shared" si="63"/>
        <v>4200.8675673613125</v>
      </c>
      <c r="O68" s="75">
        <f t="shared" si="31"/>
        <v>-0.13297603397714633</v>
      </c>
    </row>
    <row r="69" spans="1:15" ht="15" thickTop="1" x14ac:dyDescent="0.3">
      <c r="A69" s="1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Varun Chandra</cp:lastModifiedBy>
  <dcterms:created xsi:type="dcterms:W3CDTF">2020-05-20T17:26:08Z</dcterms:created>
  <dcterms:modified xsi:type="dcterms:W3CDTF">2024-12-26T13:25:11Z</dcterms:modified>
</cp:coreProperties>
</file>