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79D2C61E-744A-4291-A4B6-7D5E3708655F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2" l="1"/>
  <c r="D25" i="2"/>
  <c r="B25" i="2"/>
  <c r="C24" i="2"/>
  <c r="D24" i="2"/>
  <c r="B24" i="2"/>
  <c r="C23" i="2"/>
  <c r="D23" i="2"/>
  <c r="B23" i="2"/>
  <c r="C20" i="2"/>
  <c r="D20" i="2"/>
  <c r="B20" i="2"/>
  <c r="C19" i="2"/>
  <c r="D19" i="2"/>
  <c r="B19" i="2"/>
  <c r="C18" i="2"/>
  <c r="D18" i="2"/>
  <c r="B18" i="2"/>
  <c r="C17" i="2"/>
  <c r="D17" i="2"/>
  <c r="B17" i="2"/>
  <c r="C16" i="2"/>
  <c r="D16" i="2"/>
  <c r="B16" i="2"/>
  <c r="C15" i="2"/>
  <c r="D15" i="2"/>
  <c r="B15" i="2"/>
  <c r="D87" i="3"/>
  <c r="C87" i="3"/>
  <c r="D85" i="3"/>
  <c r="C85" i="3"/>
  <c r="D83" i="3"/>
  <c r="C83" i="3"/>
  <c r="D81" i="3"/>
  <c r="C81" i="3"/>
  <c r="D79" i="3"/>
  <c r="C79" i="3"/>
  <c r="D77" i="3"/>
  <c r="C77" i="3"/>
  <c r="D70" i="3"/>
  <c r="C70" i="3"/>
  <c r="D68" i="3"/>
  <c r="C68" i="3"/>
  <c r="XFD69" i="3"/>
  <c r="E71" i="3"/>
  <c r="D71" i="3"/>
  <c r="C71" i="3"/>
  <c r="E63" i="3"/>
  <c r="D63" i="3"/>
  <c r="C63" i="3"/>
  <c r="D59" i="3"/>
  <c r="C59" i="3"/>
  <c r="D57" i="3"/>
  <c r="C57" i="3"/>
  <c r="E60" i="3"/>
  <c r="D60" i="3"/>
  <c r="C60" i="3"/>
  <c r="D5" i="3"/>
  <c r="E5" i="3"/>
  <c r="D6" i="3"/>
  <c r="E6" i="3"/>
  <c r="D7" i="3"/>
  <c r="E7" i="3"/>
  <c r="D8" i="3"/>
  <c r="E8" i="3"/>
  <c r="D9" i="3"/>
  <c r="E9" i="3"/>
  <c r="D10" i="3"/>
  <c r="E10" i="3"/>
  <c r="D11" i="3"/>
  <c r="E11" i="3"/>
  <c r="D13" i="3"/>
  <c r="E13" i="3"/>
  <c r="D14" i="3"/>
  <c r="E14" i="3"/>
  <c r="C30" i="3"/>
  <c r="C9" i="3"/>
  <c r="C8" i="3"/>
  <c r="D43" i="3"/>
  <c r="D42" i="3" s="1"/>
  <c r="E43" i="3"/>
  <c r="E42" i="3" s="1"/>
  <c r="C43" i="3"/>
  <c r="C42" i="3" s="1"/>
  <c r="E46" i="3"/>
  <c r="D46" i="3"/>
  <c r="C46" i="3"/>
  <c r="D44" i="3"/>
  <c r="E44" i="3"/>
  <c r="C44" i="3"/>
  <c r="D12" i="3" l="1"/>
  <c r="C72" i="3"/>
  <c r="D72" i="3"/>
  <c r="C61" i="3"/>
  <c r="C64" i="3"/>
  <c r="D64" i="3"/>
  <c r="D61" i="3"/>
  <c r="E12" i="3"/>
  <c r="D49" i="3"/>
  <c r="E49" i="3"/>
  <c r="C49" i="3"/>
  <c r="D47" i="3"/>
  <c r="E47" i="3"/>
  <c r="C47" i="3"/>
  <c r="D41" i="3"/>
  <c r="D40" i="3" s="1"/>
  <c r="E41" i="3"/>
  <c r="E40" i="3" s="1"/>
  <c r="C41" i="3"/>
  <c r="C40" i="3" s="1"/>
  <c r="D37" i="3"/>
  <c r="E37" i="3"/>
  <c r="C37" i="3"/>
  <c r="D36" i="3"/>
  <c r="E36" i="3"/>
  <c r="C36" i="3"/>
  <c r="D35" i="3"/>
  <c r="E35" i="3"/>
  <c r="C35" i="3"/>
  <c r="D34" i="3"/>
  <c r="E34" i="3"/>
  <c r="C34" i="3"/>
  <c r="D31" i="3"/>
  <c r="E31" i="3"/>
  <c r="C31" i="3"/>
  <c r="D30" i="3"/>
  <c r="E30" i="3"/>
  <c r="D29" i="3"/>
  <c r="E29" i="3"/>
  <c r="C29" i="3"/>
  <c r="D27" i="3"/>
  <c r="E27" i="3"/>
  <c r="C27" i="3"/>
  <c r="D26" i="3"/>
  <c r="E26" i="3"/>
  <c r="C26" i="3"/>
  <c r="D25" i="3"/>
  <c r="E25" i="3"/>
  <c r="C25" i="3"/>
  <c r="D22" i="3"/>
  <c r="E22" i="3"/>
  <c r="C22" i="3"/>
  <c r="D21" i="3"/>
  <c r="D28" i="3" s="1"/>
  <c r="E21" i="3"/>
  <c r="E28" i="3" s="1"/>
  <c r="C21" i="3"/>
  <c r="C28" i="3" s="1"/>
  <c r="D20" i="3"/>
  <c r="E20" i="3"/>
  <c r="C20" i="3"/>
  <c r="D19" i="3"/>
  <c r="D50" i="3" s="1"/>
  <c r="E19" i="3"/>
  <c r="E50" i="3" s="1"/>
  <c r="C19" i="3"/>
  <c r="C50" i="3" s="1"/>
  <c r="D18" i="3"/>
  <c r="E18" i="3"/>
  <c r="C18" i="3"/>
  <c r="D17" i="3"/>
  <c r="E17" i="3"/>
  <c r="C17" i="3"/>
  <c r="C14" i="3"/>
  <c r="C13" i="3"/>
  <c r="C11" i="3"/>
  <c r="C10" i="3"/>
  <c r="C7" i="3"/>
  <c r="C6" i="3"/>
  <c r="C5" i="3"/>
  <c r="D108" i="1"/>
  <c r="C108" i="1"/>
  <c r="B108" i="1"/>
  <c r="D99" i="1"/>
  <c r="C99" i="1"/>
  <c r="B99" i="1"/>
  <c r="C12" i="3" l="1"/>
  <c r="C48" i="3"/>
  <c r="E48" i="3"/>
  <c r="D48" i="3"/>
  <c r="D68" i="1"/>
  <c r="C68" i="1"/>
  <c r="B68" i="1"/>
  <c r="D61" i="1"/>
  <c r="C61" i="1"/>
  <c r="B61" i="1"/>
  <c r="D56" i="1"/>
  <c r="C56" i="1"/>
  <c r="C62" i="1" s="1"/>
  <c r="B56" i="1"/>
  <c r="B48" i="1"/>
  <c r="D47" i="1"/>
  <c r="C47" i="1"/>
  <c r="B47" i="1"/>
  <c r="D42" i="1"/>
  <c r="C42" i="1"/>
  <c r="B42" i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B8" i="1"/>
  <c r="B13" i="1" s="1"/>
  <c r="E3" i="3"/>
  <c r="D3" i="3"/>
  <c r="C3" i="3"/>
  <c r="D33" i="1"/>
  <c r="D73" i="1" s="1"/>
  <c r="C33" i="1"/>
  <c r="C73" i="1" s="1"/>
  <c r="B33" i="1"/>
  <c r="B73" i="1" s="1"/>
  <c r="C13" i="1" l="1"/>
  <c r="C18" i="1" s="1"/>
  <c r="C20" i="1" s="1"/>
  <c r="C22" i="1" s="1"/>
  <c r="C76" i="1" s="1"/>
  <c r="C91" i="1" s="1"/>
  <c r="C109" i="1" s="1"/>
  <c r="B62" i="1"/>
  <c r="B18" i="1"/>
  <c r="B20" i="1" s="1"/>
  <c r="B22" i="1" s="1"/>
  <c r="B76" i="1" s="1"/>
  <c r="B91" i="1" s="1"/>
  <c r="B109" i="1" s="1"/>
  <c r="C48" i="1"/>
  <c r="D62" i="1"/>
  <c r="D69" i="1" s="1"/>
  <c r="C69" i="1"/>
  <c r="D48" i="1"/>
  <c r="B69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3" i="3" l="1"/>
  <c r="A39" i="3" s="1"/>
  <c r="A40" i="3" s="1"/>
  <c r="A41" i="3" s="1"/>
  <c r="A42" i="3" s="1"/>
  <c r="A43" i="3" s="1"/>
  <c r="A44" i="3" s="1"/>
  <c r="A46" i="3" s="1"/>
  <c r="A48" i="3" s="1"/>
  <c r="A50" i="3" s="1"/>
  <c r="A34" i="3" l="1"/>
  <c r="A35" i="3" s="1"/>
  <c r="A36" i="3" s="1"/>
  <c r="A37" i="3" s="1"/>
</calcChain>
</file>

<file path=xl/sharedStrings.xml><?xml version="1.0" encoding="utf-8"?>
<sst xmlns="http://schemas.openxmlformats.org/spreadsheetml/2006/main" count="201" uniqueCount="152">
  <si>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</si>
  <si>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</si>
  <si>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</si>
  <si>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</si>
  <si>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</si>
  <si>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</si>
  <si>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</si>
  <si>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</si>
  <si>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</si>
  <si>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</si>
  <si>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</si>
  <si>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</si>
  <si>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</si>
  <si>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</si>
  <si>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</si>
  <si>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</si>
  <si>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</si>
  <si>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</si>
  <si>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</si>
  <si>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</si>
  <si>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</si>
  <si>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</si>
  <si>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</si>
  <si>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</si>
  <si>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</si>
  <si>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</si>
  <si>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</si>
  <si>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</si>
  <si>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</si>
  <si>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</si>
  <si>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</si>
  <si>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</si>
  <si>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</si>
  <si>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</si>
  <si>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</si>
  <si>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</si>
  <si>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</si>
  <si>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</si>
  <si>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</si>
  <si>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</si>
  <si>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</si>
  <si>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</si>
  <si>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</si>
  <si>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</si>
  <si>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</si>
  <si>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</si>
  <si>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</si>
  <si>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</si>
  <si>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</si>
  <si>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</si>
  <si>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</si>
  <si>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</si>
  <si>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</si>
  <si>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</si>
  <si>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</si>
  <si>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</si>
  <si>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</si>
  <si>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</si>
  <si>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</si>
  <si>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</si>
  <si>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</si>
  <si>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</si>
  <si>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</si>
  <si>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</si>
  <si>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</si>
  <si>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</si>
  <si>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</si>
  <si>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</si>
  <si>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</si>
  <si>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</si>
  <si>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</si>
  <si>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</si>
  <si>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</si>
  <si>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</si>
  <si>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</si>
  <si>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</si>
  <si>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</si>
  <si>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</si>
  <si>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</si>
  <si>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</si>
  <si>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</si>
  <si>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</si>
  <si>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</si>
  <si>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</si>
  <si>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</si>
  <si>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</si>
  <si>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</si>
  <si>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</si>
  <si>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</si>
  <si>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</si>
  <si>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</si>
  <si>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</si>
  <si>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</si>
  <si>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</si>
  <si>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</si>
  <si>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</si>
  <si>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</si>
  <si>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</si>
  <si>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</si>
  <si>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</si>
  <si>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</si>
  <si>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</si>
  <si>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</si>
  <si>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</si>
  <si>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</si>
  <si>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</si>
  <si>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</si>
  <si>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</si>
  <si>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</si>
  <si>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</si>
  <si>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</si>
  <si>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</si>
  <si>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</si>
  <si>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</si>
  <si>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</si>
  <si>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</si>
  <si>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</si>
  <si>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</si>
  <si>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</si>
  <si>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</si>
  <si>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</si>
  <si>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</si>
  <si>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</si>
  <si>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</si>
  <si>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</si>
  <si>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</si>
  <si>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</si>
  <si>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</si>
  <si>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</si>
  <si>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</si>
  <si>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</si>
  <si>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</si>
  <si>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</si>
  <si>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</si>
  <si>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</si>
  <si>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</si>
  <si>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</si>
  <si>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</si>
  <si>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</si>
  <si>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</si>
  <si>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</si>
  <si>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</si>
  <si>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</si>
  <si>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</si>
  <si>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</si>
  <si>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</si>
  <si>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</si>
  <si>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</si>
  <si>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</si>
  <si>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</si>
  <si>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SG&amp;A</t>
  </si>
  <si>
    <r>
      <t>Each operating expenses -</t>
    </r>
    <r>
      <rPr>
        <i/>
        <sz val="9"/>
        <color theme="1"/>
        <rFont val="Calibri"/>
        <family val="2"/>
        <scheme val="minor"/>
      </rPr>
      <t xml:space="preserve"> Research &amp; Development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</si>
</sst>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(* #,##0.0_);_(* \(#,##0.0\);_(* &quot;-&quot;??_);_(@_)"/>
    <numFmt numFmtId="167" formatCode="0.000"/>
    <numFmt numFmtId="168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theme="4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4" fontId="0" fillId="0" borderId="0" xfId="1" applyNumberFormat="1" applyFont="1"/>
    <xf numFmtId="164" fontId="2" fillId="0" borderId="1" xfId="1" applyNumberFormat="1" applyFont="1" applyBorder="1"/>
    <xf numFmtId="164" fontId="2" fillId="0" borderId="2" xfId="1" applyNumberFormat="1" applyFont="1" applyBorder="1"/>
    <xf numFmtId="164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5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4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164" fontId="0" fillId="0" borderId="0" xfId="0" applyNumberFormat="1"/>
    <xf numFmtId="43" fontId="0" fillId="0" borderId="0" xfId="0" applyNumberFormat="1"/>
    <xf numFmtId="2" fontId="0" fillId="0" borderId="0" xfId="0" applyNumberFormat="1"/>
    <xf numFmtId="167" fontId="0" fillId="0" borderId="0" xfId="0" applyNumberFormat="1"/>
    <xf numFmtId="9" fontId="0" fillId="0" borderId="0" xfId="3" applyFont="1"/>
    <xf numFmtId="2" fontId="0" fillId="0" borderId="0" xfId="3" applyNumberFormat="1" applyFont="1"/>
    <xf numFmtId="2" fontId="8" fillId="0" borderId="0" xfId="0" applyNumberFormat="1" applyFont="1"/>
    <xf numFmtId="0" fontId="8" fillId="0" borderId="0" xfId="0" applyFont="1"/>
    <xf numFmtId="166" fontId="0" fillId="0" borderId="0" xfId="1" applyNumberFormat="1" applyFon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9" fontId="2" fillId="0" borderId="0" xfId="3" applyFont="1"/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0" fillId="0" borderId="4" xfId="0" applyBorder="1"/>
    <xf numFmtId="0" fontId="2" fillId="0" borderId="4" xfId="0" applyFont="1" applyBorder="1"/>
    <xf numFmtId="0" fontId="0" fillId="0" borderId="4" xfId="0" applyBorder="1" applyAlignment="1">
      <alignment horizontal="left" indent="1"/>
    </xf>
    <xf numFmtId="9" fontId="0" fillId="0" borderId="4" xfId="0" applyNumberFormat="1" applyBorder="1"/>
    <xf numFmtId="0" fontId="0" fillId="0" borderId="4" xfId="0" applyBorder="1" applyAlignment="1">
      <alignment horizontal="left"/>
    </xf>
    <xf numFmtId="0" fontId="9" fillId="0" borderId="4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9" fontId="0" fillId="0" borderId="4" xfId="3" applyFont="1" applyBorder="1"/>
    <xf numFmtId="164" fontId="2" fillId="0" borderId="4" xfId="1" applyNumberFormat="1" applyFont="1" applyBorder="1"/>
    <xf numFmtId="168" fontId="0" fillId="0" borderId="4" xfId="3" applyNumberFormat="1" applyFont="1" applyBorder="1"/>
    <xf numFmtId="164" fontId="2" fillId="0" borderId="4" xfId="0" applyNumberFormat="1" applyFont="1" applyBorder="1"/>
    <xf numFmtId="9" fontId="2" fillId="0" borderId="4" xfId="3" applyFont="1" applyBorder="1"/>
    <xf numFmtId="164" fontId="0" fillId="0" borderId="4" xfId="1" applyNumberFormat="1" applyFont="1" applyBorder="1"/>
    <xf numFmtId="0" fontId="2" fillId="0" borderId="4" xfId="0" applyFont="1" applyBorder="1" applyAlignment="1">
      <alignment horizontal="left" indent="1"/>
    </xf>
    <xf numFmtId="0" fontId="10" fillId="0" borderId="0" xfId="0" applyFont="1" applyAlignment="1"/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0"/>
  <sheetViews>
    <sheetView topLeftCell="A7" workbookViewId="0">
      <selection activeCell="A31" sqref="A31"/>
    </sheetView>
  </sheetViews>
  <sheetFormatPr defaultRowHeight="14.4" x14ac:dyDescent="0.3"/>
  <cols>
    <col min="1" max="1" width="104.5546875" customWidth="1"/>
  </cols>
  <sheetData>
    <row r="1" spans="1:4" ht="23.4" x14ac:dyDescent="0.45">
      <c r="A1" s="5" t="s">
        <v>87</v>
      </c>
    </row>
    <row r="3" spans="1:4" x14ac:dyDescent="0.3">
      <c r="A3" s="7" t="s">
        <v>141</v>
      </c>
    </row>
    <row r="4" spans="1:4" x14ac:dyDescent="0.3">
      <c r="A4" s="16" t="s">
        <v>88</v>
      </c>
    </row>
    <row r="5" spans="1:4" x14ac:dyDescent="0.3">
      <c r="A5" s="7" t="s">
        <v>97</v>
      </c>
    </row>
    <row r="6" spans="1:4" x14ac:dyDescent="0.3">
      <c r="A6" s="1" t="s">
        <v>148</v>
      </c>
    </row>
    <row r="7" spans="1:4" x14ac:dyDescent="0.3">
      <c r="A7" s="1"/>
    </row>
    <row r="8" spans="1:4" x14ac:dyDescent="0.3">
      <c r="A8" s="17" t="s">
        <v>149</v>
      </c>
    </row>
    <row r="9" spans="1:4" x14ac:dyDescent="0.3">
      <c r="A9" s="1" t="s">
        <v>145</v>
      </c>
    </row>
    <row r="10" spans="1:4" x14ac:dyDescent="0.3">
      <c r="A10" s="1" t="s">
        <v>89</v>
      </c>
    </row>
    <row r="11" spans="1:4" x14ac:dyDescent="0.3">
      <c r="A11" s="1" t="s">
        <v>90</v>
      </c>
    </row>
    <row r="12" spans="1:4" x14ac:dyDescent="0.3">
      <c r="A12" s="1" t="s">
        <v>91</v>
      </c>
    </row>
    <row r="13" spans="1:4" x14ac:dyDescent="0.3">
      <c r="A13" s="1"/>
    </row>
    <row r="14" spans="1:4" x14ac:dyDescent="0.3">
      <c r="A14" s="17" t="s">
        <v>92</v>
      </c>
      <c r="B14" s="7">
        <v>2022</v>
      </c>
      <c r="C14" s="7">
        <v>2021</v>
      </c>
      <c r="D14" s="7">
        <v>2020</v>
      </c>
    </row>
    <row r="15" spans="1:4" x14ac:dyDescent="0.3">
      <c r="A15" s="1" t="s">
        <v>146</v>
      </c>
      <c r="B15" s="27">
        <f>'Financial Statements'!B12/'Financial Statements'!B8</f>
        <v>0.56690369438639909</v>
      </c>
      <c r="C15" s="27">
        <f>'Financial Statements'!C12/'Financial Statements'!C8</f>
        <v>0.58220640374832222</v>
      </c>
      <c r="D15" s="27">
        <f>'Financial Statements'!D12/'Financial Statements'!D8</f>
        <v>0.61766752272189129</v>
      </c>
    </row>
    <row r="16" spans="1:4" x14ac:dyDescent="0.3">
      <c r="A16" s="1" t="s">
        <v>89</v>
      </c>
      <c r="B16" s="27">
        <f>'Financial Statements'!B13/'Financial Statements'!B8</f>
        <v>0.43309630561360085</v>
      </c>
      <c r="C16" s="27">
        <f>'Financial Statements'!C13/'Financial Statements'!C8</f>
        <v>0.41779359625167778</v>
      </c>
      <c r="D16" s="27">
        <f>'Financial Statements'!D13/'Financial Statements'!D8</f>
        <v>0.38233247727810865</v>
      </c>
    </row>
    <row r="17" spans="1:4" x14ac:dyDescent="0.3">
      <c r="A17" s="35" t="s">
        <v>151</v>
      </c>
      <c r="B17" s="27">
        <f>'Financial Statements'!B15/'Financial Statements'!B8</f>
        <v>6.657148363798665E-2</v>
      </c>
      <c r="C17" s="27">
        <f>'Financial Statements'!C15/'Financial Statements'!C8</f>
        <v>5.9904269074427925E-2</v>
      </c>
      <c r="D17" s="27">
        <f>'Financial Statements'!D15/'Financial Statements'!D8</f>
        <v>6.8309564140393061E-2</v>
      </c>
    </row>
    <row r="18" spans="1:4" x14ac:dyDescent="0.3">
      <c r="A18" s="36" t="s">
        <v>150</v>
      </c>
      <c r="B18" s="27">
        <f>'Financial Statements'!B16/'Financial Statements'!B8</f>
        <v>6.3637378020328261E-2</v>
      </c>
      <c r="C18" s="27">
        <f>'Financial Statements'!C16/'Financial Statements'!C8</f>
        <v>6.006555190163388E-2</v>
      </c>
      <c r="D18" s="27">
        <f>'Financial Statements'!D16/'Financial Statements'!D8</f>
        <v>7.2549769593646979E-2</v>
      </c>
    </row>
    <row r="19" spans="1:4" x14ac:dyDescent="0.3">
      <c r="A19" s="1" t="s">
        <v>14</v>
      </c>
      <c r="B19" s="27">
        <f>'Financial Statements'!B18/'Financial Statements'!B8</f>
        <v>0.30288744395528594</v>
      </c>
      <c r="C19" s="27">
        <f>'Financial Statements'!C18/'Financial Statements'!C8</f>
        <v>0.29782377527561593</v>
      </c>
      <c r="D19" s="27">
        <f>'Financial Statements'!D18/'Financial Statements'!D8</f>
        <v>0.24147314354406862</v>
      </c>
    </row>
    <row r="20" spans="1:4" x14ac:dyDescent="0.3">
      <c r="A20" s="1" t="s">
        <v>93</v>
      </c>
      <c r="B20" s="27">
        <f>'Financial Statements'!B22/'Financial Statements'!B8</f>
        <v>0.25309640705199732</v>
      </c>
      <c r="C20" s="27">
        <f>'Financial Statements'!C22/'Financial Statements'!C8</f>
        <v>0.25881793355694238</v>
      </c>
      <c r="D20" s="27">
        <f>'Financial Statements'!D22/'Financial Statements'!D8</f>
        <v>0.20913611278072236</v>
      </c>
    </row>
    <row r="21" spans="1:4" x14ac:dyDescent="0.3">
      <c r="A21" s="1"/>
    </row>
    <row r="22" spans="1:4" x14ac:dyDescent="0.3">
      <c r="A22" s="17" t="s">
        <v>98</v>
      </c>
    </row>
    <row r="23" spans="1:4" x14ac:dyDescent="0.3">
      <c r="A23" s="1" t="s">
        <v>94</v>
      </c>
      <c r="B23" s="27">
        <f>'Financial Statements'!B21/'Financial Statements'!B20</f>
        <v>0.16204461684424407</v>
      </c>
      <c r="C23" s="27">
        <f>'Financial Statements'!C21/'Financial Statements'!C20</f>
        <v>0.13302260844085087</v>
      </c>
      <c r="D23" s="27">
        <f>'Financial Statements'!D21/'Financial Statements'!D20</f>
        <v>0.14428164731484103</v>
      </c>
    </row>
    <row r="24" spans="1:4" x14ac:dyDescent="0.3">
      <c r="A24" s="1" t="s">
        <v>95</v>
      </c>
      <c r="B24" s="27">
        <f>'Financial Statements'!B45/'Financial Statements'!B8</f>
        <v>0.10680702359457102</v>
      </c>
      <c r="C24" s="27">
        <f>'Financial Statements'!C45/'Financial Statements'!C8</f>
        <v>0.10781346957631821</v>
      </c>
      <c r="D24" s="27">
        <f>'Financial Statements'!D45/'Financial Statements'!D8</f>
        <v>0.13393075059650655</v>
      </c>
    </row>
    <row r="25" spans="1:4" x14ac:dyDescent="0.3">
      <c r="A25" s="1" t="s">
        <v>96</v>
      </c>
      <c r="B25">
        <f>'Financial Statements'!B45/'Financial Statements'!B47</f>
        <v>0.19377501725327811</v>
      </c>
      <c r="C25">
        <f>'Financial Statements'!C45/'Financial Statements'!C47</f>
        <v>0.18245237456399249</v>
      </c>
      <c r="D25">
        <f>'Financial Statements'!D45/'Financial Statements'!D47</f>
        <v>0.20405716664354101</v>
      </c>
    </row>
    <row r="26" spans="1:4" x14ac:dyDescent="0.3">
      <c r="A26" s="1"/>
    </row>
    <row r="27" spans="1:4" x14ac:dyDescent="0.3">
      <c r="A27" s="17" t="s">
        <v>144</v>
      </c>
    </row>
    <row r="28" spans="1:4" x14ac:dyDescent="0.3">
      <c r="A28" s="16" t="s">
        <v>143</v>
      </c>
    </row>
    <row r="30" spans="1:4" x14ac:dyDescent="0.3">
      <c r="A30" s="7" t="s">
        <v>147</v>
      </c>
    </row>
  </sheetData>
  <hyperlinks>
    <hyperlink ref="A4" r:id="rId1" xr:uid="{00000000-0004-0000-0000-000000000000}"/>
    <hyperlink ref="A28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24" workbookViewId="0">
      <selection activeCell="B42" sqref="B42"/>
    </sheetView>
  </sheetViews>
  <sheetFormatPr defaultRowHeight="14.4" x14ac:dyDescent="0.3"/>
  <cols>
    <col min="1" max="1" width="59" customWidth="1"/>
    <col min="2" max="3" width="11.5546875" bestFit="1" customWidth="1"/>
    <col min="4" max="4" width="11.6640625" bestFit="1" customWidth="1"/>
  </cols>
  <sheetData>
    <row r="1" spans="1:10" ht="60" customHeight="1" x14ac:dyDescent="0.3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">
      <c r="A2" s="33" t="s">
        <v>1</v>
      </c>
      <c r="B2" s="33"/>
      <c r="C2" s="33"/>
      <c r="D2" s="33"/>
    </row>
    <row r="3" spans="1:10" x14ac:dyDescent="0.3">
      <c r="B3" s="32" t="s">
        <v>23</v>
      </c>
      <c r="C3" s="32"/>
      <c r="D3" s="32"/>
    </row>
    <row r="4" spans="1:10" x14ac:dyDescent="0.3">
      <c r="B4" s="7">
        <v>2022</v>
      </c>
      <c r="C4" s="7">
        <v>2021</v>
      </c>
      <c r="D4" s="7">
        <v>2020</v>
      </c>
    </row>
    <row r="5" spans="1:10" x14ac:dyDescent="0.3">
      <c r="A5" t="s">
        <v>3</v>
      </c>
    </row>
    <row r="6" spans="1:10" x14ac:dyDescent="0.3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3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3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3">
      <c r="A9" t="s">
        <v>7</v>
      </c>
      <c r="B9" s="12"/>
      <c r="C9" s="12"/>
      <c r="D9" s="12"/>
    </row>
    <row r="10" spans="1:10" x14ac:dyDescent="0.3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3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3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3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3">
      <c r="A14" t="s">
        <v>10</v>
      </c>
      <c r="B14" s="12"/>
      <c r="C14" s="12"/>
      <c r="D14" s="12"/>
    </row>
    <row r="15" spans="1:10" x14ac:dyDescent="0.3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3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3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 x14ac:dyDescent="0.3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3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3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3">
      <c r="A21" t="s">
        <v>17</v>
      </c>
      <c r="B21" s="12">
        <v>19300</v>
      </c>
      <c r="C21" s="12">
        <v>14527</v>
      </c>
      <c r="D21" s="12">
        <v>9680</v>
      </c>
    </row>
    <row r="22" spans="1:4" ht="15" thickBot="1" x14ac:dyDescent="0.3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5" thickTop="1" x14ac:dyDescent="0.3">
      <c r="A23" t="s">
        <v>19</v>
      </c>
    </row>
    <row r="24" spans="1:4" x14ac:dyDescent="0.3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3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3">
      <c r="A26" t="s">
        <v>22</v>
      </c>
    </row>
    <row r="27" spans="1:4" x14ac:dyDescent="0.3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3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3">
      <c r="A31" s="33" t="s">
        <v>24</v>
      </c>
      <c r="B31" s="33"/>
      <c r="C31" s="33"/>
      <c r="D31" s="33"/>
    </row>
    <row r="32" spans="1:4" x14ac:dyDescent="0.3">
      <c r="B32" s="32" t="s">
        <v>142</v>
      </c>
      <c r="C32" s="32"/>
      <c r="D32" s="32"/>
    </row>
    <row r="33" spans="1:4" x14ac:dyDescent="0.3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3">
      <c r="A35" t="s">
        <v>25</v>
      </c>
    </row>
    <row r="36" spans="1:4" x14ac:dyDescent="0.3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3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3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3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3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3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3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3">
      <c r="A43" t="s">
        <v>48</v>
      </c>
      <c r="B43" s="12"/>
      <c r="C43" s="12"/>
      <c r="D43" s="12"/>
    </row>
    <row r="44" spans="1:4" x14ac:dyDescent="0.3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3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3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3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5" thickBot="1" x14ac:dyDescent="0.35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5" thickTop="1" x14ac:dyDescent="0.3"/>
    <row r="50" spans="1:4" x14ac:dyDescent="0.3">
      <c r="A50" t="s">
        <v>34</v>
      </c>
    </row>
    <row r="51" spans="1:4" x14ac:dyDescent="0.3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3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3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3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3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3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3">
      <c r="A57" t="s">
        <v>51</v>
      </c>
      <c r="B57" s="12"/>
      <c r="C57" s="12"/>
      <c r="D57" s="12"/>
    </row>
    <row r="58" spans="1:4" x14ac:dyDescent="0.3">
      <c r="A58" s="1" t="s">
        <v>37</v>
      </c>
      <c r="B58" s="12"/>
      <c r="C58" s="12"/>
      <c r="D58" s="12"/>
    </row>
    <row r="59" spans="1:4" x14ac:dyDescent="0.3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3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3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4" x14ac:dyDescent="0.3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3">
      <c r="B63" s="12"/>
      <c r="C63" s="12"/>
      <c r="D63" s="12"/>
    </row>
    <row r="64" spans="1:4" x14ac:dyDescent="0.3">
      <c r="A64" t="s">
        <v>42</v>
      </c>
      <c r="B64" s="12"/>
      <c r="C64" s="12"/>
      <c r="D64" s="12"/>
    </row>
    <row r="65" spans="1:4" x14ac:dyDescent="0.3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3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3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3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5" thickBot="1" x14ac:dyDescent="0.35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5" thickTop="1" x14ac:dyDescent="0.3"/>
    <row r="71" spans="1:4" x14ac:dyDescent="0.3">
      <c r="A71" s="33" t="s">
        <v>55</v>
      </c>
      <c r="B71" s="33"/>
      <c r="C71" s="33"/>
      <c r="D71" s="33"/>
    </row>
    <row r="72" spans="1:4" x14ac:dyDescent="0.3">
      <c r="B72" s="32" t="s">
        <v>23</v>
      </c>
      <c r="C72" s="32"/>
      <c r="D72" s="32"/>
    </row>
    <row r="73" spans="1:4" x14ac:dyDescent="0.3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3">
      <c r="A75" s="7" t="s">
        <v>56</v>
      </c>
      <c r="B75" s="15"/>
      <c r="C75" s="15"/>
      <c r="D75" s="15"/>
    </row>
    <row r="76" spans="1:4" x14ac:dyDescent="0.3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3">
      <c r="A77" s="11" t="s">
        <v>18</v>
      </c>
      <c r="B77" s="15"/>
      <c r="C77" s="15"/>
      <c r="D77" s="15"/>
    </row>
    <row r="78" spans="1:4" x14ac:dyDescent="0.3">
      <c r="A78" s="1" t="s">
        <v>58</v>
      </c>
      <c r="B78" s="12"/>
      <c r="C78" s="12"/>
      <c r="D78" s="12"/>
    </row>
    <row r="79" spans="1:4" x14ac:dyDescent="0.3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3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3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3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3">
      <c r="A83" t="s">
        <v>62</v>
      </c>
      <c r="B83" s="12"/>
      <c r="C83" s="12"/>
      <c r="D83" s="12"/>
    </row>
    <row r="84" spans="1:4" x14ac:dyDescent="0.3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3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3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3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3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3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3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3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3">
      <c r="A92" s="7" t="s">
        <v>64</v>
      </c>
      <c r="B92" s="12"/>
      <c r="C92" s="12"/>
      <c r="D92" s="12"/>
    </row>
    <row r="93" spans="1:4" x14ac:dyDescent="0.3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3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3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3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3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3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3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3">
      <c r="A100" s="7" t="s">
        <v>71</v>
      </c>
      <c r="B100" s="12"/>
      <c r="C100" s="12"/>
      <c r="D100" s="12"/>
    </row>
    <row r="101" spans="1:4" x14ac:dyDescent="0.3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3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3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3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3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3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3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3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3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5" thickBot="1" x14ac:dyDescent="0.3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" thickTop="1" x14ac:dyDescent="0.3">
      <c r="B111" s="12"/>
      <c r="C111" s="12"/>
      <c r="D111" s="12"/>
    </row>
    <row r="112" spans="1:4" x14ac:dyDescent="0.3">
      <c r="A112" t="s">
        <v>80</v>
      </c>
      <c r="B112" s="12"/>
      <c r="C112" s="12"/>
      <c r="D112" s="12"/>
    </row>
    <row r="113" spans="1:4" x14ac:dyDescent="0.3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3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D102"/>
  <sheetViews>
    <sheetView tabSelected="1" topLeftCell="A24" workbookViewId="0">
      <selection activeCell="I46" sqref="I46"/>
    </sheetView>
  </sheetViews>
  <sheetFormatPr defaultRowHeight="14.4" x14ac:dyDescent="0.3"/>
  <cols>
    <col min="1" max="1" width="4.6640625" customWidth="1"/>
    <col min="2" max="2" width="44.88671875" customWidth="1"/>
    <col min="3" max="3" width="17.33203125" customWidth="1"/>
    <col min="4" max="4" width="14.88671875" customWidth="1"/>
    <col min="5" max="5" width="15.109375" customWidth="1"/>
  </cols>
  <sheetData>
    <row r="1" spans="1:10" ht="60" customHeight="1" x14ac:dyDescent="0.5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3">
      <c r="C2" s="32" t="s">
        <v>23</v>
      </c>
      <c r="D2" s="32"/>
      <c r="E2" s="32"/>
    </row>
    <row r="3" spans="1:10" x14ac:dyDescent="0.3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3">
      <c r="A4" s="18">
        <v>1</v>
      </c>
      <c r="B4" s="7" t="s">
        <v>99</v>
      </c>
    </row>
    <row r="5" spans="1:10" x14ac:dyDescent="0.3">
      <c r="A5" s="18">
        <f>+A4+0.1</f>
        <v>1.1000000000000001</v>
      </c>
      <c r="B5" s="1" t="s">
        <v>100</v>
      </c>
      <c r="C5" s="24">
        <f>'Financial Statements'!B42/'Financial Statements'!B56</f>
        <v>0.87935602862672257</v>
      </c>
      <c r="D5" s="24">
        <f>'Financial Statements'!C42/'Financial Statements'!C56</f>
        <v>1.0745531195957954</v>
      </c>
      <c r="E5" s="24">
        <f>'Financial Statements'!D42/'Financial Statements'!D56</f>
        <v>1.3636044481554577</v>
      </c>
      <c r="H5" s="23"/>
      <c r="I5" s="23"/>
      <c r="J5" s="23"/>
    </row>
    <row r="6" spans="1:10" x14ac:dyDescent="0.3">
      <c r="A6" s="18">
        <f t="shared" ref="A6:A13" si="0">+A5+0.1</f>
        <v>1.2000000000000002</v>
      </c>
      <c r="B6" s="1" t="s">
        <v>101</v>
      </c>
      <c r="C6" s="25">
        <f>('Financial Statements'!B42-'Financial Statements'!B39)/'Financial Statements'!B56</f>
        <v>0.84723539114961488</v>
      </c>
      <c r="D6" s="25">
        <f>('Financial Statements'!C42-'Financial Statements'!C39)/'Financial Statements'!C56</f>
        <v>1.0221149018576519</v>
      </c>
      <c r="E6" s="25">
        <f>('Financial Statements'!D42-'Financial Statements'!D39)/'Financial Statements'!D56</f>
        <v>1.325072111735236</v>
      </c>
    </row>
    <row r="7" spans="1:10" x14ac:dyDescent="0.3">
      <c r="A7" s="18">
        <f t="shared" si="0"/>
        <v>1.3000000000000003</v>
      </c>
      <c r="B7" s="1" t="s">
        <v>102</v>
      </c>
      <c r="C7" s="25">
        <f>'Financial Statements'!B36/'Financial Statements'!B56</f>
        <v>0.15356340351469652</v>
      </c>
      <c r="D7" s="25">
        <f>'Financial Statements'!C36/'Financial Statements'!C56</f>
        <v>0.27844853005634318</v>
      </c>
      <c r="E7" s="25">
        <f>'Financial Statements'!D36/'Financial Statements'!D56</f>
        <v>0.36071049035979963</v>
      </c>
    </row>
    <row r="8" spans="1:10" x14ac:dyDescent="0.3">
      <c r="A8" s="18">
        <f t="shared" si="0"/>
        <v>1.4000000000000004</v>
      </c>
      <c r="B8" s="1" t="s">
        <v>103</v>
      </c>
      <c r="C8" s="25">
        <f>('Financial Statements'!B42)/'Financial Statements'!B17</f>
        <v>2.6371603856266432</v>
      </c>
      <c r="D8" s="25">
        <f>('Financial Statements'!C42)/'Financial Statements'!C17</f>
        <v>3.072344885729259</v>
      </c>
      <c r="E8" s="25">
        <f>('Financial Statements'!D42)/'Financial Statements'!D17</f>
        <v>3.7165873590565841</v>
      </c>
    </row>
    <row r="9" spans="1:10" x14ac:dyDescent="0.3">
      <c r="A9" s="18">
        <f t="shared" si="0"/>
        <v>1.5000000000000004</v>
      </c>
      <c r="B9" s="1" t="s">
        <v>104</v>
      </c>
      <c r="C9" s="25">
        <f>365/('Financial Statements'!B12/'Financial Statements'!B39)</f>
        <v>8.0756980666171607</v>
      </c>
      <c r="D9" s="25">
        <f>365/('Financial Statements'!C12/'Financial Statements'!C39)</f>
        <v>11.27659274770989</v>
      </c>
      <c r="E9" s="25">
        <f>365/('Financial Statements'!D12/'Financial Statements'!D39)</f>
        <v>8.7418833562358813</v>
      </c>
    </row>
    <row r="10" spans="1:10" x14ac:dyDescent="0.3">
      <c r="A10" s="18">
        <f t="shared" si="0"/>
        <v>1.6000000000000005</v>
      </c>
      <c r="B10" s="1" t="s">
        <v>105</v>
      </c>
      <c r="C10" s="25">
        <f>'Financial Statements'!B51/('Financial Statements'!B12/365)</f>
        <v>104.68527730310541</v>
      </c>
      <c r="D10" s="25">
        <f>'Financial Statements'!C51/('Financial Statements'!C12/365)</f>
        <v>93.85107122231561</v>
      </c>
      <c r="E10" s="25">
        <f>'Financial Statements'!D51/('Financial Statements'!D12/365)</f>
        <v>91.048189715674184</v>
      </c>
    </row>
    <row r="11" spans="1:10" x14ac:dyDescent="0.3">
      <c r="A11" s="18">
        <f t="shared" si="0"/>
        <v>1.7000000000000006</v>
      </c>
      <c r="B11" s="1" t="s">
        <v>106</v>
      </c>
      <c r="C11" s="25">
        <f>'Financial Statements'!B38/('Financial Statements'!B8/365)</f>
        <v>26.087825363656655</v>
      </c>
      <c r="D11" s="25">
        <f>'Financial Statements'!C38/('Financial Statements'!C8/365)</f>
        <v>26.219311841713203</v>
      </c>
      <c r="E11" s="25">
        <f>'Financial Statements'!D38/('Financial Statements'!D8/365)</f>
        <v>21.433437152796753</v>
      </c>
    </row>
    <row r="12" spans="1:10" x14ac:dyDescent="0.3">
      <c r="A12" s="18">
        <f t="shared" si="0"/>
        <v>1.8000000000000007</v>
      </c>
      <c r="B12" s="1" t="s">
        <v>107</v>
      </c>
      <c r="C12" s="25">
        <f>SUM(C9,C11)-C10</f>
        <v>-70.521753872831596</v>
      </c>
      <c r="D12" s="25">
        <f t="shared" ref="D12:E12" si="1">SUM(D9,D11)-D10</f>
        <v>-56.355166632892519</v>
      </c>
      <c r="E12" s="25">
        <f t="shared" si="1"/>
        <v>-60.872869206641553</v>
      </c>
    </row>
    <row r="13" spans="1:10" x14ac:dyDescent="0.3">
      <c r="A13" s="18">
        <f t="shared" si="0"/>
        <v>1.9000000000000008</v>
      </c>
      <c r="B13" s="1" t="s">
        <v>108</v>
      </c>
      <c r="C13" s="25">
        <f>('Financial Statements'!B42-'Financial Statements'!B56)/'Financial Statements'!B8*100</f>
        <v>-4.7110527276784806</v>
      </c>
      <c r="D13" s="25">
        <f>('Financial Statements'!C42-'Financial Statements'!C56)/'Financial Statements'!C8*100</f>
        <v>2.5572895737486232</v>
      </c>
      <c r="E13" s="25">
        <f>('Financial Statements'!D42-'Financial Statements'!D56)/'Financial Statements'!D8*100</f>
        <v>13.959528623208204</v>
      </c>
    </row>
    <row r="14" spans="1:10" x14ac:dyDescent="0.3">
      <c r="A14" s="18"/>
      <c r="B14" s="3" t="s">
        <v>109</v>
      </c>
      <c r="C14">
        <f>'Financial Statements'!B42-'Financial Statements'!B56</f>
        <v>-18577</v>
      </c>
      <c r="D14">
        <f>'Financial Statements'!C42-'Financial Statements'!C56</f>
        <v>9355</v>
      </c>
      <c r="E14">
        <f>'Financial Statements'!D42-'Financial Statements'!D56</f>
        <v>38321</v>
      </c>
    </row>
    <row r="15" spans="1:10" x14ac:dyDescent="0.3">
      <c r="A15" s="18"/>
    </row>
    <row r="16" spans="1:10" x14ac:dyDescent="0.3">
      <c r="A16" s="18">
        <f>+A4+1</f>
        <v>2</v>
      </c>
      <c r="B16" s="17" t="s">
        <v>110</v>
      </c>
    </row>
    <row r="17" spans="1:5" x14ac:dyDescent="0.3">
      <c r="A17" s="18">
        <f>+A16+0.1</f>
        <v>2.1</v>
      </c>
      <c r="B17" s="1" t="s">
        <v>9</v>
      </c>
      <c r="C17" s="27">
        <f>'Financial Statements'!B13/'Financial Statements'!B8</f>
        <v>0.43309630561360085</v>
      </c>
      <c r="D17" s="27">
        <f>'Financial Statements'!C13/'Financial Statements'!C8</f>
        <v>0.41779359625167778</v>
      </c>
      <c r="E17" s="27">
        <f>'Financial Statements'!D13/'Financial Statements'!D8</f>
        <v>0.38233247727810865</v>
      </c>
    </row>
    <row r="18" spans="1:5" x14ac:dyDescent="0.3">
      <c r="A18" s="18">
        <f>+A17+0.1</f>
        <v>2.2000000000000002</v>
      </c>
      <c r="B18" s="1" t="s">
        <v>111</v>
      </c>
      <c r="C18" s="27">
        <f>('Financial Statements'!B22+'Financial Statements'!B21+'Financial Statements'!B19+'Financial Statements'!B79)/'Financial Statements'!B8</f>
        <v>0.32935272159217704</v>
      </c>
      <c r="D18" s="27">
        <f>('Financial Statements'!C22+'Financial Statements'!C21+'Financial Statements'!C19+'Financial Statements'!C79)/'Financial Statements'!C8</f>
        <v>0.33008034071680648</v>
      </c>
      <c r="E18" s="27">
        <f>('Financial Statements'!D22+'Financial Statements'!D21+'Financial Statements'!D19+'Financial Statements'!D79)/'Financial Statements'!D8</f>
        <v>0.28759812760687031</v>
      </c>
    </row>
    <row r="19" spans="1:5" x14ac:dyDescent="0.3">
      <c r="A19" s="18"/>
      <c r="B19" s="3" t="s">
        <v>112</v>
      </c>
      <c r="C19">
        <f>('Financial Statements'!B22+'Financial Statements'!B21+'Financial Statements'!B19+'Financial Statements'!B79)</f>
        <v>129873</v>
      </c>
      <c r="D19">
        <f>('Financial Statements'!C22+'Financial Statements'!C21+'Financial Statements'!C19+'Financial Statements'!C79)</f>
        <v>120749</v>
      </c>
      <c r="E19">
        <f>('Financial Statements'!D22+'Financial Statements'!D21+'Financial Statements'!D19+'Financial Statements'!D79)</f>
        <v>78950</v>
      </c>
    </row>
    <row r="20" spans="1:5" x14ac:dyDescent="0.3">
      <c r="A20" s="18">
        <f>+A18+0.1</f>
        <v>2.3000000000000003</v>
      </c>
      <c r="B20" s="1" t="s">
        <v>113</v>
      </c>
      <c r="C20" s="27">
        <f>('Financial Statements'!B22+'Financial Statements'!B21+'Financial Statements'!B19)/'Financial Statements'!B8</f>
        <v>0.30119342273437344</v>
      </c>
      <c r="D20" s="27">
        <f>('Financial Statements'!C22+'Financial Statements'!C21+'Financial Statements'!C19)/'Financial Statements'!C8</f>
        <v>0.29923431661185784</v>
      </c>
      <c r="E20" s="27">
        <f>('Financial Statements'!D22+'Financial Statements'!D21+'Financial Statements'!D19)/'Financial Statements'!D8</f>
        <v>0.24732346137733821</v>
      </c>
    </row>
    <row r="21" spans="1:5" x14ac:dyDescent="0.3">
      <c r="A21" s="18"/>
      <c r="B21" s="3" t="s">
        <v>114</v>
      </c>
      <c r="C21">
        <f>('Financial Statements'!B22+'Financial Statements'!B21+'Financial Statements'!B19)</f>
        <v>118769</v>
      </c>
      <c r="D21">
        <f>('Financial Statements'!C22+'Financial Statements'!C21+'Financial Statements'!C19)</f>
        <v>109465</v>
      </c>
      <c r="E21">
        <f>('Financial Statements'!D22+'Financial Statements'!D21+'Financial Statements'!D19)</f>
        <v>67894</v>
      </c>
    </row>
    <row r="22" spans="1:5" x14ac:dyDescent="0.3">
      <c r="A22" s="18">
        <f>+A20+0.1</f>
        <v>2.4000000000000004</v>
      </c>
      <c r="B22" s="1" t="s">
        <v>115</v>
      </c>
      <c r="C22" s="27">
        <f>'Financial Statements'!B22/'Financial Statements'!B8</f>
        <v>0.25309640705199732</v>
      </c>
      <c r="D22" s="27">
        <f>'Financial Statements'!C22/'Financial Statements'!C8</f>
        <v>0.25881793355694238</v>
      </c>
      <c r="E22" s="27">
        <f>'Financial Statements'!D22/'Financial Statements'!D8</f>
        <v>0.20913611278072236</v>
      </c>
    </row>
    <row r="23" spans="1:5" x14ac:dyDescent="0.3">
      <c r="A23" s="18"/>
    </row>
    <row r="24" spans="1:5" x14ac:dyDescent="0.3">
      <c r="A24" s="18">
        <f>+A16+1</f>
        <v>3</v>
      </c>
      <c r="B24" s="7" t="s">
        <v>116</v>
      </c>
    </row>
    <row r="25" spans="1:5" x14ac:dyDescent="0.3">
      <c r="A25" s="18">
        <f>+A24+0.1</f>
        <v>3.1</v>
      </c>
      <c r="B25" s="1" t="s">
        <v>117</v>
      </c>
      <c r="C25" s="25">
        <f>'Financial Statements'!B62/'Financial Statements'!B68</f>
        <v>5.9615369434796337</v>
      </c>
      <c r="D25" s="25">
        <f>'Financial Statements'!C62/'Financial Statements'!C68</f>
        <v>4.5635124425423994</v>
      </c>
      <c r="E25" s="25">
        <f>'Financial Statements'!D62/'Financial Statements'!D68</f>
        <v>3.9570394404566951</v>
      </c>
    </row>
    <row r="26" spans="1:5" x14ac:dyDescent="0.3">
      <c r="A26" s="18">
        <f t="shared" ref="A26:A30" si="2">+A25+0.1</f>
        <v>3.2</v>
      </c>
      <c r="B26" s="1" t="s">
        <v>118</v>
      </c>
      <c r="C26" s="25">
        <f>'Financial Statements'!B62/'Financial Statements'!B48</f>
        <v>0.85635355983614692</v>
      </c>
      <c r="D26" s="25">
        <f>'Financial Statements'!C62/'Financial Statements'!C48</f>
        <v>0.82025743443057308</v>
      </c>
      <c r="E26" s="25">
        <f>'Financial Statements'!D62/'Financial Statements'!D48</f>
        <v>0.79826668477992391</v>
      </c>
    </row>
    <row r="27" spans="1:5" x14ac:dyDescent="0.3">
      <c r="A27" s="18">
        <f t="shared" si="2"/>
        <v>3.3000000000000003</v>
      </c>
      <c r="B27" s="1" t="s">
        <v>119</v>
      </c>
      <c r="C27" s="25">
        <f>'Financial Statements'!B61/('Financial Statements'!B62+'Financial Statements'!B68)</f>
        <v>0.41984096610962285</v>
      </c>
      <c r="D27" s="25">
        <f>'Financial Statements'!C61/('Financial Statements'!C62+'Financial Statements'!C68)</f>
        <v>0.46276374493592631</v>
      </c>
      <c r="E27" s="25">
        <f>'Financial Statements'!D61/('Financial Statements'!D62+'Financial Statements'!D68)</f>
        <v>0.47287025144494393</v>
      </c>
    </row>
    <row r="28" spans="1:5" x14ac:dyDescent="0.3">
      <c r="A28" s="18">
        <f t="shared" si="2"/>
        <v>3.4000000000000004</v>
      </c>
      <c r="B28" s="1" t="s">
        <v>120</v>
      </c>
      <c r="C28" s="25">
        <f>C21/ABS('Financial Statements'!B19)</f>
        <v>355.59580838323353</v>
      </c>
      <c r="D28" s="25">
        <f>D21/ABS('Financial Statements'!C19)</f>
        <v>424.2829457364341</v>
      </c>
      <c r="E28" s="25">
        <f>E21/ABS('Financial Statements'!D19)</f>
        <v>84.550435865504355</v>
      </c>
    </row>
    <row r="29" spans="1:5" x14ac:dyDescent="0.3">
      <c r="A29" s="18">
        <f t="shared" si="2"/>
        <v>3.5000000000000004</v>
      </c>
      <c r="B29" s="1" t="s">
        <v>121</v>
      </c>
      <c r="C29" s="25">
        <f>'Financial Statements'!B18/('Financial Statements'!B113+'Financial Statements'!B114)</f>
        <v>5.3229788751225602</v>
      </c>
      <c r="D29" s="25">
        <f>'Financial Statements'!C18/('Financial Statements'!C113+'Financial Statements'!C114)</f>
        <v>3.8810558563693358</v>
      </c>
      <c r="E29" s="25">
        <f>'Financial Statements'!D18/('Financial Statements'!D113+'Financial Statements'!D114)</f>
        <v>5.3017675757818123</v>
      </c>
    </row>
    <row r="30" spans="1:5" x14ac:dyDescent="0.3">
      <c r="A30" s="18">
        <f t="shared" si="2"/>
        <v>3.6000000000000005</v>
      </c>
      <c r="B30" s="1" t="s">
        <v>122</v>
      </c>
      <c r="C30" s="31">
        <f>('Financial Statements'!B91+'Financial Statements'!B96-'Financial Statements'!B105)/('Financial Statements'!B27/1000000)</f>
        <v>7460.9198355965673</v>
      </c>
      <c r="D30" s="31">
        <f>('Financial Statements'!C91+'Financial Statements'!C96-'Financial Statements'!C105)/('Financial Statements'!C27/1000000)</f>
        <v>6089.5361742506802</v>
      </c>
      <c r="E30" s="31">
        <f>('Financial Statements'!D91+'Financial Statements'!D96-'Financial Statements'!D105)/('Financial Statements'!D27/1000000)</f>
        <v>4955.8212458086537</v>
      </c>
    </row>
    <row r="31" spans="1:5" x14ac:dyDescent="0.3">
      <c r="A31" s="18"/>
      <c r="B31" s="3" t="s">
        <v>123</v>
      </c>
      <c r="C31">
        <f>('Financial Statements'!B91+'Financial Statements'!B96-'Financial Statements'!B105)</f>
        <v>120986</v>
      </c>
      <c r="D31">
        <f>('Financial Statements'!C91+'Financial Statements'!C96-'Financial Statements'!C105)</f>
        <v>101703</v>
      </c>
      <c r="E31">
        <f>('Financial Statements'!D91+'Financial Statements'!D96-'Financial Statements'!D105)</f>
        <v>85994</v>
      </c>
    </row>
    <row r="32" spans="1:5" x14ac:dyDescent="0.3">
      <c r="A32" s="18"/>
    </row>
    <row r="33" spans="1:16" x14ac:dyDescent="0.3">
      <c r="A33" s="18">
        <f>+A24+1</f>
        <v>4</v>
      </c>
      <c r="B33" s="17" t="s">
        <v>124</v>
      </c>
    </row>
    <row r="34" spans="1:16" x14ac:dyDescent="0.3">
      <c r="A34" s="18">
        <f>+A33+0.1</f>
        <v>4.0999999999999996</v>
      </c>
      <c r="B34" s="1" t="s">
        <v>125</v>
      </c>
      <c r="C34" s="25">
        <f>'Financial Statements'!B8/'Financial Statements'!B48</f>
        <v>1.1178523337727317</v>
      </c>
      <c r="D34" s="25">
        <f>'Financial Statements'!C8/'Financial Statements'!C48</f>
        <v>1.0422077367080529</v>
      </c>
      <c r="E34" s="25">
        <f>'Financial Statements'!D8/'Financial Statements'!D48</f>
        <v>0.84756150274168851</v>
      </c>
    </row>
    <row r="35" spans="1:16" x14ac:dyDescent="0.3">
      <c r="A35" s="18">
        <f t="shared" ref="A35:A37" si="3">+A34+0.1</f>
        <v>4.1999999999999993</v>
      </c>
      <c r="B35" s="1" t="s">
        <v>126</v>
      </c>
      <c r="C35" s="25">
        <f>'Financial Statements'!B8/'Financial Statements'!B47</f>
        <v>1.8142535081665516</v>
      </c>
      <c r="D35" s="25">
        <f>'Financial Statements'!C8/'Financial Statements'!C47</f>
        <v>1.6922966608994938</v>
      </c>
      <c r="E35" s="25">
        <f>'Financial Statements'!D8/'Financial Statements'!D47</f>
        <v>1.5236020535590398</v>
      </c>
    </row>
    <row r="36" spans="1:16" x14ac:dyDescent="0.3">
      <c r="A36" s="18">
        <f t="shared" si="3"/>
        <v>4.2999999999999989</v>
      </c>
      <c r="B36" s="1" t="s">
        <v>127</v>
      </c>
      <c r="C36" s="25">
        <f>'Financial Statements'!B12/'Financial Statements'!B39</f>
        <v>45.197331176708452</v>
      </c>
      <c r="D36" s="25">
        <f>'Financial Statements'!C12/'Financial Statements'!C39</f>
        <v>32.367933130699086</v>
      </c>
      <c r="E36" s="25">
        <f>'Financial Statements'!D12/'Financial Statements'!D39</f>
        <v>41.753016498399411</v>
      </c>
    </row>
    <row r="37" spans="1:16" x14ac:dyDescent="0.3">
      <c r="A37" s="18">
        <f t="shared" si="3"/>
        <v>4.3999999999999986</v>
      </c>
      <c r="B37" s="1" t="s">
        <v>128</v>
      </c>
      <c r="C37" s="27">
        <f>'Financial Statements'!B22/'Financial Statements'!B48</f>
        <v>0.28292440929256851</v>
      </c>
      <c r="D37" s="27">
        <f>'Financial Statements'!C22/'Financial Statements'!C48</f>
        <v>0.26974205275183616</v>
      </c>
      <c r="E37" s="27">
        <f>'Financial Statements'!D22/'Financial Statements'!D48</f>
        <v>0.1772557180259843</v>
      </c>
    </row>
    <row r="38" spans="1:16" x14ac:dyDescent="0.3">
      <c r="A38" s="18"/>
    </row>
    <row r="39" spans="1:16" x14ac:dyDescent="0.3">
      <c r="A39" s="18">
        <f>+A33+1</f>
        <v>5</v>
      </c>
      <c r="B39" s="17" t="s">
        <v>129</v>
      </c>
    </row>
    <row r="40" spans="1:16" x14ac:dyDescent="0.3">
      <c r="A40" s="18">
        <f>+A39+0.1</f>
        <v>5.0999999999999996</v>
      </c>
      <c r="B40" s="1" t="s">
        <v>130</v>
      </c>
      <c r="C40" s="25">
        <f>150/C41</f>
        <v>24.390243902439025</v>
      </c>
      <c r="D40" s="25">
        <f t="shared" ref="D40:E40" si="4">150/D41</f>
        <v>26.455026455026456</v>
      </c>
      <c r="E40" s="25">
        <f t="shared" si="4"/>
        <v>45.317220543806648</v>
      </c>
      <c r="H40" s="51"/>
      <c r="I40" s="51"/>
      <c r="J40" s="51"/>
      <c r="K40" s="51"/>
      <c r="L40" s="51"/>
      <c r="M40" s="51"/>
      <c r="N40" s="51"/>
      <c r="O40" s="51"/>
      <c r="P40" s="51"/>
    </row>
    <row r="41" spans="1:16" x14ac:dyDescent="0.3">
      <c r="A41" s="18">
        <f t="shared" ref="A41:A44" si="5">+A40+0.1</f>
        <v>5.1999999999999993</v>
      </c>
      <c r="B41" s="3" t="s">
        <v>131</v>
      </c>
      <c r="C41" s="30">
        <f>'Financial Statements'!B24</f>
        <v>6.15</v>
      </c>
      <c r="D41" s="30">
        <f>'Financial Statements'!C24</f>
        <v>5.67</v>
      </c>
      <c r="E41" s="30">
        <f>'Financial Statements'!D24</f>
        <v>3.31</v>
      </c>
      <c r="J41" s="51"/>
      <c r="K41" s="51"/>
      <c r="L41" s="51"/>
      <c r="M41" s="51"/>
      <c r="N41" s="51"/>
      <c r="O41" s="51"/>
    </row>
    <row r="42" spans="1:16" x14ac:dyDescent="0.3">
      <c r="A42" s="18">
        <f t="shared" si="5"/>
        <v>5.2999999999999989</v>
      </c>
      <c r="B42" s="1" t="s">
        <v>132</v>
      </c>
      <c r="C42" s="25">
        <f>150/C43</f>
        <v>48.002732278181242</v>
      </c>
      <c r="D42" s="25">
        <f>167.48/D43</f>
        <v>44.335537082897446</v>
      </c>
      <c r="E42" s="25">
        <f>121/E43</f>
        <v>32.134045501155512</v>
      </c>
    </row>
    <row r="43" spans="1:16" x14ac:dyDescent="0.3">
      <c r="A43" s="18">
        <f t="shared" si="5"/>
        <v>5.3999999999999986</v>
      </c>
      <c r="B43" s="3" t="s">
        <v>133</v>
      </c>
      <c r="C43" s="25">
        <f>'Financial Statements'!B68/('Financial Statements'!B27/1000)</f>
        <v>3.1248221274308534</v>
      </c>
      <c r="D43" s="25">
        <f>'Financial Statements'!C68/('Financial Statements'!C27/1000)</f>
        <v>3.7775565837141025</v>
      </c>
      <c r="E43" s="25">
        <f>'Financial Statements'!D68/('Financial Statements'!D27/1000)</f>
        <v>3.7654767120949324</v>
      </c>
    </row>
    <row r="44" spans="1:16" x14ac:dyDescent="0.3">
      <c r="A44" s="18">
        <f t="shared" si="5"/>
        <v>5.4999999999999982</v>
      </c>
      <c r="B44" s="1" t="s">
        <v>134</v>
      </c>
      <c r="C44" s="28">
        <f>C45/'Financial Statements'!B24</f>
        <v>0.14796747967479673</v>
      </c>
      <c r="D44" s="28">
        <f>D45/'Financial Statements'!C24</f>
        <v>0.15520282186948853</v>
      </c>
      <c r="E44" s="28">
        <f>E45/'Financial Statements'!D24</f>
        <v>0.75528700906344415</v>
      </c>
    </row>
    <row r="45" spans="1:16" x14ac:dyDescent="0.3">
      <c r="A45" s="18"/>
      <c r="B45" s="3" t="s">
        <v>135</v>
      </c>
      <c r="C45" s="29">
        <v>0.91</v>
      </c>
      <c r="D45" s="30">
        <v>0.88</v>
      </c>
      <c r="E45" s="30">
        <v>2.5</v>
      </c>
    </row>
    <row r="46" spans="1:16" x14ac:dyDescent="0.3">
      <c r="A46" s="18">
        <f>+A44+0.1</f>
        <v>5.5999999999999979</v>
      </c>
      <c r="B46" s="1" t="s">
        <v>136</v>
      </c>
      <c r="C46" s="26">
        <f>C45/150</f>
        <v>6.0666666666666673E-3</v>
      </c>
      <c r="D46" s="26">
        <f>D45/167.48</f>
        <v>5.2543587294005259E-3</v>
      </c>
      <c r="E46" s="26">
        <f>E45/121</f>
        <v>2.0661157024793389E-2</v>
      </c>
    </row>
    <row r="47" spans="1:16" x14ac:dyDescent="0.3">
      <c r="A47" s="18">
        <f t="shared" ref="A47:A50" si="6">+A45+0.1</f>
        <v>0.1</v>
      </c>
      <c r="B47" s="1" t="s">
        <v>137</v>
      </c>
      <c r="C47" s="25">
        <f>'Financial Statements'!B22/'Financial Statements'!B68</f>
        <v>1.9695887275023682</v>
      </c>
      <c r="D47" s="25">
        <f>'Financial Statements'!C22/'Financial Statements'!C68</f>
        <v>1.5007132667617689</v>
      </c>
      <c r="E47" s="25">
        <f>'Financial Statements'!D22/'Financial Statements'!D68</f>
        <v>0.87866358530127486</v>
      </c>
    </row>
    <row r="48" spans="1:16" x14ac:dyDescent="0.3">
      <c r="A48" s="18">
        <f t="shared" si="6"/>
        <v>5.6999999999999975</v>
      </c>
      <c r="B48" s="1" t="s">
        <v>138</v>
      </c>
      <c r="C48" s="25">
        <f>C21/('Financial Statements'!B68+'Financial Statements'!B61)</f>
        <v>0.59751072831823238</v>
      </c>
      <c r="D48" s="25">
        <f>D21/('Financial Statements'!C68+'Financial Statements'!C61)</f>
        <v>0.48538717015266869</v>
      </c>
      <c r="E48" s="25">
        <f>E21/('Financial Statements'!D68+'Financial Statements'!D61)</f>
        <v>0.31073337727006445</v>
      </c>
    </row>
    <row r="49" spans="1:5" x14ac:dyDescent="0.3">
      <c r="A49" s="18">
        <f t="shared" si="6"/>
        <v>0.2</v>
      </c>
      <c r="B49" s="1" t="s">
        <v>128</v>
      </c>
      <c r="C49" s="25">
        <f>'Financial Statements'!B22/'Financial Statements'!B48</f>
        <v>0.28292440929256851</v>
      </c>
      <c r="D49" s="25">
        <f>'Financial Statements'!C22/'Financial Statements'!C48</f>
        <v>0.26974205275183616</v>
      </c>
      <c r="E49" s="25">
        <f>'Financial Statements'!D22/'Financial Statements'!D48</f>
        <v>0.1772557180259843</v>
      </c>
    </row>
    <row r="50" spans="1:5" x14ac:dyDescent="0.3">
      <c r="A50" s="18">
        <f t="shared" si="6"/>
        <v>5.7999999999999972</v>
      </c>
      <c r="B50" s="1" t="s">
        <v>139</v>
      </c>
      <c r="C50" s="25">
        <f>C51/C19</f>
        <v>16.64241220269032</v>
      </c>
      <c r="D50" s="25">
        <f t="shared" ref="D50:E50" si="7">D51/D19</f>
        <v>18.889597429378298</v>
      </c>
      <c r="E50" s="25">
        <f t="shared" si="7"/>
        <v>24.18239392020266</v>
      </c>
    </row>
    <row r="51" spans="1:5" x14ac:dyDescent="0.3">
      <c r="A51" s="18"/>
      <c r="B51" s="3" t="s">
        <v>140</v>
      </c>
      <c r="C51" s="30">
        <v>2161400</v>
      </c>
      <c r="D51" s="30">
        <v>2280900</v>
      </c>
      <c r="E51" s="30">
        <v>1909200</v>
      </c>
    </row>
    <row r="54" spans="1:5" x14ac:dyDescent="0.3">
      <c r="B54" s="37"/>
      <c r="C54" s="38">
        <v>2022</v>
      </c>
      <c r="D54" s="38">
        <v>2021</v>
      </c>
      <c r="E54" s="38">
        <v>2020</v>
      </c>
    </row>
    <row r="55" spans="1:5" x14ac:dyDescent="0.3">
      <c r="B55" s="39" t="s">
        <v>145</v>
      </c>
      <c r="C55" s="37"/>
      <c r="D55" s="37"/>
      <c r="E55" s="37"/>
    </row>
    <row r="56" spans="1:5" x14ac:dyDescent="0.3">
      <c r="B56" s="39" t="s">
        <v>4</v>
      </c>
      <c r="C56" s="49">
        <v>316199</v>
      </c>
      <c r="D56" s="49">
        <v>297392</v>
      </c>
      <c r="E56" s="49">
        <v>220747</v>
      </c>
    </row>
    <row r="57" spans="1:5" x14ac:dyDescent="0.3">
      <c r="B57" s="39"/>
      <c r="C57" s="44">
        <f>(C56-D56)/D56</f>
        <v>6.3239764351428418E-2</v>
      </c>
      <c r="D57" s="44">
        <f>(D56-E56)/E56</f>
        <v>0.34720743656765435</v>
      </c>
      <c r="E57" s="49"/>
    </row>
    <row r="58" spans="1:5" x14ac:dyDescent="0.3">
      <c r="B58" s="39" t="s">
        <v>5</v>
      </c>
      <c r="C58" s="49">
        <v>78129</v>
      </c>
      <c r="D58" s="49">
        <v>68425</v>
      </c>
      <c r="E58" s="49">
        <v>53768</v>
      </c>
    </row>
    <row r="59" spans="1:5" x14ac:dyDescent="0.3">
      <c r="B59" s="39"/>
      <c r="C59" s="44">
        <f>(C58-D58)/D58</f>
        <v>0.14181951041286078</v>
      </c>
      <c r="D59" s="44">
        <f>(D58-E58)/E58</f>
        <v>0.27259708376729652</v>
      </c>
      <c r="E59" s="49"/>
    </row>
    <row r="60" spans="1:5" x14ac:dyDescent="0.3">
      <c r="B60" s="38" t="s">
        <v>6</v>
      </c>
      <c r="C60" s="45">
        <f>+C56+C58</f>
        <v>394328</v>
      </c>
      <c r="D60" s="45">
        <f>+D56+D58</f>
        <v>365817</v>
      </c>
      <c r="E60" s="45">
        <f>+E56+E58</f>
        <v>274515</v>
      </c>
    </row>
    <row r="61" spans="1:5" x14ac:dyDescent="0.3">
      <c r="B61" s="37"/>
      <c r="C61" s="44">
        <f>(C60-D60)/D60</f>
        <v>7.7937876041846058E-2</v>
      </c>
      <c r="D61" s="44">
        <f>(D60-E60)/E60</f>
        <v>0.33259384733074693</v>
      </c>
      <c r="E61" s="37"/>
    </row>
    <row r="62" spans="1:5" x14ac:dyDescent="0.3">
      <c r="B62" s="39" t="s">
        <v>89</v>
      </c>
      <c r="C62" s="37"/>
      <c r="D62" s="37"/>
      <c r="E62" s="37"/>
    </row>
    <row r="63" spans="1:5" x14ac:dyDescent="0.3">
      <c r="B63" s="38" t="s">
        <v>9</v>
      </c>
      <c r="C63" s="45">
        <f>+C58-C62</f>
        <v>78129</v>
      </c>
      <c r="D63" s="45">
        <f t="shared" ref="D63:E63" si="8">+D58-D62</f>
        <v>68425</v>
      </c>
      <c r="E63" s="45">
        <f t="shared" si="8"/>
        <v>53768</v>
      </c>
    </row>
    <row r="64" spans="1:5" x14ac:dyDescent="0.3">
      <c r="B64" s="37"/>
      <c r="C64" s="44">
        <f>(C63-D63)/D63</f>
        <v>0.14181951041286078</v>
      </c>
      <c r="D64" s="44">
        <f>(D63-E63)/E63</f>
        <v>0.27259708376729652</v>
      </c>
      <c r="E64" s="37"/>
    </row>
    <row r="66" spans="2:5 16384:16384" x14ac:dyDescent="0.3">
      <c r="B66" s="11" t="s">
        <v>90</v>
      </c>
      <c r="C66" s="7"/>
      <c r="D66" s="7"/>
      <c r="E66" s="7"/>
    </row>
    <row r="67" spans="2:5 16384:16384" x14ac:dyDescent="0.3">
      <c r="B67" s="11" t="s">
        <v>11</v>
      </c>
      <c r="C67" s="15">
        <v>26251</v>
      </c>
      <c r="D67" s="15">
        <v>21914</v>
      </c>
      <c r="E67" s="15">
        <v>18752</v>
      </c>
    </row>
    <row r="68" spans="2:5 16384:16384" x14ac:dyDescent="0.3">
      <c r="B68" s="11"/>
      <c r="C68" s="34">
        <f>(C67-D67)/D67</f>
        <v>0.19791001186456147</v>
      </c>
      <c r="D68" s="34">
        <f>(D67-E67)/E67</f>
        <v>0.16862201365187712</v>
      </c>
      <c r="E68" s="15"/>
    </row>
    <row r="69" spans="2:5 16384:16384" x14ac:dyDescent="0.3">
      <c r="B69" s="11" t="s">
        <v>12</v>
      </c>
      <c r="C69" s="15">
        <v>25094</v>
      </c>
      <c r="D69" s="15">
        <v>21973</v>
      </c>
      <c r="E69" s="15">
        <v>19916</v>
      </c>
      <c r="XFD69">
        <f>MIN(A69:XFC69)</f>
        <v>19916</v>
      </c>
    </row>
    <row r="70" spans="2:5 16384:16384" x14ac:dyDescent="0.3">
      <c r="B70" s="11"/>
      <c r="C70" s="34">
        <f>(C69-D69)/D69</f>
        <v>0.14203795567287125</v>
      </c>
      <c r="D70" s="34">
        <f>(D69-E69)/E69</f>
        <v>0.10328379192608958</v>
      </c>
      <c r="E70" s="15"/>
    </row>
    <row r="71" spans="2:5 16384:16384" x14ac:dyDescent="0.3">
      <c r="B71" s="8" t="s">
        <v>13</v>
      </c>
      <c r="C71" s="13">
        <f>+C67+C69</f>
        <v>51345</v>
      </c>
      <c r="D71" s="13">
        <f>+D67+D69</f>
        <v>43887</v>
      </c>
      <c r="E71" s="13">
        <f>+E67+E69</f>
        <v>38668</v>
      </c>
    </row>
    <row r="72" spans="2:5 16384:16384" x14ac:dyDescent="0.3">
      <c r="B72" s="7"/>
      <c r="C72" s="34">
        <f>(C71-D71)/D71</f>
        <v>0.16993642764372138</v>
      </c>
      <c r="D72" s="34">
        <f>(D71-E71)/E71</f>
        <v>0.13496948381090307</v>
      </c>
      <c r="E72" s="7"/>
    </row>
    <row r="74" spans="2:5 16384:16384" x14ac:dyDescent="0.3">
      <c r="B74" s="50" t="s">
        <v>91</v>
      </c>
      <c r="C74" s="37"/>
      <c r="D74" s="37"/>
      <c r="E74" s="37"/>
    </row>
    <row r="75" spans="2:5 16384:16384" x14ac:dyDescent="0.3">
      <c r="B75" s="37"/>
      <c r="C75" s="37"/>
      <c r="D75" s="37"/>
      <c r="E75" s="37"/>
    </row>
    <row r="76" spans="2:5 16384:16384" x14ac:dyDescent="0.3">
      <c r="B76" s="38" t="s">
        <v>31</v>
      </c>
      <c r="C76" s="45">
        <v>135405</v>
      </c>
      <c r="D76" s="45">
        <v>134836</v>
      </c>
      <c r="E76" s="45">
        <v>143713</v>
      </c>
    </row>
    <row r="77" spans="2:5 16384:16384" x14ac:dyDescent="0.3">
      <c r="B77" s="37"/>
      <c r="C77" s="46">
        <f>(C76-D76)/D76</f>
        <v>4.2199412619775131E-3</v>
      </c>
      <c r="D77" s="46">
        <f>(D76-E76)/E76</f>
        <v>-6.176894226687913E-2</v>
      </c>
      <c r="E77" s="37"/>
    </row>
    <row r="78" spans="2:5 16384:16384" x14ac:dyDescent="0.3">
      <c r="B78" s="38" t="s">
        <v>50</v>
      </c>
      <c r="C78" s="47">
        <v>217350</v>
      </c>
      <c r="D78" s="47">
        <v>216166</v>
      </c>
      <c r="E78" s="47">
        <v>180175</v>
      </c>
    </row>
    <row r="79" spans="2:5 16384:16384" x14ac:dyDescent="0.3">
      <c r="B79" s="38"/>
      <c r="C79" s="48">
        <f>(C78-D78)/D78</f>
        <v>5.4772720964443994E-3</v>
      </c>
      <c r="D79" s="48">
        <f>(D78-E78)/E78</f>
        <v>0.19975579297904814</v>
      </c>
      <c r="E79" s="47"/>
    </row>
    <row r="80" spans="2:5 16384:16384" x14ac:dyDescent="0.3">
      <c r="B80" s="38" t="s">
        <v>33</v>
      </c>
      <c r="C80" s="47">
        <v>352755</v>
      </c>
      <c r="D80" s="47">
        <v>351002</v>
      </c>
      <c r="E80" s="47">
        <v>323888</v>
      </c>
    </row>
    <row r="81" spans="2:5" x14ac:dyDescent="0.3">
      <c r="B81" s="37"/>
      <c r="C81" s="46">
        <f>(C80-D80)/D80</f>
        <v>4.9942735369029236E-3</v>
      </c>
      <c r="D81" s="46">
        <f>(D80-E80)/E80</f>
        <v>8.3714123400681711E-2</v>
      </c>
      <c r="E81" s="37"/>
    </row>
    <row r="82" spans="2:5" x14ac:dyDescent="0.3">
      <c r="B82" s="38" t="s">
        <v>40</v>
      </c>
      <c r="C82" s="47">
        <v>153982</v>
      </c>
      <c r="D82" s="47">
        <v>125481</v>
      </c>
      <c r="E82" s="47">
        <v>105392</v>
      </c>
    </row>
    <row r="83" spans="2:5" x14ac:dyDescent="0.3">
      <c r="B83" s="37"/>
      <c r="C83" s="44">
        <f>(C82-D82)/D82</f>
        <v>0.22713398841258836</v>
      </c>
      <c r="D83" s="44">
        <f>(D82-E82)/E82</f>
        <v>0.19061219067860938</v>
      </c>
      <c r="E83" s="37"/>
    </row>
    <row r="84" spans="2:5" x14ac:dyDescent="0.3">
      <c r="B84" s="43" t="s">
        <v>53</v>
      </c>
      <c r="C84" s="49">
        <v>148101</v>
      </c>
      <c r="D84" s="49">
        <v>162431</v>
      </c>
      <c r="E84" s="49">
        <v>153157</v>
      </c>
    </row>
    <row r="85" spans="2:5" x14ac:dyDescent="0.3">
      <c r="B85" s="43"/>
      <c r="C85" s="44">
        <f>(C84-D84)/D84</f>
        <v>-8.8222075835277747E-2</v>
      </c>
      <c r="D85" s="44">
        <f>(D84-E84)/E84</f>
        <v>6.0552243775994566E-2</v>
      </c>
      <c r="E85" s="49"/>
    </row>
    <row r="86" spans="2:5" x14ac:dyDescent="0.3">
      <c r="B86" s="43" t="s">
        <v>41</v>
      </c>
      <c r="C86" s="49">
        <v>302083</v>
      </c>
      <c r="D86" s="49">
        <v>287912</v>
      </c>
      <c r="E86" s="49">
        <v>258549</v>
      </c>
    </row>
    <row r="87" spans="2:5" x14ac:dyDescent="0.3">
      <c r="B87" s="38"/>
      <c r="C87" s="48">
        <f>(C86-D86)/D86</f>
        <v>4.9219900525160468E-2</v>
      </c>
      <c r="D87" s="48">
        <f>(D86-E86)/E86</f>
        <v>0.11356841449783213</v>
      </c>
      <c r="E87" s="45"/>
    </row>
    <row r="91" spans="2:5" x14ac:dyDescent="0.3">
      <c r="B91" s="37"/>
      <c r="C91" s="38">
        <v>2022</v>
      </c>
      <c r="D91" s="38">
        <v>2021</v>
      </c>
      <c r="E91" s="38">
        <v>2020</v>
      </c>
    </row>
    <row r="92" spans="2:5" x14ac:dyDescent="0.3">
      <c r="B92" s="39" t="s">
        <v>146</v>
      </c>
      <c r="C92" s="40">
        <v>0.56690369438639909</v>
      </c>
      <c r="D92" s="40">
        <v>0.58220640374832222</v>
      </c>
      <c r="E92" s="40">
        <v>0.61766752272189129</v>
      </c>
    </row>
    <row r="93" spans="2:5" x14ac:dyDescent="0.3">
      <c r="B93" s="39" t="s">
        <v>89</v>
      </c>
      <c r="C93" s="40">
        <v>0.43309630561360085</v>
      </c>
      <c r="D93" s="40">
        <v>0.41779359625167778</v>
      </c>
      <c r="E93" s="40">
        <v>0.38233247727810865</v>
      </c>
    </row>
    <row r="94" spans="2:5" x14ac:dyDescent="0.3">
      <c r="B94" s="41" t="s">
        <v>151</v>
      </c>
      <c r="C94" s="40">
        <v>6.657148363798665E-2</v>
      </c>
      <c r="D94" s="40">
        <v>5.9904269074427925E-2</v>
      </c>
      <c r="E94" s="40">
        <v>6.8309564140393061E-2</v>
      </c>
    </row>
    <row r="95" spans="2:5" x14ac:dyDescent="0.3">
      <c r="B95" s="42" t="s">
        <v>150</v>
      </c>
      <c r="C95" s="40">
        <v>6.3637378020328261E-2</v>
      </c>
      <c r="D95" s="40">
        <v>6.006555190163388E-2</v>
      </c>
      <c r="E95" s="40">
        <v>7.2549769593646979E-2</v>
      </c>
    </row>
    <row r="96" spans="2:5" x14ac:dyDescent="0.3">
      <c r="B96" s="39" t="s">
        <v>14</v>
      </c>
      <c r="C96" s="40">
        <v>0.30288744395528594</v>
      </c>
      <c r="D96" s="40">
        <v>0.29782377527561593</v>
      </c>
      <c r="E96" s="40">
        <v>0.24147314354406862</v>
      </c>
    </row>
    <row r="97" spans="2:5" x14ac:dyDescent="0.3">
      <c r="B97" s="39" t="s">
        <v>93</v>
      </c>
      <c r="C97" s="40">
        <v>0.25309640705199732</v>
      </c>
      <c r="D97" s="40">
        <v>0.25881793355694238</v>
      </c>
      <c r="E97" s="40">
        <v>0.20913611278072236</v>
      </c>
    </row>
    <row r="98" spans="2:5" x14ac:dyDescent="0.3">
      <c r="B98" s="39"/>
      <c r="C98" s="37"/>
      <c r="D98" s="37"/>
      <c r="E98" s="37"/>
    </row>
    <row r="99" spans="2:5" x14ac:dyDescent="0.3">
      <c r="B99" s="43" t="s">
        <v>98</v>
      </c>
      <c r="C99" s="37"/>
      <c r="D99" s="37"/>
      <c r="E99" s="37"/>
    </row>
    <row r="100" spans="2:5" x14ac:dyDescent="0.3">
      <c r="B100" s="39" t="s">
        <v>94</v>
      </c>
      <c r="C100" s="40">
        <v>0.16204461684424407</v>
      </c>
      <c r="D100" s="40">
        <v>0.13302260844085087</v>
      </c>
      <c r="E100" s="40">
        <v>0.14428164731484103</v>
      </c>
    </row>
    <row r="101" spans="2:5" x14ac:dyDescent="0.3">
      <c r="B101" s="39" t="s">
        <v>95</v>
      </c>
      <c r="C101" s="40">
        <v>0.10680702359457102</v>
      </c>
      <c r="D101" s="40">
        <v>0.10781346957631821</v>
      </c>
      <c r="E101" s="40">
        <v>0.13393075059650655</v>
      </c>
    </row>
    <row r="102" spans="2:5" x14ac:dyDescent="0.3">
      <c r="B102" s="39" t="s">
        <v>96</v>
      </c>
      <c r="C102" s="44">
        <v>0.19377501725327811</v>
      </c>
      <c r="D102" s="44">
        <v>0.18245237456399249</v>
      </c>
      <c r="E102" s="44">
        <v>0.20405716664354101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Mehul G</cp:lastModifiedBy>
  <dcterms:created xsi:type="dcterms:W3CDTF">2020-05-18T16:32:37Z</dcterms:created>
  <dcterms:modified xsi:type="dcterms:W3CDTF">2024-10-15T15:02:13Z</dcterms:modified>
</cp:coreProperties>
</file>