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mil\Downloads\Quill Capital Partners\Investment Analyst\"/>
    </mc:Choice>
  </mc:AlternateContent>
  <xr:revisionPtr revIDLastSave="0" documentId="13_ncr:1_{258B247C-F2F1-4489-8352-4CC98B28CCE7}" xr6:coauthVersionLast="47" xr6:coauthVersionMax="47" xr10:uidLastSave="{00000000-0000-0000-0000-000000000000}"/>
  <bookViews>
    <workbookView xWindow="-28920" yWindow="-105" windowWidth="29040" windowHeight="1644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" l="1"/>
  <c r="E57" i="3"/>
  <c r="D55" i="3"/>
  <c r="E55" i="3"/>
  <c r="C55" i="3"/>
  <c r="D45" i="3"/>
  <c r="E45" i="3"/>
  <c r="C45" i="3"/>
  <c r="C57" i="3" s="1"/>
  <c r="D44" i="3"/>
  <c r="E44" i="3"/>
  <c r="C44" i="3"/>
  <c r="D43" i="3"/>
  <c r="E43" i="3"/>
  <c r="C43" i="3"/>
  <c r="D42" i="3"/>
  <c r="E42" i="3"/>
  <c r="C42" i="3"/>
  <c r="D58" i="3"/>
  <c r="E58" i="3"/>
  <c r="C58" i="3"/>
  <c r="D59" i="3"/>
  <c r="E59" i="3"/>
  <c r="C59" i="3"/>
  <c r="D61" i="3"/>
  <c r="E61" i="3"/>
  <c r="C61" i="3"/>
  <c r="C54" i="3"/>
  <c r="D53" i="3"/>
  <c r="D54" i="3" s="1"/>
  <c r="E53" i="3"/>
  <c r="E54" i="3" s="1"/>
  <c r="C53" i="3"/>
  <c r="D52" i="3"/>
  <c r="E52" i="3"/>
  <c r="C52" i="3"/>
  <c r="D62" i="3"/>
  <c r="D51" i="3" s="1"/>
  <c r="E62" i="3"/>
  <c r="E51" i="3" s="1"/>
  <c r="C62" i="3"/>
  <c r="C63" i="3" s="1"/>
  <c r="C56" i="3" s="1"/>
  <c r="D49" i="3"/>
  <c r="E49" i="3"/>
  <c r="C49" i="3"/>
  <c r="D48" i="3"/>
  <c r="E48" i="3"/>
  <c r="C48" i="3"/>
  <c r="C116" i="1"/>
  <c r="D116" i="1"/>
  <c r="B116" i="1"/>
  <c r="C22" i="1"/>
  <c r="D22" i="1"/>
  <c r="B22" i="1"/>
  <c r="D38" i="3"/>
  <c r="E38" i="3"/>
  <c r="C38" i="3"/>
  <c r="D37" i="3"/>
  <c r="D36" i="3" s="1"/>
  <c r="E37" i="3"/>
  <c r="E36" i="3" s="1"/>
  <c r="C37" i="3"/>
  <c r="D39" i="3"/>
  <c r="E39" i="3"/>
  <c r="C39" i="3"/>
  <c r="D50" i="3" l="1"/>
  <c r="E50" i="3"/>
  <c r="D63" i="3"/>
  <c r="D56" i="3" s="1"/>
  <c r="C50" i="3"/>
  <c r="C51" i="3"/>
  <c r="E63" i="3"/>
  <c r="E56" i="3" s="1"/>
  <c r="C36" i="3"/>
  <c r="B20" i="3" l="1"/>
  <c r="B19" i="3"/>
  <c r="D88" i="3"/>
  <c r="D89" i="3"/>
  <c r="C89" i="3"/>
  <c r="C88" i="3"/>
  <c r="C86" i="3"/>
  <c r="D86" i="3"/>
  <c r="C83" i="3"/>
  <c r="D83" i="3"/>
  <c r="C84" i="3"/>
  <c r="D84" i="3"/>
  <c r="C85" i="3"/>
  <c r="D85" i="3"/>
  <c r="D82" i="3"/>
  <c r="C82" i="3"/>
  <c r="C80" i="3"/>
  <c r="D80" i="3"/>
  <c r="C81" i="3"/>
  <c r="D81" i="3"/>
  <c r="D79" i="3"/>
  <c r="C79" i="3"/>
  <c r="C78" i="3"/>
  <c r="D78" i="3"/>
  <c r="C77" i="3"/>
  <c r="D77" i="3"/>
  <c r="C76" i="3"/>
  <c r="D76" i="3"/>
  <c r="D75" i="3"/>
  <c r="C75" i="3"/>
  <c r="C74" i="3"/>
  <c r="D74" i="3"/>
  <c r="D73" i="3"/>
  <c r="C73" i="3"/>
  <c r="B80" i="3"/>
  <c r="B81" i="3"/>
  <c r="B79" i="3"/>
  <c r="B78" i="3"/>
  <c r="B74" i="3"/>
  <c r="B75" i="3"/>
  <c r="B76" i="3"/>
  <c r="B77" i="3"/>
  <c r="B73" i="3"/>
  <c r="C72" i="3"/>
  <c r="D72" i="3"/>
  <c r="D71" i="3"/>
  <c r="C71" i="3"/>
  <c r="C68" i="3"/>
  <c r="D68" i="3"/>
  <c r="D67" i="3"/>
  <c r="C67" i="3"/>
  <c r="B90" i="3"/>
  <c r="B88" i="3"/>
  <c r="B89" i="3"/>
  <c r="B87" i="3"/>
  <c r="B86" i="3"/>
  <c r="B83" i="3"/>
  <c r="B84" i="3"/>
  <c r="B85" i="3"/>
  <c r="B82" i="3"/>
  <c r="B72" i="3"/>
  <c r="B71" i="3"/>
  <c r="D109" i="1" l="1"/>
  <c r="C109" i="1"/>
  <c r="B109" i="1"/>
  <c r="D100" i="1"/>
  <c r="C100" i="1"/>
  <c r="B100" i="1"/>
  <c r="D69" i="1" l="1"/>
  <c r="C69" i="1"/>
  <c r="B69" i="1"/>
  <c r="D62" i="1"/>
  <c r="C62" i="1"/>
  <c r="B62" i="1"/>
  <c r="D57" i="1"/>
  <c r="C57" i="1"/>
  <c r="B57" i="1"/>
  <c r="D48" i="1"/>
  <c r="C48" i="1"/>
  <c r="B48" i="1"/>
  <c r="D43" i="1"/>
  <c r="C43" i="1"/>
  <c r="B43" i="1"/>
  <c r="D17" i="1"/>
  <c r="E8" i="3" s="1"/>
  <c r="C17" i="1"/>
  <c r="D8" i="3" s="1"/>
  <c r="B17" i="1"/>
  <c r="C8" i="3" s="1"/>
  <c r="D12" i="1"/>
  <c r="C12" i="1"/>
  <c r="B12" i="1"/>
  <c r="D8" i="1"/>
  <c r="C8" i="1"/>
  <c r="B8" i="1"/>
  <c r="E3" i="3"/>
  <c r="D3" i="3"/>
  <c r="C3" i="3"/>
  <c r="D34" i="1"/>
  <c r="D74" i="1" s="1"/>
  <c r="C34" i="1"/>
  <c r="C74" i="1" s="1"/>
  <c r="B34" i="1"/>
  <c r="B74" i="1" s="1"/>
  <c r="C13" i="1" l="1"/>
  <c r="D11" i="3"/>
  <c r="D20" i="3"/>
  <c r="D69" i="3"/>
  <c r="D19" i="3"/>
  <c r="E11" i="3"/>
  <c r="E19" i="3"/>
  <c r="E20" i="3"/>
  <c r="C7" i="3"/>
  <c r="C6" i="3"/>
  <c r="E6" i="3"/>
  <c r="E7" i="3"/>
  <c r="C10" i="3"/>
  <c r="C9" i="3"/>
  <c r="C18" i="3"/>
  <c r="E10" i="3"/>
  <c r="E9" i="3"/>
  <c r="E18" i="3"/>
  <c r="C90" i="3"/>
  <c r="C31" i="3"/>
  <c r="C29" i="3"/>
  <c r="D90" i="3"/>
  <c r="D31" i="3"/>
  <c r="D29" i="3"/>
  <c r="C63" i="1"/>
  <c r="C70" i="1" s="1"/>
  <c r="D6" i="3"/>
  <c r="D7" i="3"/>
  <c r="E31" i="3"/>
  <c r="E29" i="3"/>
  <c r="E14" i="3"/>
  <c r="E13" i="3" s="1"/>
  <c r="E5" i="3"/>
  <c r="D10" i="3"/>
  <c r="D9" i="3"/>
  <c r="D18" i="3"/>
  <c r="D13" i="1"/>
  <c r="B49" i="1"/>
  <c r="C30" i="3" s="1"/>
  <c r="C14" i="3"/>
  <c r="C13" i="3" s="1"/>
  <c r="C5" i="3"/>
  <c r="B13" i="1"/>
  <c r="C11" i="3"/>
  <c r="C20" i="3"/>
  <c r="C19" i="3"/>
  <c r="C69" i="3"/>
  <c r="D14" i="3"/>
  <c r="D13" i="3" s="1"/>
  <c r="D5" i="3"/>
  <c r="B63" i="1"/>
  <c r="B70" i="1" s="1"/>
  <c r="B18" i="1"/>
  <c r="C49" i="1"/>
  <c r="D30" i="3" s="1"/>
  <c r="D63" i="1"/>
  <c r="D70" i="1" s="1"/>
  <c r="D49" i="1"/>
  <c r="E30" i="3" s="1"/>
  <c r="A55" i="3"/>
  <c r="A57" i="3" s="1"/>
  <c r="A16" i="3"/>
  <c r="A17" i="3" s="1"/>
  <c r="A5" i="3"/>
  <c r="A6" i="3" s="1"/>
  <c r="A7" i="3" s="1"/>
  <c r="A8" i="3" s="1"/>
  <c r="A9" i="3" s="1"/>
  <c r="A10" i="3" s="1"/>
  <c r="A11" i="3" s="1"/>
  <c r="A12" i="3" s="1"/>
  <c r="A13" i="3" s="1"/>
  <c r="B20" i="1" l="1"/>
  <c r="B23" i="1" s="1"/>
  <c r="C24" i="3"/>
  <c r="C22" i="3"/>
  <c r="C21" i="3" s="1"/>
  <c r="D18" i="1"/>
  <c r="E17" i="3"/>
  <c r="C70" i="3"/>
  <c r="C17" i="3"/>
  <c r="C12" i="3"/>
  <c r="D12" i="3"/>
  <c r="E12" i="3"/>
  <c r="C18" i="1"/>
  <c r="D70" i="3"/>
  <c r="D17" i="3"/>
  <c r="A18" i="3"/>
  <c r="A19" i="3" s="1"/>
  <c r="A20" i="3" s="1"/>
  <c r="A21" i="3" s="1"/>
  <c r="A23" i="3" s="1"/>
  <c r="A24" i="3" s="1"/>
  <c r="A25" i="3" s="1"/>
  <c r="A28" i="3"/>
  <c r="A29" i="3" s="1"/>
  <c r="A30" i="3" s="1"/>
  <c r="A31" i="3" s="1"/>
  <c r="A32" i="3" s="1"/>
  <c r="A33" i="3" s="1"/>
  <c r="A34" i="3" s="1"/>
  <c r="D20" i="1" l="1"/>
  <c r="D23" i="1" s="1"/>
  <c r="E24" i="3"/>
  <c r="E22" i="3"/>
  <c r="E21" i="3" s="1"/>
  <c r="C20" i="1"/>
  <c r="C23" i="1" s="1"/>
  <c r="D22" i="3"/>
  <c r="D21" i="3" s="1"/>
  <c r="D24" i="3"/>
  <c r="C32" i="3"/>
  <c r="C23" i="3"/>
  <c r="B77" i="1"/>
  <c r="B92" i="1" s="1"/>
  <c r="C35" i="3"/>
  <c r="C34" i="3" s="1"/>
  <c r="C25" i="3"/>
  <c r="A41" i="3"/>
  <c r="A47" i="3" s="1"/>
  <c r="C77" i="1" l="1"/>
  <c r="C92" i="1" s="1"/>
  <c r="D35" i="3"/>
  <c r="D34" i="3" s="1"/>
  <c r="D25" i="3"/>
  <c r="B110" i="1"/>
  <c r="C33" i="3"/>
  <c r="E32" i="3"/>
  <c r="E23" i="3"/>
  <c r="D32" i="3"/>
  <c r="D23" i="3"/>
  <c r="D77" i="1"/>
  <c r="D92" i="1" s="1"/>
  <c r="E35" i="3"/>
  <c r="E34" i="3" s="1"/>
  <c r="E25" i="3"/>
  <c r="A42" i="3"/>
  <c r="A43" i="3" s="1"/>
  <c r="A44" i="3" s="1"/>
  <c r="A45" i="3" s="1"/>
  <c r="A48" i="3"/>
  <c r="A49" i="3" s="1"/>
  <c r="A50" i="3" s="1"/>
  <c r="A51" i="3" s="1"/>
  <c r="A52" i="3" s="1"/>
  <c r="A54" i="3" s="1"/>
  <c r="A56" i="3" s="1"/>
  <c r="A58" i="3" s="1"/>
  <c r="A66" i="3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D110" i="1" l="1"/>
  <c r="E33" i="3"/>
  <c r="C110" i="1"/>
  <c r="D33" i="3"/>
</calcChain>
</file>

<file path=xl/sharedStrings.xml><?xml version="1.0" encoding="utf-8"?>
<sst xmlns="http://schemas.openxmlformats.org/spreadsheetml/2006/main" count="202" uniqueCount="178">
  <si>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</si>
  <si>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</si>
  <si>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</si>
  <si>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</si>
  <si>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</si>
  <si>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</si>
  <si>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</si>
  <si>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</si>
  <si>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</si>
  <si>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</si>
  <si>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</si>
  <si>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</si>
  <si>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</si>
  <si>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</si>
  <si>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</si>
  <si>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</si>
  <si>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</si>
  <si>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</si>
  <si>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</si>
  <si>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</si>
  <si>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</si>
  <si>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</si>
  <si>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</si>
  <si>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</si>
  <si>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</si>
  <si>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</si>
  <si>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</si>
  <si>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</si>
  <si>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</si>
  <si>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</si>
  <si>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</si>
  <si>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</si>
  <si>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</si>
  <si>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</si>
  <si>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</si>
  <si>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</si>
  <si>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</si>
  <si>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</si>
  <si>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</si>
  <si>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</si>
  <si>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</si>
  <si>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</si>
  <si>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</si>
  <si>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</si>
  <si>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</si>
  <si>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</si>
  <si>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</si>
  <si>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</si>
  <si>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</si>
  <si>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</si>
  <si>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</si>
  <si>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</si>
  <si>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</si>
  <si>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</si>
  <si>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</si>
  <si>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</si>
  <si>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</si>
  <si>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</si>
  <si>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</si>
  <si>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</si>
  <si>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</si>
  <si>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</si>
  <si>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</si>
  <si>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</si>
  <si>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</si>
  <si>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</si>
  <si>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</si>
  <si>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</si>
  <si>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</si>
  <si>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</si>
  <si>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</si>
  <si>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</si>
  <si>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</si>
  <si>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</si>
  <si>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</si>
  <si>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</si>
  <si>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</si>
  <si>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</si>
  <si>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</si>
  <si>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</si>
  <si>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</si>
  <si>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</si>
  <si>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</si>
  <si>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</si>
  <si>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</si>
  <si>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</si>
  <si>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</si>
  <si>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</si>
  <si>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</si>
  <si>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</si>
  <si>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</si>
  <si>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</si>
  <si>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</si>
  <si>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</si>
  <si>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</si>
  <si>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</si>
  <si>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</si>
  <si>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</si>
  <si>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</si>
  <si>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</si>
  <si>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</si>
  <si>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</si>
  <si>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</si>
  <si>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</si>
  <si>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</si>
  <si>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</si>
  <si>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</si>
  <si>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</si>
  <si>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</si>
  <si>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</si>
  <si>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</si>
  <si>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</si>
  <si>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</si>
  <si>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</si>
  <si>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</si>
  <si>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</si>
  <si>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</si>
  <si>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</si>
  <si>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</si>
  <si>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</si>
  <si>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</si>
  <si>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</si>
  <si>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</si>
  <si>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</si>
  <si>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</si>
  <si>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</si>
  <si>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</si>
  <si>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</si>
  <si>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</si>
  <si>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</si>
  <si>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</si>
  <si>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</si>
  <si>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</si>
  <si>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</si>
  <si>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</si>
  <si>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</si>
  <si>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</si>
  <si>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</si>
  <si>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</si>
  <si>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</si>
  <si>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</si>
  <si>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</si>
  <si>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</si>
  <si>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</si>
  <si>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</si>
  <si>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</si>
  <si>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</si>
  <si>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</si>
  <si>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</si>
  <si>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</si>
  <si>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FCFE =</t>
  </si>
  <si>
    <t>Growth rates</t>
  </si>
  <si>
    <t xml:space="preserve">Product sales </t>
  </si>
  <si>
    <t>Services sales</t>
  </si>
  <si>
    <t>Net sales</t>
  </si>
  <si>
    <t>COGS margin</t>
  </si>
  <si>
    <t>Ending inventory/COGS *360</t>
  </si>
  <si>
    <t>Ending payable/cogs * 360</t>
  </si>
  <si>
    <t>Ending receivables/net sales * 360</t>
  </si>
  <si>
    <t xml:space="preserve">Working Capital = Current Assets - Current Liabilities </t>
  </si>
  <si>
    <t>Defensive interval = Current assets (excluding inventory)/Daily operating expenses</t>
  </si>
  <si>
    <t>Receivable days + inventory days - payable days</t>
  </si>
  <si>
    <t>Operating Cash Flow/Total Debt</t>
  </si>
  <si>
    <t>NI + D&amp;A - Capex + Delta OWC + Delta Borrowings</t>
  </si>
  <si>
    <t>OWC</t>
  </si>
  <si>
    <t xml:space="preserve">Total debt </t>
  </si>
  <si>
    <t>Operating current assets</t>
  </si>
  <si>
    <t>Operating current liabilities</t>
  </si>
  <si>
    <t>Effective tax rate</t>
  </si>
  <si>
    <t>Cash flow generated tax rate</t>
  </si>
  <si>
    <t>Share price at fiscal year end</t>
  </si>
  <si>
    <t xml:space="preserve">Book Value </t>
  </si>
  <si>
    <t>Capital employed</t>
  </si>
  <si>
    <t>Diluted shares outstanding</t>
  </si>
  <si>
    <t>Revenue/Total Assets</t>
  </si>
  <si>
    <t>Revenue/Net Fixed assets</t>
  </si>
  <si>
    <t>COGS/Inventory</t>
  </si>
  <si>
    <t>Net income/total assets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</si>
</sst>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"/>
    <numFmt numFmtId="168" formatCode="#,##0.0\ &quot;x&quot;"/>
    <numFmt numFmtId="171" formatCode="0.0%"/>
    <numFmt numFmtId="172" formatCode="#,##0.0_);[Red]\(#,##0.0\);\-"/>
    <numFmt numFmtId="173" formatCode="0.00%_);[Red]\(0.00%\)"/>
    <numFmt numFmtId="175" formatCode="#,##0.00\ &quot;x&quot;"/>
    <numFmt numFmtId="179" formatCode="#,##0.00_);[Red]\(#,##0.00\);\-"/>
    <numFmt numFmtId="180" formatCode="#,##0.000_);[Red]\(#,##0.0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172" fontId="0" fillId="0" borderId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3" fontId="1" fillId="0" borderId="0" applyFont="0" applyFill="0" applyBorder="0" applyAlignment="0" applyProtection="0"/>
  </cellStyleXfs>
  <cellXfs count="32">
    <xf numFmtId="172" fontId="0" fillId="0" borderId="0" xfId="0"/>
    <xf numFmtId="172" fontId="0" fillId="0" borderId="0" xfId="0" applyAlignment="1">
      <alignment horizontal="left" indent="1"/>
    </xf>
    <xf numFmtId="3" fontId="0" fillId="0" borderId="0" xfId="0" applyNumberFormat="1"/>
    <xf numFmtId="172" fontId="0" fillId="0" borderId="0" xfId="0" applyAlignment="1">
      <alignment horizontal="left" indent="2"/>
    </xf>
    <xf numFmtId="172" fontId="3" fillId="2" borderId="0" xfId="0" applyFont="1" applyFill="1"/>
    <xf numFmtId="172" fontId="4" fillId="2" borderId="0" xfId="0" applyFont="1" applyFill="1"/>
    <xf numFmtId="172" fontId="5" fillId="2" borderId="0" xfId="0" applyFont="1" applyFill="1" applyAlignment="1">
      <alignment vertical="center"/>
    </xf>
    <xf numFmtId="172" fontId="2" fillId="0" borderId="0" xfId="0" applyFont="1"/>
    <xf numFmtId="172" fontId="2" fillId="0" borderId="1" xfId="0" applyFont="1" applyBorder="1"/>
    <xf numFmtId="172" fontId="2" fillId="0" borderId="2" xfId="0" applyFont="1" applyBorder="1"/>
    <xf numFmtId="172" fontId="0" fillId="4" borderId="0" xfId="0" applyFill="1"/>
    <xf numFmtId="172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172" fontId="2" fillId="0" borderId="0" xfId="0" applyFont="1" applyAlignment="1">
      <alignment horizontal="left"/>
    </xf>
    <xf numFmtId="165" fontId="0" fillId="0" borderId="0" xfId="0" applyNumberFormat="1"/>
    <xf numFmtId="172" fontId="3" fillId="2" borderId="0" xfId="0" applyFont="1" applyFill="1" applyAlignment="1">
      <alignment horizontal="center"/>
    </xf>
    <xf numFmtId="172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172" fontId="2" fillId="0" borderId="3" xfId="0" applyFont="1" applyBorder="1" applyAlignment="1">
      <alignment horizontal="left"/>
    </xf>
    <xf numFmtId="172" fontId="2" fillId="0" borderId="0" xfId="0" applyFont="1" applyAlignment="1">
      <alignment horizontal="center"/>
    </xf>
    <xf numFmtId="172" fontId="2" fillId="3" borderId="0" xfId="0" applyFont="1" applyFill="1" applyAlignment="1">
      <alignment horizontal="center"/>
    </xf>
    <xf numFmtId="168" fontId="0" fillId="0" borderId="0" xfId="0" applyNumberFormat="1"/>
    <xf numFmtId="173" fontId="0" fillId="0" borderId="0" xfId="3" applyFont="1"/>
    <xf numFmtId="171" fontId="0" fillId="0" borderId="0" xfId="3" applyNumberFormat="1" applyFont="1"/>
    <xf numFmtId="175" fontId="0" fillId="0" borderId="0" xfId="0" applyNumberFormat="1"/>
    <xf numFmtId="172" fontId="0" fillId="0" borderId="0" xfId="0" applyFont="1" applyFill="1" applyBorder="1"/>
    <xf numFmtId="179" fontId="0" fillId="0" borderId="0" xfId="0" applyNumberFormat="1"/>
    <xf numFmtId="180" fontId="0" fillId="0" borderId="0" xfId="0" applyNumberFormat="1"/>
  </cellXfs>
  <cellStyles count="4">
    <cellStyle name="Comma" xfId="1" builtinId="3"/>
    <cellStyle name="Hyperlink" xfId="2" builtinId="8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220" zoomScaleNormal="220" workbookViewId="0">
      <selection activeCell="B9" sqref="B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abSelected="1" zoomScale="145" zoomScaleNormal="145" workbookViewId="0">
      <selection activeCell="D11" sqref="D11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E6" s="27"/>
      <c r="F6" s="27"/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  <c r="E7" s="27"/>
      <c r="F7" s="27"/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x14ac:dyDescent="0.25">
      <c r="A22" s="29" t="s">
        <v>168</v>
      </c>
      <c r="B22" s="26">
        <f>B21/B20</f>
        <v>0.16204461684424407</v>
      </c>
      <c r="C22" s="26">
        <f t="shared" ref="C22:D22" si="7">C21/C20</f>
        <v>0.13302260844085087</v>
      </c>
      <c r="D22" s="26">
        <f t="shared" si="7"/>
        <v>0.14428164731484103</v>
      </c>
    </row>
    <row r="23" spans="1:4" ht="15.75" thickBot="1" x14ac:dyDescent="0.3">
      <c r="A23" s="9" t="s">
        <v>18</v>
      </c>
      <c r="B23" s="14">
        <f>+B20-B21</f>
        <v>99803</v>
      </c>
      <c r="C23" s="14">
        <f t="shared" ref="C23:D23" si="8">+C20-C21</f>
        <v>94680</v>
      </c>
      <c r="D23" s="14">
        <f t="shared" si="8"/>
        <v>57411</v>
      </c>
    </row>
    <row r="24" spans="1:4" ht="15.75" thickTop="1" x14ac:dyDescent="0.25">
      <c r="A24" t="s">
        <v>19</v>
      </c>
    </row>
    <row r="25" spans="1:4" x14ac:dyDescent="0.25">
      <c r="A25" s="1" t="s">
        <v>20</v>
      </c>
      <c r="B25" s="10">
        <v>6.15</v>
      </c>
      <c r="C25" s="10">
        <v>5.67</v>
      </c>
      <c r="D25" s="10">
        <v>3.31</v>
      </c>
    </row>
    <row r="26" spans="1:4" x14ac:dyDescent="0.25">
      <c r="A26" s="1" t="s">
        <v>21</v>
      </c>
      <c r="B26" s="10">
        <v>6.11</v>
      </c>
      <c r="C26" s="10">
        <v>5.61</v>
      </c>
      <c r="D26" s="10">
        <v>3.28</v>
      </c>
    </row>
    <row r="27" spans="1:4" x14ac:dyDescent="0.25">
      <c r="A27" t="s">
        <v>22</v>
      </c>
    </row>
    <row r="28" spans="1:4" x14ac:dyDescent="0.25">
      <c r="A28" s="1" t="s">
        <v>20</v>
      </c>
      <c r="B28" s="2">
        <v>16215963</v>
      </c>
      <c r="C28" s="2">
        <v>16701272</v>
      </c>
      <c r="D28" s="2">
        <v>17352119</v>
      </c>
    </row>
    <row r="29" spans="1:4" x14ac:dyDescent="0.25">
      <c r="A29" s="1" t="s">
        <v>21</v>
      </c>
      <c r="B29" s="2">
        <v>16325819</v>
      </c>
      <c r="C29" s="2">
        <v>16864919</v>
      </c>
      <c r="D29" s="2">
        <v>17528214</v>
      </c>
    </row>
    <row r="32" spans="1:4" x14ac:dyDescent="0.25">
      <c r="A32" s="24" t="s">
        <v>24</v>
      </c>
      <c r="B32" s="24"/>
      <c r="C32" s="24"/>
      <c r="D32" s="24"/>
    </row>
    <row r="33" spans="1:4" x14ac:dyDescent="0.25">
      <c r="B33" s="23" t="s">
        <v>142</v>
      </c>
      <c r="C33" s="23"/>
      <c r="D33" s="23"/>
    </row>
    <row r="34" spans="1:4" x14ac:dyDescent="0.25">
      <c r="B34" s="7">
        <f>+B4</f>
        <v>2022</v>
      </c>
      <c r="C34" s="7">
        <f t="shared" ref="C34:D34" si="9">+C4</f>
        <v>2021</v>
      </c>
      <c r="D34" s="7">
        <f t="shared" si="9"/>
        <v>2020</v>
      </c>
    </row>
    <row r="36" spans="1:4" x14ac:dyDescent="0.25">
      <c r="A36" t="s">
        <v>25</v>
      </c>
    </row>
    <row r="37" spans="1:4" x14ac:dyDescent="0.25">
      <c r="A37" s="1" t="s">
        <v>26</v>
      </c>
      <c r="B37" s="12">
        <v>23646</v>
      </c>
      <c r="C37" s="12">
        <v>34940</v>
      </c>
      <c r="D37" s="12">
        <v>38016</v>
      </c>
    </row>
    <row r="38" spans="1:4" x14ac:dyDescent="0.25">
      <c r="A38" s="1" t="s">
        <v>27</v>
      </c>
      <c r="B38" s="12">
        <v>24658</v>
      </c>
      <c r="C38" s="12">
        <v>27699</v>
      </c>
      <c r="D38" s="12">
        <v>52927</v>
      </c>
    </row>
    <row r="39" spans="1:4" x14ac:dyDescent="0.25">
      <c r="A39" s="1" t="s">
        <v>28</v>
      </c>
      <c r="B39" s="12">
        <v>28184</v>
      </c>
      <c r="C39" s="12">
        <v>26278</v>
      </c>
      <c r="D39" s="12">
        <v>16120</v>
      </c>
    </row>
    <row r="40" spans="1:4" x14ac:dyDescent="0.25">
      <c r="A40" s="1" t="s">
        <v>29</v>
      </c>
      <c r="B40" s="12">
        <v>4946</v>
      </c>
      <c r="C40" s="12">
        <v>6580</v>
      </c>
      <c r="D40" s="12">
        <v>4061</v>
      </c>
    </row>
    <row r="41" spans="1:4" x14ac:dyDescent="0.25">
      <c r="A41" s="1" t="s">
        <v>47</v>
      </c>
      <c r="B41" s="12">
        <v>32748</v>
      </c>
      <c r="C41" s="12">
        <v>25228</v>
      </c>
      <c r="D41" s="12">
        <v>21325</v>
      </c>
    </row>
    <row r="42" spans="1:4" x14ac:dyDescent="0.25">
      <c r="A42" s="1" t="s">
        <v>30</v>
      </c>
      <c r="B42" s="12">
        <v>21223</v>
      </c>
      <c r="C42" s="12">
        <v>14111</v>
      </c>
      <c r="D42" s="12">
        <v>11264</v>
      </c>
    </row>
    <row r="43" spans="1:4" x14ac:dyDescent="0.25">
      <c r="A43" s="8" t="s">
        <v>31</v>
      </c>
      <c r="B43" s="13">
        <f>+SUM(B37:B42)</f>
        <v>135405</v>
      </c>
      <c r="C43" s="13">
        <f t="shared" ref="C43:D43" si="10">+SUM(C37:C42)</f>
        <v>134836</v>
      </c>
      <c r="D43" s="13">
        <f t="shared" si="10"/>
        <v>143713</v>
      </c>
    </row>
    <row r="44" spans="1:4" x14ac:dyDescent="0.25">
      <c r="A44" t="s">
        <v>48</v>
      </c>
      <c r="B44" s="12"/>
      <c r="C44" s="12"/>
      <c r="D44" s="12"/>
    </row>
    <row r="45" spans="1:4" x14ac:dyDescent="0.25">
      <c r="A45" s="1" t="s">
        <v>27</v>
      </c>
      <c r="B45" s="12">
        <v>120805</v>
      </c>
      <c r="C45" s="12">
        <v>127877</v>
      </c>
      <c r="D45" s="12">
        <v>100887</v>
      </c>
    </row>
    <row r="46" spans="1:4" x14ac:dyDescent="0.25">
      <c r="A46" s="1" t="s">
        <v>32</v>
      </c>
      <c r="B46" s="12">
        <v>42117</v>
      </c>
      <c r="C46" s="12">
        <v>39440</v>
      </c>
      <c r="D46" s="12">
        <v>36766</v>
      </c>
    </row>
    <row r="47" spans="1:4" x14ac:dyDescent="0.25">
      <c r="A47" s="1" t="s">
        <v>49</v>
      </c>
      <c r="B47" s="12">
        <v>54428</v>
      </c>
      <c r="C47" s="12">
        <v>48849</v>
      </c>
      <c r="D47" s="12">
        <v>42522</v>
      </c>
    </row>
    <row r="48" spans="1:4" x14ac:dyDescent="0.25">
      <c r="A48" s="8" t="s">
        <v>50</v>
      </c>
      <c r="B48" s="13">
        <f>+SUM(B45:B47)</f>
        <v>217350</v>
      </c>
      <c r="C48" s="13">
        <f t="shared" ref="C48:D48" si="11">+SUM(C45:C47)</f>
        <v>216166</v>
      </c>
      <c r="D48" s="13">
        <f t="shared" si="11"/>
        <v>180175</v>
      </c>
    </row>
    <row r="49" spans="1:4" ht="15.75" thickBot="1" x14ac:dyDescent="0.3">
      <c r="A49" s="9" t="s">
        <v>33</v>
      </c>
      <c r="B49" s="14">
        <f>+B43+B48</f>
        <v>352755</v>
      </c>
      <c r="C49" s="14">
        <f t="shared" ref="C49:D49" si="12">+C43+C48</f>
        <v>351002</v>
      </c>
      <c r="D49" s="14">
        <f t="shared" si="12"/>
        <v>323888</v>
      </c>
    </row>
    <row r="50" spans="1:4" ht="15.75" thickTop="1" x14ac:dyDescent="0.25"/>
    <row r="51" spans="1:4" x14ac:dyDescent="0.25">
      <c r="A51" t="s">
        <v>34</v>
      </c>
    </row>
    <row r="52" spans="1:4" x14ac:dyDescent="0.25">
      <c r="A52" s="1" t="s">
        <v>35</v>
      </c>
      <c r="B52" s="12">
        <v>64115</v>
      </c>
      <c r="C52" s="12">
        <v>54763</v>
      </c>
      <c r="D52" s="12">
        <v>42296</v>
      </c>
    </row>
    <row r="53" spans="1:4" x14ac:dyDescent="0.25">
      <c r="A53" s="1" t="s">
        <v>36</v>
      </c>
      <c r="B53" s="12">
        <v>60845</v>
      </c>
      <c r="C53" s="12">
        <v>47493</v>
      </c>
      <c r="D53" s="12">
        <v>42684</v>
      </c>
    </row>
    <row r="54" spans="1:4" x14ac:dyDescent="0.25">
      <c r="A54" s="1" t="s">
        <v>37</v>
      </c>
      <c r="B54" s="12">
        <v>7912</v>
      </c>
      <c r="C54" s="12">
        <v>7612</v>
      </c>
      <c r="D54" s="12">
        <v>6643</v>
      </c>
    </row>
    <row r="55" spans="1:4" x14ac:dyDescent="0.25">
      <c r="A55" s="1" t="s">
        <v>38</v>
      </c>
      <c r="B55" s="12">
        <v>9982</v>
      </c>
      <c r="C55" s="12">
        <v>6000</v>
      </c>
      <c r="D55" s="12">
        <v>4996</v>
      </c>
    </row>
    <row r="56" spans="1:4" x14ac:dyDescent="0.25">
      <c r="A56" s="1" t="s">
        <v>39</v>
      </c>
      <c r="B56" s="12">
        <v>11128</v>
      </c>
      <c r="C56" s="12">
        <v>9613</v>
      </c>
      <c r="D56" s="12">
        <v>8773</v>
      </c>
    </row>
    <row r="57" spans="1:4" x14ac:dyDescent="0.25">
      <c r="A57" s="8" t="s">
        <v>40</v>
      </c>
      <c r="B57" s="13">
        <f>+SUM(B52:B56)</f>
        <v>153982</v>
      </c>
      <c r="C57" s="13">
        <f t="shared" ref="C57:D57" si="13">+SUM(C52:C56)</f>
        <v>125481</v>
      </c>
      <c r="D57" s="13">
        <f t="shared" si="13"/>
        <v>105392</v>
      </c>
    </row>
    <row r="58" spans="1:4" x14ac:dyDescent="0.25">
      <c r="A58" t="s">
        <v>51</v>
      </c>
      <c r="B58" s="12"/>
      <c r="C58" s="12"/>
      <c r="D58" s="12"/>
    </row>
    <row r="59" spans="1:4" x14ac:dyDescent="0.25">
      <c r="A59" s="1" t="s">
        <v>37</v>
      </c>
      <c r="B59" s="12"/>
      <c r="C59" s="12"/>
      <c r="D59" s="12"/>
    </row>
    <row r="60" spans="1:4" x14ac:dyDescent="0.25">
      <c r="A60" s="1" t="s">
        <v>39</v>
      </c>
      <c r="B60" s="12">
        <v>98959</v>
      </c>
      <c r="C60" s="12">
        <v>109106</v>
      </c>
      <c r="D60" s="12">
        <v>98667</v>
      </c>
    </row>
    <row r="61" spans="1:4" x14ac:dyDescent="0.25">
      <c r="A61" s="1" t="s">
        <v>52</v>
      </c>
      <c r="B61" s="12">
        <v>49142</v>
      </c>
      <c r="C61" s="12">
        <v>53325</v>
      </c>
      <c r="D61" s="12">
        <v>54490</v>
      </c>
    </row>
    <row r="62" spans="1:4" x14ac:dyDescent="0.25">
      <c r="A62" s="22" t="s">
        <v>53</v>
      </c>
      <c r="B62" s="21">
        <f>+B60+B61</f>
        <v>148101</v>
      </c>
      <c r="C62" s="21">
        <f t="shared" ref="C62:D62" si="14">+C60+C61</f>
        <v>162431</v>
      </c>
      <c r="D62" s="21">
        <f t="shared" si="14"/>
        <v>153157</v>
      </c>
    </row>
    <row r="63" spans="1:4" x14ac:dyDescent="0.25">
      <c r="A63" s="8" t="s">
        <v>41</v>
      </c>
      <c r="B63" s="13">
        <f>+B57+B62</f>
        <v>302083</v>
      </c>
      <c r="C63" s="13">
        <f t="shared" ref="C63:D63" si="15">+C57+C62</f>
        <v>287912</v>
      </c>
      <c r="D63" s="13">
        <f t="shared" si="15"/>
        <v>258549</v>
      </c>
    </row>
    <row r="64" spans="1:4" x14ac:dyDescent="0.25">
      <c r="B64" s="12"/>
      <c r="C64" s="12"/>
      <c r="D64" s="12"/>
    </row>
    <row r="65" spans="1:4" x14ac:dyDescent="0.25">
      <c r="A65" t="s">
        <v>42</v>
      </c>
      <c r="B65" s="12"/>
      <c r="C65" s="12"/>
      <c r="D65" s="12"/>
    </row>
    <row r="66" spans="1:4" x14ac:dyDescent="0.25">
      <c r="A66" s="1" t="s">
        <v>54</v>
      </c>
      <c r="B66" s="12">
        <v>64849</v>
      </c>
      <c r="C66" s="12">
        <v>57365</v>
      </c>
      <c r="D66" s="12">
        <v>50779</v>
      </c>
    </row>
    <row r="67" spans="1:4" x14ac:dyDescent="0.25">
      <c r="A67" s="1" t="s">
        <v>43</v>
      </c>
      <c r="B67" s="12">
        <v>-3068</v>
      </c>
      <c r="C67" s="12">
        <v>5562</v>
      </c>
      <c r="D67" s="12">
        <v>14966</v>
      </c>
    </row>
    <row r="68" spans="1:4" x14ac:dyDescent="0.25">
      <c r="A68" s="1" t="s">
        <v>44</v>
      </c>
      <c r="B68" s="12">
        <v>-11109</v>
      </c>
      <c r="C68" s="12">
        <v>163</v>
      </c>
      <c r="D68" s="12">
        <v>-406</v>
      </c>
    </row>
    <row r="69" spans="1:4" x14ac:dyDescent="0.25">
      <c r="A69" s="8" t="s">
        <v>45</v>
      </c>
      <c r="B69" s="13">
        <f>+SUM(B66:B68)</f>
        <v>50672</v>
      </c>
      <c r="C69" s="13">
        <f t="shared" ref="C69:D69" si="16">+SUM(C66:C68)</f>
        <v>63090</v>
      </c>
      <c r="D69" s="13">
        <f t="shared" si="16"/>
        <v>65339</v>
      </c>
    </row>
    <row r="70" spans="1:4" ht="15.75" thickBot="1" x14ac:dyDescent="0.3">
      <c r="A70" s="9" t="s">
        <v>46</v>
      </c>
      <c r="B70" s="14">
        <f>+B69+B63</f>
        <v>352755</v>
      </c>
      <c r="C70" s="14">
        <f t="shared" ref="C70:D70" si="17">+C69+C63</f>
        <v>351002</v>
      </c>
      <c r="D70" s="14">
        <f t="shared" si="17"/>
        <v>323888</v>
      </c>
    </row>
    <row r="71" spans="1:4" ht="15.75" thickTop="1" x14ac:dyDescent="0.25"/>
    <row r="72" spans="1:4" x14ac:dyDescent="0.25">
      <c r="A72" s="24" t="s">
        <v>55</v>
      </c>
      <c r="B72" s="24"/>
      <c r="C72" s="24"/>
      <c r="D72" s="24"/>
    </row>
    <row r="73" spans="1:4" x14ac:dyDescent="0.25">
      <c r="B73" s="23" t="s">
        <v>23</v>
      </c>
      <c r="C73" s="23"/>
      <c r="D73" s="23"/>
    </row>
    <row r="74" spans="1:4" x14ac:dyDescent="0.25">
      <c r="B74" s="7">
        <f>+B34</f>
        <v>2022</v>
      </c>
      <c r="C74" s="7">
        <f t="shared" ref="C74:D74" si="18">+C34</f>
        <v>2021</v>
      </c>
      <c r="D74" s="7">
        <f t="shared" si="18"/>
        <v>2020</v>
      </c>
    </row>
    <row r="76" spans="1:4" x14ac:dyDescent="0.25">
      <c r="A76" s="7" t="s">
        <v>56</v>
      </c>
      <c r="B76" s="15"/>
      <c r="C76" s="15"/>
      <c r="D76" s="15"/>
    </row>
    <row r="77" spans="1:4" x14ac:dyDescent="0.25">
      <c r="A77" t="s">
        <v>57</v>
      </c>
      <c r="B77" s="12">
        <f>+B23</f>
        <v>99803</v>
      </c>
      <c r="C77" s="12">
        <f t="shared" ref="C77:D77" si="19">+C23</f>
        <v>94680</v>
      </c>
      <c r="D77" s="12">
        <f t="shared" si="19"/>
        <v>57411</v>
      </c>
    </row>
    <row r="78" spans="1:4" x14ac:dyDescent="0.25">
      <c r="A78" s="11" t="s">
        <v>18</v>
      </c>
      <c r="B78" s="15"/>
      <c r="C78" s="15"/>
      <c r="D78" s="15"/>
    </row>
    <row r="79" spans="1:4" x14ac:dyDescent="0.25">
      <c r="A79" s="1" t="s">
        <v>58</v>
      </c>
      <c r="B79" s="12"/>
      <c r="C79" s="12"/>
      <c r="D79" s="12"/>
    </row>
    <row r="80" spans="1:4" x14ac:dyDescent="0.25">
      <c r="A80" s="3" t="s">
        <v>59</v>
      </c>
      <c r="B80" s="12">
        <v>11104</v>
      </c>
      <c r="C80" s="12">
        <v>11284</v>
      </c>
      <c r="D80" s="12">
        <v>11056</v>
      </c>
    </row>
    <row r="81" spans="1:4" x14ac:dyDescent="0.25">
      <c r="A81" s="3" t="s">
        <v>83</v>
      </c>
      <c r="B81" s="12">
        <v>9038</v>
      </c>
      <c r="C81" s="12">
        <v>7906</v>
      </c>
      <c r="D81" s="12">
        <v>6829</v>
      </c>
    </row>
    <row r="82" spans="1:4" x14ac:dyDescent="0.25">
      <c r="A82" s="3" t="s">
        <v>60</v>
      </c>
      <c r="B82" s="12">
        <v>895</v>
      </c>
      <c r="C82" s="12">
        <v>-4774</v>
      </c>
      <c r="D82" s="12">
        <v>-215</v>
      </c>
    </row>
    <row r="83" spans="1:4" x14ac:dyDescent="0.25">
      <c r="A83" s="3" t="s">
        <v>61</v>
      </c>
      <c r="B83" s="12">
        <v>111</v>
      </c>
      <c r="C83" s="12">
        <v>-147</v>
      </c>
      <c r="D83" s="12">
        <v>-97</v>
      </c>
    </row>
    <row r="84" spans="1:4" x14ac:dyDescent="0.25">
      <c r="A84" t="s">
        <v>62</v>
      </c>
      <c r="B84" s="12"/>
      <c r="C84" s="12"/>
      <c r="D84" s="12"/>
    </row>
    <row r="85" spans="1:4" x14ac:dyDescent="0.25">
      <c r="A85" s="1" t="s">
        <v>28</v>
      </c>
      <c r="B85" s="12">
        <v>-1823</v>
      </c>
      <c r="C85" s="12">
        <v>-10125</v>
      </c>
      <c r="D85" s="12">
        <v>6917</v>
      </c>
    </row>
    <row r="86" spans="1:4" x14ac:dyDescent="0.25">
      <c r="A86" s="1" t="s">
        <v>29</v>
      </c>
      <c r="B86" s="12">
        <v>1484</v>
      </c>
      <c r="C86" s="12">
        <v>-2642</v>
      </c>
      <c r="D86" s="12">
        <v>-127</v>
      </c>
    </row>
    <row r="87" spans="1:4" x14ac:dyDescent="0.25">
      <c r="A87" s="1" t="s">
        <v>47</v>
      </c>
      <c r="B87" s="12">
        <v>-7520</v>
      </c>
      <c r="C87" s="12">
        <v>-3903</v>
      </c>
      <c r="D87" s="12">
        <v>1553</v>
      </c>
    </row>
    <row r="88" spans="1:4" x14ac:dyDescent="0.25">
      <c r="A88" s="1" t="s">
        <v>84</v>
      </c>
      <c r="B88" s="12">
        <v>-6499</v>
      </c>
      <c r="C88" s="12">
        <v>-8042</v>
      </c>
      <c r="D88" s="12">
        <v>-9588</v>
      </c>
    </row>
    <row r="89" spans="1:4" x14ac:dyDescent="0.25">
      <c r="A89" s="1" t="s">
        <v>35</v>
      </c>
      <c r="B89" s="12">
        <v>9448</v>
      </c>
      <c r="C89" s="12">
        <v>12326</v>
      </c>
      <c r="D89" s="12">
        <v>-4062</v>
      </c>
    </row>
    <row r="90" spans="1:4" x14ac:dyDescent="0.25">
      <c r="A90" s="1" t="s">
        <v>37</v>
      </c>
      <c r="B90" s="12">
        <v>478</v>
      </c>
      <c r="C90" s="12">
        <v>1676</v>
      </c>
      <c r="D90" s="12">
        <v>2081</v>
      </c>
    </row>
    <row r="91" spans="1:4" x14ac:dyDescent="0.25">
      <c r="A91" s="1" t="s">
        <v>85</v>
      </c>
      <c r="B91" s="12">
        <v>5632</v>
      </c>
      <c r="C91" s="12">
        <v>5799</v>
      </c>
      <c r="D91" s="12">
        <v>8916</v>
      </c>
    </row>
    <row r="92" spans="1:4" x14ac:dyDescent="0.25">
      <c r="A92" s="8" t="s">
        <v>63</v>
      </c>
      <c r="B92" s="13">
        <f>+SUM(B77:B91)</f>
        <v>122151</v>
      </c>
      <c r="C92" s="13">
        <f t="shared" ref="C92:D92" si="20">+SUM(C77:C91)</f>
        <v>104038</v>
      </c>
      <c r="D92" s="13">
        <f t="shared" si="20"/>
        <v>80674</v>
      </c>
    </row>
    <row r="93" spans="1:4" x14ac:dyDescent="0.25">
      <c r="A93" s="7" t="s">
        <v>64</v>
      </c>
      <c r="B93" s="12"/>
      <c r="C93" s="12"/>
      <c r="D93" s="12"/>
    </row>
    <row r="94" spans="1:4" x14ac:dyDescent="0.25">
      <c r="A94" s="1" t="s">
        <v>65</v>
      </c>
      <c r="B94" s="12">
        <v>-76923</v>
      </c>
      <c r="C94" s="12">
        <v>-109558</v>
      </c>
      <c r="D94" s="12">
        <v>-114938</v>
      </c>
    </row>
    <row r="95" spans="1:4" x14ac:dyDescent="0.25">
      <c r="A95" s="1" t="s">
        <v>66</v>
      </c>
      <c r="B95" s="12">
        <v>29917</v>
      </c>
      <c r="C95" s="12">
        <v>59023</v>
      </c>
      <c r="D95" s="12">
        <v>69918</v>
      </c>
    </row>
    <row r="96" spans="1:4" x14ac:dyDescent="0.25">
      <c r="A96" s="1" t="s">
        <v>67</v>
      </c>
      <c r="B96" s="12">
        <v>37446</v>
      </c>
      <c r="C96" s="12">
        <v>47460</v>
      </c>
      <c r="D96" s="12">
        <v>50473</v>
      </c>
    </row>
    <row r="97" spans="1:4" x14ac:dyDescent="0.25">
      <c r="A97" s="1" t="s">
        <v>68</v>
      </c>
      <c r="B97" s="12">
        <v>-10708</v>
      </c>
      <c r="C97" s="12">
        <v>-11085</v>
      </c>
      <c r="D97" s="12">
        <v>-7309</v>
      </c>
    </row>
    <row r="98" spans="1:4" x14ac:dyDescent="0.25">
      <c r="A98" s="1" t="s">
        <v>69</v>
      </c>
      <c r="B98" s="12">
        <v>-306</v>
      </c>
      <c r="C98" s="12">
        <v>-33</v>
      </c>
      <c r="D98" s="12">
        <v>-1524</v>
      </c>
    </row>
    <row r="99" spans="1:4" x14ac:dyDescent="0.25">
      <c r="A99" s="1" t="s">
        <v>61</v>
      </c>
      <c r="B99" s="12">
        <v>-1780</v>
      </c>
      <c r="C99" s="12">
        <v>-352</v>
      </c>
      <c r="D99" s="12">
        <v>-909</v>
      </c>
    </row>
    <row r="100" spans="1:4" x14ac:dyDescent="0.25">
      <c r="A100" s="8" t="s">
        <v>70</v>
      </c>
      <c r="B100" s="13">
        <f>+SUM(B94:B99)</f>
        <v>-22354</v>
      </c>
      <c r="C100" s="13">
        <f t="shared" ref="C100:D100" si="21">+SUM(C94:C99)</f>
        <v>-14545</v>
      </c>
      <c r="D100" s="13">
        <f t="shared" si="21"/>
        <v>-4289</v>
      </c>
    </row>
    <row r="101" spans="1:4" x14ac:dyDescent="0.25">
      <c r="A101" s="7" t="s">
        <v>71</v>
      </c>
      <c r="B101" s="12"/>
      <c r="C101" s="12"/>
      <c r="D101" s="12"/>
    </row>
    <row r="102" spans="1:4" x14ac:dyDescent="0.25">
      <c r="A102" s="1" t="s">
        <v>86</v>
      </c>
      <c r="B102" s="12">
        <v>-6223</v>
      </c>
      <c r="C102" s="12">
        <v>-6556</v>
      </c>
      <c r="D102" s="12">
        <v>-3634</v>
      </c>
    </row>
    <row r="103" spans="1:4" x14ac:dyDescent="0.25">
      <c r="A103" s="1" t="s">
        <v>72</v>
      </c>
      <c r="B103" s="12">
        <v>-14841</v>
      </c>
      <c r="C103" s="12">
        <v>-14467</v>
      </c>
      <c r="D103" s="12">
        <v>-14081</v>
      </c>
    </row>
    <row r="104" spans="1:4" x14ac:dyDescent="0.25">
      <c r="A104" s="1" t="s">
        <v>73</v>
      </c>
      <c r="B104" s="12">
        <v>-89402</v>
      </c>
      <c r="C104" s="12">
        <v>-85971</v>
      </c>
      <c r="D104" s="12">
        <v>-72358</v>
      </c>
    </row>
    <row r="105" spans="1:4" x14ac:dyDescent="0.25">
      <c r="A105" s="1" t="s">
        <v>74</v>
      </c>
      <c r="B105" s="12">
        <v>5465</v>
      </c>
      <c r="C105" s="12">
        <v>20393</v>
      </c>
      <c r="D105" s="12">
        <v>16091</v>
      </c>
    </row>
    <row r="106" spans="1:4" x14ac:dyDescent="0.25">
      <c r="A106" s="1" t="s">
        <v>75</v>
      </c>
      <c r="B106" s="12">
        <v>-9543</v>
      </c>
      <c r="C106" s="12">
        <v>-8750</v>
      </c>
      <c r="D106" s="12">
        <v>-12629</v>
      </c>
    </row>
    <row r="107" spans="1:4" x14ac:dyDescent="0.25">
      <c r="A107" s="1" t="s">
        <v>76</v>
      </c>
      <c r="B107" s="12">
        <v>3955</v>
      </c>
      <c r="C107" s="12">
        <v>1022</v>
      </c>
      <c r="D107" s="12">
        <v>-963</v>
      </c>
    </row>
    <row r="108" spans="1:4" x14ac:dyDescent="0.25">
      <c r="A108" s="1" t="s">
        <v>61</v>
      </c>
      <c r="B108" s="12">
        <v>-160</v>
      </c>
      <c r="C108" s="12">
        <v>976</v>
      </c>
      <c r="D108" s="12">
        <v>754</v>
      </c>
    </row>
    <row r="109" spans="1:4" x14ac:dyDescent="0.25">
      <c r="A109" s="8" t="s">
        <v>77</v>
      </c>
      <c r="B109" s="13">
        <f>+SUM(B102:B108)</f>
        <v>-110749</v>
      </c>
      <c r="C109" s="13">
        <f t="shared" ref="C109:D109" si="22">+SUM(C102:C108)</f>
        <v>-93353</v>
      </c>
      <c r="D109" s="13">
        <f t="shared" si="22"/>
        <v>-86820</v>
      </c>
    </row>
    <row r="110" spans="1:4" x14ac:dyDescent="0.25">
      <c r="A110" s="8" t="s">
        <v>78</v>
      </c>
      <c r="B110" s="13">
        <f>+B92+B100+B109</f>
        <v>-10952</v>
      </c>
      <c r="C110" s="13">
        <f t="shared" ref="C110:D110" si="23">+C92+C100+C109</f>
        <v>-3860</v>
      </c>
      <c r="D110" s="13">
        <f t="shared" si="23"/>
        <v>-10435</v>
      </c>
    </row>
    <row r="111" spans="1:4" ht="15.75" thickBot="1" x14ac:dyDescent="0.3">
      <c r="A111" s="9" t="s">
        <v>79</v>
      </c>
      <c r="B111" s="14">
        <v>24977</v>
      </c>
      <c r="C111" s="14">
        <v>35929</v>
      </c>
      <c r="D111" s="14">
        <v>39789</v>
      </c>
    </row>
    <row r="112" spans="1:4" ht="15.75" thickTop="1" x14ac:dyDescent="0.25">
      <c r="B112" s="12"/>
      <c r="C112" s="12"/>
      <c r="D112" s="12"/>
    </row>
    <row r="113" spans="1:4" x14ac:dyDescent="0.25">
      <c r="A113" t="s">
        <v>80</v>
      </c>
      <c r="B113" s="12"/>
      <c r="C113" s="12"/>
      <c r="D113" s="12"/>
    </row>
    <row r="114" spans="1:4" x14ac:dyDescent="0.25">
      <c r="A114" t="s">
        <v>81</v>
      </c>
      <c r="B114" s="12">
        <v>19573</v>
      </c>
      <c r="C114" s="12">
        <v>25385</v>
      </c>
      <c r="D114" s="12">
        <v>9501</v>
      </c>
    </row>
    <row r="115" spans="1:4" x14ac:dyDescent="0.25">
      <c r="A115" t="s">
        <v>82</v>
      </c>
      <c r="B115" s="12">
        <v>2865</v>
      </c>
      <c r="C115" s="12">
        <v>2687</v>
      </c>
      <c r="D115" s="12">
        <v>3002</v>
      </c>
    </row>
    <row r="116" spans="1:4" x14ac:dyDescent="0.25">
      <c r="A116" t="s">
        <v>169</v>
      </c>
      <c r="B116" s="26">
        <f>B114/B20</f>
        <v>0.1643367505436471</v>
      </c>
      <c r="C116" s="26">
        <f t="shared" ref="C116:D116" si="24">C114/C20</f>
        <v>0.23244846942045841</v>
      </c>
      <c r="D116" s="26">
        <f t="shared" si="24"/>
        <v>0.14161362924982487</v>
      </c>
    </row>
  </sheetData>
  <mergeCells count="6">
    <mergeCell ref="B3:D3"/>
    <mergeCell ref="B33:D33"/>
    <mergeCell ref="B73:D73"/>
    <mergeCell ref="A2:D2"/>
    <mergeCell ref="A32:D32"/>
    <mergeCell ref="A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zoomScale="130" zoomScaleNormal="13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F12" sqref="F12"/>
    </sheetView>
  </sheetViews>
  <sheetFormatPr defaultRowHeight="15" x14ac:dyDescent="0.25"/>
  <cols>
    <col min="1" max="1" width="4.7109375" customWidth="1"/>
    <col min="2" max="2" width="44.85546875" customWidth="1"/>
    <col min="3" max="5" width="11.71093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5">
        <f>'Financial Statements'!B43/'Financial Statements'!B57</f>
        <v>0.87935602862672257</v>
      </c>
      <c r="D5" s="25">
        <f>'Financial Statements'!C43/'Financial Statements'!C57</f>
        <v>1.0745531195957954</v>
      </c>
      <c r="E5" s="25">
        <f>'Financial Statements'!D43/'Financial Statements'!D57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5">
        <f>SUM('Financial Statements'!B37:B38,'Financial Statements'!B45)/'Financial Statements'!B57</f>
        <v>1.0982387551791768</v>
      </c>
      <c r="D6" s="25">
        <f>SUM('Financial Statements'!C37:C38,'Financial Statements'!C45)/'Financial Statements'!C57</f>
        <v>1.5182856368693269</v>
      </c>
      <c r="E6" s="25">
        <f>SUM('Financial Statements'!D37:D38,'Financial Statements'!D45)/'Financial Statements'!D57</f>
        <v>1.8201571276757249</v>
      </c>
    </row>
    <row r="7" spans="1:10" x14ac:dyDescent="0.25">
      <c r="A7" s="18">
        <f t="shared" si="0"/>
        <v>1.3000000000000003</v>
      </c>
      <c r="B7" s="1" t="s">
        <v>102</v>
      </c>
      <c r="C7" s="25">
        <f>SUM('Financial Statements'!B37)/'Financial Statements'!B57</f>
        <v>0.15356340351469652</v>
      </c>
      <c r="D7" s="25">
        <f>SUM('Financial Statements'!C37)/'Financial Statements'!C57</f>
        <v>0.27844853005634318</v>
      </c>
      <c r="E7" s="25">
        <f>SUM('Financial Statements'!D37)/'Financial Statements'!D57</f>
        <v>0.36071049035979963</v>
      </c>
    </row>
    <row r="8" spans="1:10" x14ac:dyDescent="0.25">
      <c r="A8" s="18">
        <f t="shared" si="0"/>
        <v>1.4000000000000004</v>
      </c>
      <c r="B8" s="1" t="s">
        <v>103</v>
      </c>
      <c r="C8">
        <f>SUM('Financial Statements'!B37:B39,'Financial Statements'!B41:B42)/('Financial Statements'!B17/360)</f>
        <v>914.69938650306744</v>
      </c>
      <c r="D8">
        <f>SUM('Financial Statements'!C37:C39,'Financial Statements'!C41:C42)/('Financial Statements'!C17/360)</f>
        <v>1052.0691776608107</v>
      </c>
      <c r="E8">
        <f>SUM('Financial Statements'!D37:D39,'Financial Statements'!D41:D42)/('Financial Statements'!D17/360)</f>
        <v>1300.1634426399089</v>
      </c>
      <c r="F8" t="s">
        <v>160</v>
      </c>
    </row>
    <row r="9" spans="1:10" x14ac:dyDescent="0.25">
      <c r="A9" s="18">
        <f t="shared" si="0"/>
        <v>1.5000000000000004</v>
      </c>
      <c r="B9" s="1" t="s">
        <v>104</v>
      </c>
      <c r="C9">
        <f>('Financial Statements'!B40/'Financial Statements'!B12)*360</f>
        <v>7.9650720657045975</v>
      </c>
      <c r="D9">
        <f>('Financial Statements'!C40/'Financial Statements'!C12)*360</f>
        <v>11.122118874453591</v>
      </c>
      <c r="E9">
        <f>('Financial Statements'!D40/'Financial Statements'!D12)*360</f>
        <v>8.6221315294381302</v>
      </c>
      <c r="F9" t="s">
        <v>156</v>
      </c>
    </row>
    <row r="10" spans="1:10" x14ac:dyDescent="0.25">
      <c r="A10" s="18">
        <f t="shared" si="0"/>
        <v>1.6000000000000005</v>
      </c>
      <c r="B10" s="1" t="s">
        <v>105</v>
      </c>
      <c r="C10">
        <f>('Financial Statements'!B52/'Financial Statements'!B12)*360</f>
        <v>103.25123240854231</v>
      </c>
      <c r="D10">
        <f>('Financial Statements'!C52/'Financial Statements'!C12)*360</f>
        <v>92.565440109681134</v>
      </c>
      <c r="E10">
        <f>('Financial Statements'!D52/'Financial Statements'!D12)*360</f>
        <v>89.800954240117008</v>
      </c>
      <c r="F10" t="s">
        <v>157</v>
      </c>
    </row>
    <row r="11" spans="1:10" x14ac:dyDescent="0.25">
      <c r="A11" s="18">
        <f t="shared" si="0"/>
        <v>1.7000000000000006</v>
      </c>
      <c r="B11" s="1" t="s">
        <v>106</v>
      </c>
      <c r="C11">
        <f>('Financial Statements'!B39/'Financial Statements'!B8)*360</f>
        <v>25.730457892921628</v>
      </c>
      <c r="D11">
        <f>('Financial Statements'!C39/'Financial Statements'!C8)*360</f>
        <v>25.860143186347273</v>
      </c>
      <c r="E11">
        <f>('Financial Statements'!D39/'Financial Statements'!D8)*360</f>
        <v>21.139828424676246</v>
      </c>
      <c r="F11" t="s">
        <v>158</v>
      </c>
    </row>
    <row r="12" spans="1:10" x14ac:dyDescent="0.25">
      <c r="A12" s="18">
        <f t="shared" si="0"/>
        <v>1.8000000000000007</v>
      </c>
      <c r="B12" s="1" t="s">
        <v>107</v>
      </c>
      <c r="C12">
        <f>SUM(C9,C11)-C10</f>
        <v>-69.555702449916083</v>
      </c>
      <c r="D12">
        <f t="shared" ref="D12:E12" si="1">SUM(D9,D11)-D10</f>
        <v>-55.583178048880271</v>
      </c>
      <c r="E12">
        <f t="shared" si="1"/>
        <v>-60.038994286002634</v>
      </c>
      <c r="F12" t="s">
        <v>161</v>
      </c>
    </row>
    <row r="13" spans="1:10" x14ac:dyDescent="0.25">
      <c r="A13" s="18">
        <f t="shared" si="0"/>
        <v>1.9000000000000008</v>
      </c>
      <c r="B13" s="1" t="s">
        <v>108</v>
      </c>
      <c r="C13" s="26">
        <f>C14/'Financial Statements'!B8*-1</f>
        <v>4.711052727678481E-2</v>
      </c>
      <c r="D13" s="26">
        <f>D14/'Financial Statements'!C8</f>
        <v>2.557289573748623E-2</v>
      </c>
      <c r="E13" s="26">
        <f>E14/'Financial Statements'!D8</f>
        <v>0.13959528623208203</v>
      </c>
    </row>
    <row r="14" spans="1:10" x14ac:dyDescent="0.25">
      <c r="A14" s="18"/>
      <c r="B14" s="3" t="s">
        <v>109</v>
      </c>
      <c r="C14">
        <f>'Financial Statements'!B43-'Financial Statements'!B57</f>
        <v>-18577</v>
      </c>
      <c r="D14">
        <f>'Financial Statements'!C43-'Financial Statements'!C57</f>
        <v>9355</v>
      </c>
      <c r="E14">
        <f>'Financial Statements'!D43-'Financial Statements'!D57</f>
        <v>38321</v>
      </c>
      <c r="F14" t="s">
        <v>159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</row>
    <row r="18" spans="1:5" x14ac:dyDescent="0.25">
      <c r="A18" s="18">
        <f>+A17+0.1</f>
        <v>2.2000000000000002</v>
      </c>
      <c r="B18" s="1" t="s">
        <v>155</v>
      </c>
      <c r="C18" s="25">
        <f>'Financial Statements'!B12/'Financial Statements'!B8</f>
        <v>0.56690369438639909</v>
      </c>
      <c r="D18" s="25">
        <f>'Financial Statements'!C12/'Financial Statements'!C8</f>
        <v>0.58220640374832222</v>
      </c>
      <c r="E18" s="25">
        <f>'Financial Statements'!D12/'Financial Statements'!D8</f>
        <v>0.61766752272189129</v>
      </c>
    </row>
    <row r="19" spans="1:5" x14ac:dyDescent="0.25">
      <c r="A19" s="18">
        <f>+A18+0.1</f>
        <v>2.3000000000000003</v>
      </c>
      <c r="B19" s="1" t="str">
        <f>'Financial Statements'!A15 &amp; " margin"</f>
        <v>Research and development margin</v>
      </c>
      <c r="C19" s="25">
        <f>'Financial Statements'!B15/'Financial Statements'!B8</f>
        <v>6.657148363798665E-2</v>
      </c>
      <c r="D19" s="25">
        <f>'Financial Statements'!C15/'Financial Statements'!C8</f>
        <v>5.9904269074427925E-2</v>
      </c>
      <c r="E19" s="25">
        <f>'Financial Statements'!D15/'Financial Statements'!D8</f>
        <v>6.8309564140393061E-2</v>
      </c>
    </row>
    <row r="20" spans="1:5" x14ac:dyDescent="0.25">
      <c r="A20" s="18">
        <f>+A19+0.1</f>
        <v>2.4000000000000004</v>
      </c>
      <c r="B20" s="1" t="str">
        <f>'Financial Statements'!A16 &amp; " margin"</f>
        <v>Selling, general and administrative margin</v>
      </c>
      <c r="C20" s="25">
        <f>'Financial Statements'!B16/'Financial Statements'!B8</f>
        <v>6.3637378020328261E-2</v>
      </c>
      <c r="D20" s="25">
        <f>'Financial Statements'!C16/'Financial Statements'!C8</f>
        <v>6.006555190163388E-2</v>
      </c>
      <c r="E20" s="25">
        <f>'Financial Statements'!D16/'Financial Statements'!D8</f>
        <v>7.2549769593646979E-2</v>
      </c>
    </row>
    <row r="21" spans="1:5" x14ac:dyDescent="0.25">
      <c r="A21" s="18">
        <f>+A20+0.1</f>
        <v>2.5000000000000004</v>
      </c>
      <c r="B21" s="1" t="s">
        <v>111</v>
      </c>
      <c r="C21" s="25">
        <f>C22/'Financial Statements'!B8</f>
        <v>0.3310467428130896</v>
      </c>
      <c r="D21" s="25">
        <f>D22/'Financial Statements'!C8</f>
        <v>0.32866979938056462</v>
      </c>
      <c r="E21" s="25">
        <f>E22/'Financial Statements'!D8</f>
        <v>0.2817478097736007</v>
      </c>
    </row>
    <row r="22" spans="1:5" x14ac:dyDescent="0.25">
      <c r="A22" s="18"/>
      <c r="B22" s="3" t="s">
        <v>112</v>
      </c>
      <c r="C22">
        <f>'Financial Statements'!B18+'Financial Statements'!B80</f>
        <v>130541</v>
      </c>
      <c r="D22">
        <f>'Financial Statements'!C18+'Financial Statements'!C80</f>
        <v>120233</v>
      </c>
      <c r="E22">
        <f>'Financial Statements'!D18+'Financial Statements'!D80</f>
        <v>77344</v>
      </c>
    </row>
    <row r="23" spans="1:5" x14ac:dyDescent="0.25">
      <c r="A23" s="18">
        <f>+A21+0.1</f>
        <v>2.6000000000000005</v>
      </c>
      <c r="B23" s="1" t="s">
        <v>113</v>
      </c>
      <c r="C23" s="25">
        <f>C24/'Financial Statements'!B8</f>
        <v>0.30288744395528594</v>
      </c>
      <c r="D23" s="25">
        <f>D24/'Financial Statements'!C8</f>
        <v>0.29782377527561593</v>
      </c>
      <c r="E23" s="25">
        <f>E24/'Financial Statements'!D8</f>
        <v>0.24147314354406862</v>
      </c>
    </row>
    <row r="24" spans="1:5" x14ac:dyDescent="0.25">
      <c r="A24" s="18">
        <f>+A23+0.1</f>
        <v>2.7000000000000006</v>
      </c>
      <c r="B24" s="3" t="s">
        <v>114</v>
      </c>
      <c r="C24">
        <f>'Financial Statements'!B18</f>
        <v>119437</v>
      </c>
      <c r="D24">
        <f>'Financial Statements'!C18</f>
        <v>108949</v>
      </c>
      <c r="E24">
        <f>'Financial Statements'!D18</f>
        <v>66288</v>
      </c>
    </row>
    <row r="25" spans="1:5" x14ac:dyDescent="0.25">
      <c r="A25" s="18">
        <f t="shared" ref="A25" si="2">+A24+0.1</f>
        <v>2.8000000000000007</v>
      </c>
      <c r="B25" s="1" t="s">
        <v>115</v>
      </c>
      <c r="C25" s="25">
        <f>'Financial Statements'!B23/'Financial Statements'!B8</f>
        <v>0.25309640705199732</v>
      </c>
      <c r="D25" s="25">
        <f>'Financial Statements'!C23/'Financial Statements'!C8</f>
        <v>0.25881793355694238</v>
      </c>
      <c r="E25" s="25">
        <f>'Financial Statements'!D23/'Financial Statements'!D8</f>
        <v>0.20913611278072236</v>
      </c>
    </row>
    <row r="26" spans="1:5" x14ac:dyDescent="0.25">
      <c r="A26" s="18"/>
      <c r="B26" s="1"/>
      <c r="C26" s="25"/>
      <c r="D26" s="25"/>
      <c r="E26" s="25"/>
    </row>
    <row r="27" spans="1:5" x14ac:dyDescent="0.25">
      <c r="A27" s="18"/>
    </row>
    <row r="28" spans="1:5" x14ac:dyDescent="0.25">
      <c r="A28" s="18">
        <f>+A16+1</f>
        <v>3</v>
      </c>
      <c r="B28" s="7" t="s">
        <v>116</v>
      </c>
    </row>
    <row r="29" spans="1:5" x14ac:dyDescent="0.25">
      <c r="A29" s="18">
        <f>+A28+0.1</f>
        <v>3.1</v>
      </c>
      <c r="B29" s="1" t="s">
        <v>117</v>
      </c>
      <c r="C29" s="25">
        <f>SUM('Financial Statements'!B56,'Financial Statements'!B60)/'Financial Statements'!B69</f>
        <v>2.1725410483107042</v>
      </c>
      <c r="D29" s="25">
        <f>SUM('Financial Statements'!C56,'Financial Statements'!C60)/'Financial Statements'!C69</f>
        <v>1.8817403708987162</v>
      </c>
      <c r="E29" s="25">
        <f>SUM('Financial Statements'!D56,'Financial Statements'!D60)/'Financial Statements'!D69</f>
        <v>1.6443471739696047</v>
      </c>
    </row>
    <row r="30" spans="1:5" x14ac:dyDescent="0.25">
      <c r="A30" s="18">
        <f t="shared" ref="A30:A34" si="3">+A29+0.1</f>
        <v>3.2</v>
      </c>
      <c r="B30" s="1" t="s">
        <v>118</v>
      </c>
      <c r="C30" s="25">
        <f>SUM('Financial Statements'!B56,'Financial Statements'!B60)/'Financial Statements'!B49</f>
        <v>0.31207778769967826</v>
      </c>
      <c r="D30" s="25">
        <f>SUM('Financial Statements'!C56,'Financial Statements'!C60)/'Financial Statements'!C49</f>
        <v>0.33822884200090025</v>
      </c>
      <c r="E30" s="25">
        <f>SUM('Financial Statements'!D56,'Financial Statements'!D60)/'Financial Statements'!D49</f>
        <v>0.33171960677765155</v>
      </c>
    </row>
    <row r="31" spans="1:5" x14ac:dyDescent="0.25">
      <c r="A31" s="18">
        <f t="shared" si="3"/>
        <v>3.3000000000000003</v>
      </c>
      <c r="B31" s="1" t="s">
        <v>119</v>
      </c>
      <c r="C31" s="25">
        <f>SUM('Financial Statements'!B56,'Financial Statements'!B60)/SUM('Financial Statements'!B56,'Financial Statements'!B60,'Financial Statements'!B69)</f>
        <v>0.68479525252085416</v>
      </c>
      <c r="D31" s="25">
        <f>SUM('Financial Statements'!C56,'Financial Statements'!C60)/SUM('Financial Statements'!C56,'Financial Statements'!C60,'Financial Statements'!C69)</f>
        <v>0.65298747586753136</v>
      </c>
      <c r="E31" s="25">
        <f>SUM('Financial Statements'!D56,'Financial Statements'!D60)/SUM('Financial Statements'!D56,'Financial Statements'!D60,'Financial Statements'!D69)</f>
        <v>0.62183482946422886</v>
      </c>
    </row>
    <row r="32" spans="1:5" x14ac:dyDescent="0.25">
      <c r="A32" s="18">
        <f t="shared" si="3"/>
        <v>3.4000000000000004</v>
      </c>
      <c r="B32" s="1" t="s">
        <v>120</v>
      </c>
      <c r="C32" s="25">
        <f>C24/'Financial Statements'!B19*-1</f>
        <v>357.59580838323353</v>
      </c>
      <c r="D32" s="25">
        <f>D24/'Financial Statements'!C19</f>
        <v>422.2829457364341</v>
      </c>
      <c r="E32" s="25">
        <f>E24/'Financial Statements'!D19</f>
        <v>82.550435865504355</v>
      </c>
    </row>
    <row r="33" spans="1:7" x14ac:dyDescent="0.25">
      <c r="A33" s="18">
        <f t="shared" si="3"/>
        <v>3.5000000000000004</v>
      </c>
      <c r="B33" s="1" t="s">
        <v>121</v>
      </c>
      <c r="C33" s="25">
        <f>'Financial Statements'!B92/SUM('Financial Statements'!B56,'Financial Statements'!B55,'Financial Statements'!B60)</f>
        <v>1.0173400294830472</v>
      </c>
      <c r="D33" s="25">
        <f>'Financial Statements'!C92/SUM('Financial Statements'!C56,'Financial Statements'!C55,'Financial Statements'!C60)</f>
        <v>0.83417923492010038</v>
      </c>
      <c r="E33" s="25">
        <f>'Financial Statements'!D92/SUM('Financial Statements'!D56,'Financial Statements'!D55,'Financial Statements'!D60)</f>
        <v>0.71751040591981219</v>
      </c>
      <c r="F33" t="s">
        <v>162</v>
      </c>
    </row>
    <row r="34" spans="1:7" x14ac:dyDescent="0.25">
      <c r="A34" s="18">
        <f t="shared" si="3"/>
        <v>3.6000000000000005</v>
      </c>
      <c r="B34" s="1" t="s">
        <v>122</v>
      </c>
      <c r="C34" s="25">
        <f>C35/('Financial Statements'!B29/1000)</f>
        <v>6.3487779694237698</v>
      </c>
      <c r="D34" s="25">
        <f>D35/('Financial Statements'!C29/1000)</f>
        <v>6.2840503414217403</v>
      </c>
      <c r="E34" s="25">
        <f>E35/('Financial Statements'!D29/1000)</f>
        <v>3.4891176020557486</v>
      </c>
    </row>
    <row r="35" spans="1:7" x14ac:dyDescent="0.25">
      <c r="A35" s="18"/>
      <c r="B35" s="3" t="s">
        <v>123</v>
      </c>
      <c r="C35">
        <f>'Financial Statements'!B23+'Financial Statements'!B80+'Financial Statements'!B97+D36-C36+C39-D39</f>
        <v>103649</v>
      </c>
      <c r="D35">
        <f>'Financial Statements'!C23+'Financial Statements'!C80+'Financial Statements'!C97+E36-D36+D39-E39</f>
        <v>105980</v>
      </c>
      <c r="E35">
        <f>'Financial Statements'!D23+'Financial Statements'!D80+'Financial Statements'!D97</f>
        <v>61158</v>
      </c>
      <c r="F35" t="s">
        <v>150</v>
      </c>
      <c r="G35" t="s">
        <v>163</v>
      </c>
    </row>
    <row r="36" spans="1:7" x14ac:dyDescent="0.25">
      <c r="A36" s="18"/>
      <c r="B36" s="3" t="s">
        <v>164</v>
      </c>
      <c r="C36">
        <f>C37-C38</f>
        <v>-45771</v>
      </c>
      <c r="D36">
        <f t="shared" ref="D36:E36" si="4">D37-D38</f>
        <v>-37671</v>
      </c>
      <c r="E36">
        <f t="shared" si="4"/>
        <v>-38853</v>
      </c>
    </row>
    <row r="37" spans="1:7" x14ac:dyDescent="0.25">
      <c r="A37" s="18"/>
      <c r="B37" s="3" t="s">
        <v>166</v>
      </c>
      <c r="C37">
        <f>SUM('Financial Statements'!B39:B42)</f>
        <v>87101</v>
      </c>
      <c r="D37">
        <f>SUM('Financial Statements'!C39:C42)</f>
        <v>72197</v>
      </c>
      <c r="E37">
        <f>SUM('Financial Statements'!D39:D42)</f>
        <v>52770</v>
      </c>
    </row>
    <row r="38" spans="1:7" x14ac:dyDescent="0.25">
      <c r="A38" s="18"/>
      <c r="B38" s="3" t="s">
        <v>167</v>
      </c>
      <c r="C38">
        <f>SUM('Financial Statements'!B52:B54)</f>
        <v>132872</v>
      </c>
      <c r="D38">
        <f>SUM('Financial Statements'!C52:C54)</f>
        <v>109868</v>
      </c>
      <c r="E38">
        <f>SUM('Financial Statements'!D52:D54)</f>
        <v>91623</v>
      </c>
    </row>
    <row r="39" spans="1:7" x14ac:dyDescent="0.25">
      <c r="A39" s="18"/>
      <c r="B39" s="3" t="s">
        <v>165</v>
      </c>
      <c r="C39">
        <f>SUM('Financial Statements'!B55:B56,'Financial Statements'!B60)</f>
        <v>120069</v>
      </c>
      <c r="D39">
        <f>SUM('Financial Statements'!C55:C56,'Financial Statements'!C60)</f>
        <v>124719</v>
      </c>
      <c r="E39">
        <f>SUM('Financial Statements'!D55:D56,'Financial Statements'!D60)</f>
        <v>112436</v>
      </c>
    </row>
    <row r="40" spans="1:7" x14ac:dyDescent="0.25">
      <c r="A40" s="18"/>
      <c r="B40" s="3"/>
    </row>
    <row r="41" spans="1:7" x14ac:dyDescent="0.25">
      <c r="A41" s="18">
        <f>+A28+1</f>
        <v>4</v>
      </c>
      <c r="B41" s="17" t="s">
        <v>124</v>
      </c>
    </row>
    <row r="42" spans="1:7" x14ac:dyDescent="0.25">
      <c r="A42" s="18">
        <f>+A41+0.1</f>
        <v>4.0999999999999996</v>
      </c>
      <c r="B42" s="1" t="s">
        <v>125</v>
      </c>
      <c r="C42" s="25">
        <f>'Financial Statements'!B8/'Financial Statements'!B49</f>
        <v>1.1178523337727317</v>
      </c>
      <c r="D42" s="25">
        <f>'Financial Statements'!C8/'Financial Statements'!C49</f>
        <v>1.0422077367080529</v>
      </c>
      <c r="E42" s="25">
        <f>'Financial Statements'!D8/'Financial Statements'!D49</f>
        <v>0.84756150274168851</v>
      </c>
      <c r="F42" t="s">
        <v>174</v>
      </c>
    </row>
    <row r="43" spans="1:7" x14ac:dyDescent="0.25">
      <c r="A43" s="18">
        <f t="shared" ref="A43:A45" si="5">+A42+0.1</f>
        <v>4.1999999999999993</v>
      </c>
      <c r="B43" s="1" t="s">
        <v>126</v>
      </c>
      <c r="C43" s="25">
        <f>'Financial Statements'!B8/'Financial Statements'!B46</f>
        <v>9.3626801529073767</v>
      </c>
      <c r="D43" s="25">
        <f>'Financial Statements'!C8/'Financial Statements'!C46</f>
        <v>9.2752789046653152</v>
      </c>
      <c r="E43" s="25">
        <f>'Financial Statements'!D8/'Financial Statements'!D46</f>
        <v>7.4665451776097482</v>
      </c>
      <c r="F43" t="s">
        <v>175</v>
      </c>
    </row>
    <row r="44" spans="1:7" x14ac:dyDescent="0.25">
      <c r="A44" s="18">
        <f t="shared" si="5"/>
        <v>4.2999999999999989</v>
      </c>
      <c r="B44" s="1" t="s">
        <v>127</v>
      </c>
      <c r="C44" s="25">
        <f>'Financial Statements'!B12/'Financial Statements'!B40</f>
        <v>45.197331176708452</v>
      </c>
      <c r="D44" s="25">
        <f>'Financial Statements'!C12/'Financial Statements'!C40</f>
        <v>32.367933130699086</v>
      </c>
      <c r="E44" s="25">
        <f>'Financial Statements'!D12/'Financial Statements'!D40</f>
        <v>41.753016498399411</v>
      </c>
      <c r="F44" t="s">
        <v>176</v>
      </c>
    </row>
    <row r="45" spans="1:7" x14ac:dyDescent="0.25">
      <c r="A45" s="18">
        <f t="shared" si="5"/>
        <v>4.3999999999999986</v>
      </c>
      <c r="B45" s="1" t="s">
        <v>128</v>
      </c>
      <c r="C45" s="26">
        <f>'Financial Statements'!B23/'Financial Statements'!B49</f>
        <v>0.28292440929256851</v>
      </c>
      <c r="D45" s="26">
        <f>'Financial Statements'!C23/'Financial Statements'!C49</f>
        <v>0.26974205275183616</v>
      </c>
      <c r="E45" s="26">
        <f>'Financial Statements'!D23/'Financial Statements'!D49</f>
        <v>0.1772557180259843</v>
      </c>
      <c r="F45" t="s">
        <v>177</v>
      </c>
    </row>
    <row r="46" spans="1:7" x14ac:dyDescent="0.25">
      <c r="A46" s="18"/>
    </row>
    <row r="47" spans="1:7" x14ac:dyDescent="0.25">
      <c r="A47" s="18">
        <f>+A41+1</f>
        <v>5</v>
      </c>
      <c r="B47" s="17" t="s">
        <v>129</v>
      </c>
    </row>
    <row r="48" spans="1:7" x14ac:dyDescent="0.25">
      <c r="A48" s="18">
        <f>+A47+0.1</f>
        <v>5.0999999999999996</v>
      </c>
      <c r="B48" s="1" t="s">
        <v>130</v>
      </c>
      <c r="C48" s="25">
        <f>C60/'Financial Statements'!B26</f>
        <v>22.618657937806869</v>
      </c>
      <c r="D48" s="25">
        <f>D60/'Financial Statements'!C26</f>
        <v>25.222816399286987</v>
      </c>
      <c r="E48" s="25">
        <f>E60/'Financial Statements'!D26</f>
        <v>35.307926829268297</v>
      </c>
    </row>
    <row r="49" spans="1:5" x14ac:dyDescent="0.25">
      <c r="A49" s="18">
        <f t="shared" ref="A49:A52" si="6">+A48+0.1</f>
        <v>5.1999999999999993</v>
      </c>
      <c r="B49" s="3" t="s">
        <v>131</v>
      </c>
      <c r="C49" s="25">
        <f>'Financial Statements'!B26</f>
        <v>6.11</v>
      </c>
      <c r="D49" s="25">
        <f>'Financial Statements'!C26</f>
        <v>5.61</v>
      </c>
      <c r="E49" s="25">
        <f>'Financial Statements'!D26</f>
        <v>3.28</v>
      </c>
    </row>
    <row r="50" spans="1:5" x14ac:dyDescent="0.25">
      <c r="A50" s="18">
        <f t="shared" si="6"/>
        <v>5.2999999999999989</v>
      </c>
      <c r="B50" s="1" t="s">
        <v>132</v>
      </c>
      <c r="C50" s="31">
        <f>C60/C62</f>
        <v>2.7273444900536782E-3</v>
      </c>
      <c r="D50" s="31">
        <f>D60/D62</f>
        <v>2.2428277064511018E-3</v>
      </c>
      <c r="E50" s="31">
        <f>E60/E62</f>
        <v>1.7724483080549136E-3</v>
      </c>
    </row>
    <row r="51" spans="1:5" x14ac:dyDescent="0.25">
      <c r="A51" s="18">
        <f t="shared" si="6"/>
        <v>5.3999999999999986</v>
      </c>
      <c r="B51" s="3" t="s">
        <v>133</v>
      </c>
      <c r="C51" s="25">
        <f>C62/('Financial Statements'!B29/1000)</f>
        <v>3.1037952827971451</v>
      </c>
      <c r="D51" s="25">
        <f>D62/('Financial Statements'!C29/1000)</f>
        <v>3.740901453484597</v>
      </c>
      <c r="E51" s="25">
        <f>E62/('Financial Statements'!D29/1000)</f>
        <v>3.7276473233382479</v>
      </c>
    </row>
    <row r="52" spans="1:5" x14ac:dyDescent="0.25">
      <c r="A52" s="18">
        <f t="shared" si="6"/>
        <v>5.4999999999999982</v>
      </c>
      <c r="B52" s="1" t="s">
        <v>134</v>
      </c>
      <c r="C52" s="26">
        <f>-'Financial Statements'!B103/'Financial Statements'!B23</f>
        <v>0.14870294480125848</v>
      </c>
      <c r="D52" s="26">
        <f>-'Financial Statements'!C103/'Financial Statements'!C23</f>
        <v>0.15279890156316012</v>
      </c>
      <c r="E52" s="26">
        <f>-'Financial Statements'!D103/'Financial Statements'!D23</f>
        <v>0.24526658654264863</v>
      </c>
    </row>
    <row r="53" spans="1:5" x14ac:dyDescent="0.25">
      <c r="A53" s="18"/>
      <c r="B53" s="3" t="s">
        <v>135</v>
      </c>
      <c r="C53" s="28">
        <f>-'Financial Statements'!B103/('Financial Statements'!B29/100)</f>
        <v>9.0905087211857485E-2</v>
      </c>
      <c r="D53" s="28">
        <f>-'Financial Statements'!C103/('Financial Statements'!C29/100)</f>
        <v>8.5781615672153533E-2</v>
      </c>
      <c r="E53" s="28">
        <f>-'Financial Statements'!D103/('Financial Statements'!D29/100)</f>
        <v>8.0333341434558017E-2</v>
      </c>
    </row>
    <row r="54" spans="1:5" x14ac:dyDescent="0.25">
      <c r="A54" s="18">
        <f>+A52+0.1</f>
        <v>5.5999999999999979</v>
      </c>
      <c r="B54" s="1" t="s">
        <v>136</v>
      </c>
      <c r="C54" s="26">
        <f>C53/C60*100</f>
        <v>6.5777921282096599E-2</v>
      </c>
      <c r="D54" s="26">
        <f t="shared" ref="D54:E54" si="7">D53/D60*100</f>
        <v>6.0623049944984825E-2</v>
      </c>
      <c r="E54" s="26">
        <f t="shared" si="7"/>
        <v>6.9366498087002862E-2</v>
      </c>
    </row>
    <row r="55" spans="1:5" x14ac:dyDescent="0.25">
      <c r="A55" s="18">
        <f t="shared" ref="A55:A58" si="8">+A53+0.1</f>
        <v>0.1</v>
      </c>
      <c r="B55" s="1" t="s">
        <v>137</v>
      </c>
      <c r="C55" s="26">
        <f>'Financial Statements'!B23/'Financial Statements'!B69</f>
        <v>1.9695887275023682</v>
      </c>
      <c r="D55" s="26">
        <f>'Financial Statements'!C23/'Financial Statements'!C69</f>
        <v>1.5007132667617689</v>
      </c>
      <c r="E55" s="26">
        <f>'Financial Statements'!D23/'Financial Statements'!D69</f>
        <v>0.87866358530127486</v>
      </c>
    </row>
    <row r="56" spans="1:5" x14ac:dyDescent="0.25">
      <c r="A56" s="18">
        <f t="shared" si="8"/>
        <v>5.6999999999999975</v>
      </c>
      <c r="B56" s="1" t="s">
        <v>138</v>
      </c>
      <c r="C56" s="26">
        <f>'Financial Statements'!B18/'List of Ratios'!C63</f>
        <v>0.79821026391589978</v>
      </c>
      <c r="D56" s="26">
        <f>'Financial Statements'!C18/'List of Ratios'!D63</f>
        <v>0.63270343097400639</v>
      </c>
      <c r="E56" s="26">
        <f>'Financial Statements'!D18/'List of Ratios'!E63</f>
        <v>0.40418033486579757</v>
      </c>
    </row>
    <row r="57" spans="1:5" x14ac:dyDescent="0.25">
      <c r="A57" s="18">
        <f t="shared" si="8"/>
        <v>0.2</v>
      </c>
      <c r="B57" s="1" t="s">
        <v>128</v>
      </c>
      <c r="C57" s="26">
        <f>C45</f>
        <v>0.28292440929256851</v>
      </c>
      <c r="D57" s="26">
        <f t="shared" ref="D57:E57" si="9">D45</f>
        <v>0.26974205275183616</v>
      </c>
      <c r="E57" s="26">
        <f t="shared" si="9"/>
        <v>0.1772557180259843</v>
      </c>
    </row>
    <row r="58" spans="1:5" x14ac:dyDescent="0.25">
      <c r="A58" s="18">
        <f t="shared" si="8"/>
        <v>5.7999999999999972</v>
      </c>
      <c r="B58" s="1" t="s">
        <v>139</v>
      </c>
      <c r="C58" s="25">
        <f>C59/C22</f>
        <v>16.908007337158438</v>
      </c>
      <c r="D58" s="25">
        <f t="shared" ref="D58:E58" si="10">D59/D22</f>
        <v>19.300766332870346</v>
      </c>
      <c r="E58" s="25">
        <f t="shared" si="10"/>
        <v>25.21913093892222</v>
      </c>
    </row>
    <row r="59" spans="1:5" x14ac:dyDescent="0.25">
      <c r="A59" s="18"/>
      <c r="B59" s="3" t="s">
        <v>140</v>
      </c>
      <c r="C59">
        <f>(C60*C61)+'Financial Statements'!B55+'Financial Statements'!B56+'Financial Statements'!B60-'Financial Statements'!B37-'Financial Statements'!B38-'Financial Statements'!B45</f>
        <v>2207188.1857999996</v>
      </c>
      <c r="D59">
        <f>(D60*D61)+'Financial Statements'!C55+'Financial Statements'!C56+'Financial Statements'!C60-'Financial Statements'!C37-'Financial Statements'!C38-'Financial Statements'!C45</f>
        <v>2320589.0385000003</v>
      </c>
      <c r="E59">
        <f>(E60*E61)+'Financial Statements'!D55+'Financial Statements'!D56+'Financial Statements'!D60-'Financial Statements'!D37-'Financial Statements'!D38-'Financial Statements'!D45</f>
        <v>1950548.4633400002</v>
      </c>
    </row>
    <row r="60" spans="1:5" x14ac:dyDescent="0.25">
      <c r="A60" s="18"/>
      <c r="B60" s="3" t="s">
        <v>170</v>
      </c>
      <c r="C60" s="30">
        <v>138.19999999999999</v>
      </c>
      <c r="D60" s="30">
        <v>141.5</v>
      </c>
      <c r="E60" s="30">
        <v>115.81</v>
      </c>
    </row>
    <row r="61" spans="1:5" x14ac:dyDescent="0.25">
      <c r="A61" s="18"/>
      <c r="B61" s="1" t="s">
        <v>173</v>
      </c>
      <c r="C61">
        <f>'Financial Statements'!B29/1000</f>
        <v>16325.819</v>
      </c>
      <c r="D61">
        <f>'Financial Statements'!C29/1000</f>
        <v>16864.919000000002</v>
      </c>
      <c r="E61">
        <f>'Financial Statements'!D29/1000</f>
        <v>17528.214</v>
      </c>
    </row>
    <row r="62" spans="1:5" x14ac:dyDescent="0.25">
      <c r="A62" s="18"/>
      <c r="B62" s="3" t="s">
        <v>171</v>
      </c>
      <c r="C62">
        <f>'Financial Statements'!B49-'Financial Statements'!B63</f>
        <v>50672</v>
      </c>
      <c r="D62">
        <f>'Financial Statements'!C49-'Financial Statements'!C63</f>
        <v>63090</v>
      </c>
      <c r="E62">
        <f>'Financial Statements'!D49-'Financial Statements'!D63</f>
        <v>65339</v>
      </c>
    </row>
    <row r="63" spans="1:5" x14ac:dyDescent="0.25">
      <c r="B63" s="3" t="s">
        <v>172</v>
      </c>
      <c r="C63">
        <f>C62+SUM('Financial Statements'!B60)</f>
        <v>149631</v>
      </c>
      <c r="D63">
        <f>D62+SUM('Financial Statements'!C60)</f>
        <v>172196</v>
      </c>
      <c r="E63">
        <f>E62+SUM('Financial Statements'!D60)</f>
        <v>164006</v>
      </c>
    </row>
    <row r="64" spans="1:5" x14ac:dyDescent="0.25">
      <c r="B64" s="3"/>
    </row>
    <row r="65" spans="1:5" x14ac:dyDescent="0.25">
      <c r="B65" s="3"/>
    </row>
    <row r="66" spans="1:5" x14ac:dyDescent="0.25">
      <c r="A66" s="18">
        <f>+A47+1</f>
        <v>6</v>
      </c>
      <c r="B66" s="17" t="s">
        <v>151</v>
      </c>
    </row>
    <row r="67" spans="1:5" x14ac:dyDescent="0.25">
      <c r="A67" s="18">
        <f>+A66+0.1</f>
        <v>6.1</v>
      </c>
      <c r="B67" t="s">
        <v>152</v>
      </c>
      <c r="C67" s="26">
        <f>'Financial Statements'!B6/'Financial Statements'!C6-1</f>
        <v>6.3239764351428418E-2</v>
      </c>
      <c r="D67" s="26">
        <f>'Financial Statements'!C6/'Financial Statements'!D6-1</f>
        <v>0.34720743656765429</v>
      </c>
      <c r="E67" s="26"/>
    </row>
    <row r="68" spans="1:5" x14ac:dyDescent="0.25">
      <c r="A68" s="18">
        <f>+A67+0.1</f>
        <v>6.1999999999999993</v>
      </c>
      <c r="B68" t="s">
        <v>153</v>
      </c>
      <c r="C68" s="26">
        <f>'Financial Statements'!B7/'Financial Statements'!C7-1</f>
        <v>0.14181951041286078</v>
      </c>
      <c r="D68" s="26">
        <f>'Financial Statements'!C7/'Financial Statements'!D7-1</f>
        <v>0.27259708376729663</v>
      </c>
      <c r="E68" s="26"/>
    </row>
    <row r="69" spans="1:5" x14ac:dyDescent="0.25">
      <c r="A69" s="18">
        <f>+A68+0.1</f>
        <v>6.2999999999999989</v>
      </c>
      <c r="B69" t="s">
        <v>154</v>
      </c>
      <c r="C69" s="26">
        <f>'Financial Statements'!B8/'Financial Statements'!C8-1</f>
        <v>7.7937876041846099E-2</v>
      </c>
      <c r="D69" s="26">
        <f>'Financial Statements'!C8/'Financial Statements'!D8-1</f>
        <v>0.33259384733074704</v>
      </c>
      <c r="E69" s="26"/>
    </row>
    <row r="70" spans="1:5" x14ac:dyDescent="0.25">
      <c r="A70" s="18">
        <f>+A69+0.1</f>
        <v>6.3999999999999986</v>
      </c>
      <c r="B70" t="s">
        <v>89</v>
      </c>
      <c r="C70" s="26">
        <f>'Financial Statements'!B13/'Financial Statements'!C13-1</f>
        <v>0.1174199795859614</v>
      </c>
      <c r="D70" s="26">
        <f>'Financial Statements'!C13/'Financial Statements'!D13-1</f>
        <v>0.45619116582186825</v>
      </c>
      <c r="E70" s="26"/>
    </row>
    <row r="71" spans="1:5" x14ac:dyDescent="0.25">
      <c r="A71" s="18">
        <f>+A70+0.1</f>
        <v>6.4999999999999982</v>
      </c>
      <c r="B71" t="str">
        <f>'Financial Statements'!A15</f>
        <v>Research and development</v>
      </c>
      <c r="C71" s="26">
        <f>'Financial Statements'!B15/'Financial Statements'!C15-1</f>
        <v>0.19791001186456136</v>
      </c>
      <c r="D71" s="26">
        <f>'Financial Statements'!C15/'Financial Statements'!D15-1</f>
        <v>0.16862201365187723</v>
      </c>
      <c r="E71" s="26"/>
    </row>
    <row r="72" spans="1:5" x14ac:dyDescent="0.25">
      <c r="A72" s="18">
        <f>+A71+0.1</f>
        <v>6.5999999999999979</v>
      </c>
      <c r="B72" t="str">
        <f>'Financial Statements'!A16</f>
        <v>Selling, general and administrative</v>
      </c>
      <c r="C72" s="26">
        <f>'Financial Statements'!B16/'Financial Statements'!C16-1</f>
        <v>0.14203795567287125</v>
      </c>
      <c r="D72" s="26">
        <f>'Financial Statements'!C16/'Financial Statements'!D16-1</f>
        <v>0.10328379192608961</v>
      </c>
      <c r="E72" s="26"/>
    </row>
    <row r="73" spans="1:5" x14ac:dyDescent="0.25">
      <c r="A73" s="18">
        <f>+A72+0.1</f>
        <v>6.6999999999999975</v>
      </c>
      <c r="B73" t="str">
        <f>'Financial Statements'!A37</f>
        <v>Cash and cash equivalents</v>
      </c>
      <c r="C73" s="26">
        <f>'Financial Statements'!B37/'Financial Statements'!C37-1</f>
        <v>-0.32323983972524328</v>
      </c>
      <c r="D73" s="26">
        <f>'Financial Statements'!C37/'Financial Statements'!D37-1</f>
        <v>-8.0913299663299632E-2</v>
      </c>
      <c r="E73" s="26"/>
    </row>
    <row r="74" spans="1:5" x14ac:dyDescent="0.25">
      <c r="A74" s="18">
        <f>+A73+0.1</f>
        <v>6.7999999999999972</v>
      </c>
      <c r="B74" t="str">
        <f>'Financial Statements'!A38</f>
        <v>Marketable securities</v>
      </c>
      <c r="C74" s="26">
        <f>'Financial Statements'!B38/'Financial Statements'!C38-1</f>
        <v>-0.10978735694429398</v>
      </c>
      <c r="D74" s="26">
        <f>'Financial Statements'!C38/'Financial Statements'!D38-1</f>
        <v>-0.47665652691442928</v>
      </c>
      <c r="E74" s="26"/>
    </row>
    <row r="75" spans="1:5" x14ac:dyDescent="0.25">
      <c r="A75" s="18">
        <f t="shared" ref="A75:A90" si="11">+A74+0.1</f>
        <v>6.8999999999999968</v>
      </c>
      <c r="B75" t="str">
        <f>'Financial Statements'!A39</f>
        <v>Accounts receivable, net</v>
      </c>
      <c r="C75" s="26">
        <f>'Financial Statements'!B39/'Financial Statements'!C39-1</f>
        <v>7.2532156176269069E-2</v>
      </c>
      <c r="D75" s="26">
        <f>'Financial Statements'!C39/'Financial Statements'!D39-1</f>
        <v>0.63014888337468977</v>
      </c>
      <c r="E75" s="26"/>
    </row>
    <row r="76" spans="1:5" x14ac:dyDescent="0.25">
      <c r="A76" s="18">
        <f t="shared" si="11"/>
        <v>6.9999999999999964</v>
      </c>
      <c r="B76" t="str">
        <f>'Financial Statements'!A40</f>
        <v>Inventories</v>
      </c>
      <c r="C76" s="26">
        <f>'Financial Statements'!B40/'Financial Statements'!C40-1</f>
        <v>-0.2483282674772036</v>
      </c>
      <c r="D76" s="26">
        <f>'Financial Statements'!C40/'Financial Statements'!D40-1</f>
        <v>0.62029056882541256</v>
      </c>
      <c r="E76" s="26"/>
    </row>
    <row r="77" spans="1:5" x14ac:dyDescent="0.25">
      <c r="A77" s="18">
        <f t="shared" si="11"/>
        <v>7.0999999999999961</v>
      </c>
      <c r="B77" t="str">
        <f>'Financial Statements'!A41</f>
        <v>Vendor non trade receivables</v>
      </c>
      <c r="C77" s="26">
        <f>'Financial Statements'!B41/'Financial Statements'!C41-1</f>
        <v>0.29808149674964324</v>
      </c>
      <c r="D77" s="26">
        <f>'Financial Statements'!C41/'Financial Statements'!D41-1</f>
        <v>0.18302461899179367</v>
      </c>
      <c r="E77" s="26"/>
    </row>
    <row r="78" spans="1:5" x14ac:dyDescent="0.25">
      <c r="A78" s="18">
        <f t="shared" si="11"/>
        <v>7.1999999999999957</v>
      </c>
      <c r="B78" t="str">
        <f>'Financial Statements'!A42</f>
        <v>Other current assets</v>
      </c>
      <c r="C78" s="26">
        <f>'Financial Statements'!B42/'Financial Statements'!C42-1</f>
        <v>0.50400396853518536</v>
      </c>
      <c r="D78" s="26">
        <f>'Financial Statements'!C42/'Financial Statements'!D42-1</f>
        <v>0.25275213068181812</v>
      </c>
      <c r="E78" s="26"/>
    </row>
    <row r="79" spans="1:5" x14ac:dyDescent="0.25">
      <c r="A79" s="18">
        <f t="shared" si="11"/>
        <v>7.2999999999999954</v>
      </c>
      <c r="B79" t="str">
        <f>'Financial Statements'!A45</f>
        <v>Marketable securities</v>
      </c>
      <c r="C79" s="26">
        <f>'Financial Statements'!B45/'Financial Statements'!C45-1</f>
        <v>-5.5303142863845745E-2</v>
      </c>
      <c r="D79" s="26">
        <f>'Financial Statements'!C45/'Financial Statements'!D45-1</f>
        <v>0.26752703519779564</v>
      </c>
      <c r="E79" s="26"/>
    </row>
    <row r="80" spans="1:5" x14ac:dyDescent="0.25">
      <c r="A80" s="18">
        <f t="shared" si="11"/>
        <v>7.399999999999995</v>
      </c>
      <c r="B80" t="str">
        <f>'Financial Statements'!A46</f>
        <v>Property, plant and equipment, net</v>
      </c>
      <c r="C80" s="26">
        <f>'Financial Statements'!B46/'Financial Statements'!C46-1</f>
        <v>6.7875253549695813E-2</v>
      </c>
      <c r="D80" s="26">
        <f>'Financial Statements'!C46/'Financial Statements'!D46-1</f>
        <v>7.2730239895555604E-2</v>
      </c>
      <c r="E80" s="26"/>
    </row>
    <row r="81" spans="1:5" x14ac:dyDescent="0.25">
      <c r="A81" s="18">
        <f t="shared" si="11"/>
        <v>7.4999999999999947</v>
      </c>
      <c r="B81" t="str">
        <f>'Financial Statements'!A47</f>
        <v>Other non current assets</v>
      </c>
      <c r="C81" s="26">
        <f>'Financial Statements'!B47/'Financial Statements'!C47-1</f>
        <v>0.11420909332842033</v>
      </c>
      <c r="D81" s="26">
        <f>'Financial Statements'!C47/'Financial Statements'!D47-1</f>
        <v>0.1487935656836461</v>
      </c>
      <c r="E81" s="26"/>
    </row>
    <row r="82" spans="1:5" x14ac:dyDescent="0.25">
      <c r="A82" s="18">
        <f t="shared" si="11"/>
        <v>7.5999999999999943</v>
      </c>
      <c r="B82" t="str">
        <f>'Financial Statements'!A52</f>
        <v>Accounts payable</v>
      </c>
      <c r="C82" s="26">
        <f>'Financial Statements'!B52/'Financial Statements'!C52-1</f>
        <v>0.17077223672917841</v>
      </c>
      <c r="D82" s="26">
        <f>'Financial Statements'!C52/'Financial Statements'!D52-1</f>
        <v>0.29475600529600898</v>
      </c>
      <c r="E82" s="26"/>
    </row>
    <row r="83" spans="1:5" x14ac:dyDescent="0.25">
      <c r="A83" s="18">
        <f t="shared" si="11"/>
        <v>7.699999999999994</v>
      </c>
      <c r="B83" t="str">
        <f>'Financial Statements'!A53</f>
        <v>Other current liabilities</v>
      </c>
      <c r="C83" s="26">
        <f>'Financial Statements'!B53/'Financial Statements'!C53-1</f>
        <v>0.28113616743520087</v>
      </c>
      <c r="D83" s="26">
        <f>'Financial Statements'!C53/'Financial Statements'!D53-1</f>
        <v>0.11266516727579412</v>
      </c>
      <c r="E83" s="26"/>
    </row>
    <row r="84" spans="1:5" x14ac:dyDescent="0.25">
      <c r="A84" s="18">
        <f t="shared" si="11"/>
        <v>7.7999999999999936</v>
      </c>
      <c r="B84" t="str">
        <f>'Financial Statements'!A54</f>
        <v>Deferred revenue</v>
      </c>
      <c r="C84" s="26">
        <f>'Financial Statements'!B54/'Financial Statements'!C54-1</f>
        <v>3.941145559642667E-2</v>
      </c>
      <c r="D84" s="26">
        <f>'Financial Statements'!C54/'Financial Statements'!D54-1</f>
        <v>0.14586783079933774</v>
      </c>
      <c r="E84" s="26"/>
    </row>
    <row r="85" spans="1:5" x14ac:dyDescent="0.25">
      <c r="A85" s="18">
        <f t="shared" si="11"/>
        <v>7.8999999999999932</v>
      </c>
      <c r="B85" t="str">
        <f>'Financial Statements'!A55</f>
        <v>Commercial paper</v>
      </c>
      <c r="C85" s="26">
        <f>'Financial Statements'!B55/'Financial Statements'!C55-1</f>
        <v>0.66366666666666663</v>
      </c>
      <c r="D85" s="26">
        <f>'Financial Statements'!C55/'Financial Statements'!D55-1</f>
        <v>0.20096076861489198</v>
      </c>
      <c r="E85" s="26"/>
    </row>
    <row r="86" spans="1:5" x14ac:dyDescent="0.25">
      <c r="A86" s="18">
        <f t="shared" si="11"/>
        <v>7.9999999999999929</v>
      </c>
      <c r="B86" t="str">
        <f>'Financial Statements'!A56</f>
        <v>Term debt</v>
      </c>
      <c r="C86" s="26">
        <f>'Financial Statements'!B56/'Financial Statements'!C56-1</f>
        <v>0.157599084572974</v>
      </c>
      <c r="D86" s="26">
        <f>'Financial Statements'!C56/'Financial Statements'!D56-1</f>
        <v>9.5748318705118018E-2</v>
      </c>
      <c r="E86" s="26"/>
    </row>
    <row r="87" spans="1:5" x14ac:dyDescent="0.25">
      <c r="A87" s="18">
        <f t="shared" si="11"/>
        <v>8.0999999999999925</v>
      </c>
      <c r="B87" t="str">
        <f>'Financial Statements'!A59</f>
        <v>Deferred revenue</v>
      </c>
      <c r="E87" s="26"/>
    </row>
    <row r="88" spans="1:5" x14ac:dyDescent="0.25">
      <c r="A88" s="18">
        <f t="shared" si="11"/>
        <v>8.1999999999999922</v>
      </c>
      <c r="B88" t="str">
        <f>'Financial Statements'!A60</f>
        <v>Term debt</v>
      </c>
      <c r="C88" s="26">
        <f>'Financial Statements'!B60/'Financial Statements'!C60-1</f>
        <v>-9.3001301486627663E-2</v>
      </c>
      <c r="D88" s="26">
        <f>'Financial Statements'!C60/'Financial Statements'!D60-1</f>
        <v>0.10580031824216807</v>
      </c>
      <c r="E88" s="26"/>
    </row>
    <row r="89" spans="1:5" x14ac:dyDescent="0.25">
      <c r="A89" s="18">
        <f t="shared" si="11"/>
        <v>8.2999999999999918</v>
      </c>
      <c r="B89" t="str">
        <f>'Financial Statements'!A61</f>
        <v>Other non current liabilities</v>
      </c>
      <c r="C89" s="26">
        <f>'Financial Statements'!B61/'Financial Statements'!C61-1</f>
        <v>-7.8443506797937212E-2</v>
      </c>
      <c r="D89" s="26">
        <f>'Financial Statements'!C61/'Financial Statements'!D61-1</f>
        <v>-2.1380069737566565E-2</v>
      </c>
      <c r="E89" s="26"/>
    </row>
    <row r="90" spans="1:5" x14ac:dyDescent="0.25">
      <c r="A90" s="18">
        <f t="shared" si="11"/>
        <v>8.3999999999999915</v>
      </c>
      <c r="B90" t="str">
        <f>'Financial Statements'!A69</f>
        <v>Total shareholders’ equity</v>
      </c>
      <c r="C90" s="26">
        <f>'Financial Statements'!B69/'Financial Statements'!C69-1</f>
        <v>-0.19682992550324929</v>
      </c>
      <c r="D90" s="26">
        <f>'Financial Statements'!C69/'Financial Statements'!D69-1</f>
        <v>-3.4420483937617652E-2</v>
      </c>
      <c r="E90" s="2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Damilola Adekanmbi</cp:lastModifiedBy>
  <dcterms:created xsi:type="dcterms:W3CDTF">2020-05-18T16:32:37Z</dcterms:created>
  <dcterms:modified xsi:type="dcterms:W3CDTF">2024-10-28T10:03:01Z</dcterms:modified>
</cp:coreProperties>
</file>