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amil\Downloads\Quill Capital Partners\Investment Analyst\Task 2\"/>
    </mc:Choice>
  </mc:AlternateContent>
  <xr:revisionPtr revIDLastSave="0" documentId="13_ncr:1_{1F1B56A0-0E24-4231-B842-FABEA7A31EAA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17" i="2"/>
  <c r="B22" i="2"/>
  <c r="D69" i="3" l="1"/>
  <c r="D68" i="3"/>
  <c r="D67" i="3"/>
  <c r="D66" i="3"/>
  <c r="D63" i="3"/>
  <c r="D62" i="3"/>
  <c r="C18" i="3"/>
  <c r="D65" i="3" s="1"/>
  <c r="E74" i="3" l="1"/>
  <c r="F74" i="3"/>
  <c r="D74" i="3"/>
  <c r="E72" i="3"/>
  <c r="F72" i="3"/>
  <c r="D72" i="3"/>
  <c r="E67" i="3"/>
  <c r="F67" i="3"/>
  <c r="E68" i="3"/>
  <c r="F68" i="3"/>
  <c r="E69" i="3"/>
  <c r="F69" i="3"/>
  <c r="F66" i="3"/>
  <c r="E66" i="3"/>
  <c r="F65" i="3"/>
  <c r="E65" i="3"/>
  <c r="F62" i="3"/>
  <c r="F63" i="3"/>
  <c r="E63" i="3"/>
  <c r="E62" i="3"/>
  <c r="A72" i="3"/>
  <c r="A73" i="3" s="1"/>
  <c r="A74" i="3" s="1"/>
  <c r="B66" i="3" a="1"/>
  <c r="B66" i="3" s="1"/>
  <c r="B65" i="3"/>
  <c r="B64" i="3"/>
  <c r="B63" i="3"/>
  <c r="B62" i="3"/>
  <c r="A62" i="3"/>
  <c r="A63" i="3" s="1"/>
  <c r="A64" i="3" s="1"/>
  <c r="A65" i="3" s="1"/>
  <c r="A66" i="3" s="1"/>
  <c r="A67" i="3" s="1"/>
  <c r="A68" i="3" s="1"/>
  <c r="A69" i="3" s="1"/>
  <c r="E55" i="3" l="1"/>
  <c r="F55" i="3"/>
  <c r="D55" i="3"/>
  <c r="E49" i="3"/>
  <c r="E50" i="3" s="1"/>
  <c r="F49" i="3"/>
  <c r="F50" i="3" s="1"/>
  <c r="D49" i="3"/>
  <c r="D50" i="3" s="1"/>
  <c r="E40" i="3"/>
  <c r="F40" i="3"/>
  <c r="D40" i="3"/>
  <c r="F31" i="3"/>
  <c r="E35" i="3"/>
  <c r="F35" i="3"/>
  <c r="D35" i="3"/>
  <c r="E34" i="3"/>
  <c r="E33" i="3" s="1"/>
  <c r="F34" i="3"/>
  <c r="D34" i="3"/>
  <c r="E10" i="3"/>
  <c r="F10" i="3"/>
  <c r="D10" i="3"/>
  <c r="E9" i="3"/>
  <c r="F9" i="3"/>
  <c r="D9" i="3"/>
  <c r="D33" i="3" l="1"/>
  <c r="F33" i="3"/>
  <c r="D104" i="2" l="1"/>
  <c r="C104" i="2"/>
  <c r="E104" i="2"/>
  <c r="D95" i="2"/>
  <c r="E95" i="2"/>
  <c r="C95" i="2"/>
  <c r="D88" i="2"/>
  <c r="E30" i="3" s="1"/>
  <c r="E88" i="2"/>
  <c r="C88" i="2"/>
  <c r="D30" i="3" s="1"/>
  <c r="C63" i="2"/>
  <c r="C67" i="2" s="1"/>
  <c r="C43" i="2"/>
  <c r="C48" i="2"/>
  <c r="C55" i="2"/>
  <c r="C59" i="2"/>
  <c r="E67" i="2"/>
  <c r="D67" i="2"/>
  <c r="E59" i="2"/>
  <c r="D59" i="2"/>
  <c r="E55" i="2"/>
  <c r="D55" i="2"/>
  <c r="E48" i="2"/>
  <c r="D48" i="2"/>
  <c r="E43" i="2"/>
  <c r="D43" i="2"/>
  <c r="E44" i="3" l="1"/>
  <c r="E28" i="3"/>
  <c r="E26" i="3"/>
  <c r="F28" i="3"/>
  <c r="F26" i="3"/>
  <c r="F44" i="3"/>
  <c r="D44" i="3"/>
  <c r="D28" i="3"/>
  <c r="D26" i="3"/>
  <c r="E106" i="2"/>
  <c r="E107" i="2" s="1"/>
  <c r="F30" i="3"/>
  <c r="F7" i="3"/>
  <c r="F6" i="3"/>
  <c r="D7" i="3"/>
  <c r="D6" i="3"/>
  <c r="D14" i="3"/>
  <c r="D5" i="3"/>
  <c r="E5" i="3"/>
  <c r="E14" i="3"/>
  <c r="F5" i="3"/>
  <c r="F14" i="3"/>
  <c r="C106" i="2"/>
  <c r="C107" i="2" s="1"/>
  <c r="E6" i="3"/>
  <c r="E7" i="3"/>
  <c r="E68" i="2"/>
  <c r="D49" i="2"/>
  <c r="D106" i="2"/>
  <c r="D107" i="2" s="1"/>
  <c r="D68" i="2"/>
  <c r="E49" i="2"/>
  <c r="C49" i="2"/>
  <c r="C68" i="2"/>
  <c r="F57" i="3" l="1"/>
  <c r="F27" i="3"/>
  <c r="E57" i="3"/>
  <c r="E27" i="3"/>
  <c r="D57" i="3"/>
  <c r="D27" i="3"/>
  <c r="C36" i="2"/>
  <c r="C73" i="2" s="1"/>
  <c r="D26" i="2"/>
  <c r="E26" i="2"/>
  <c r="C26" i="2"/>
  <c r="D22" i="2"/>
  <c r="E22" i="2"/>
  <c r="C22" i="2"/>
  <c r="D17" i="2"/>
  <c r="E8" i="3" s="1"/>
  <c r="E17" i="2"/>
  <c r="F8" i="3" s="1"/>
  <c r="C17" i="2"/>
  <c r="D8" i="3" s="1"/>
  <c r="D8" i="2"/>
  <c r="D9" i="2" s="1"/>
  <c r="E8" i="2"/>
  <c r="C8" i="2"/>
  <c r="C9" i="2" s="1"/>
  <c r="D3" i="3"/>
  <c r="D4" i="2"/>
  <c r="E3" i="3" s="1"/>
  <c r="A51" i="3"/>
  <c r="A53" i="3" s="1"/>
  <c r="A16" i="3"/>
  <c r="A25" i="3" s="1"/>
  <c r="A5" i="3"/>
  <c r="A6" i="3" s="1"/>
  <c r="A7" i="3" s="1"/>
  <c r="A8" i="3" s="1"/>
  <c r="A9" i="3" s="1"/>
  <c r="A10" i="3" s="1"/>
  <c r="A11" i="3" s="1"/>
  <c r="A12" i="3" s="1"/>
  <c r="A13" i="3" s="1"/>
  <c r="D64" i="3" l="1"/>
  <c r="E9" i="2"/>
  <c r="D73" i="3"/>
  <c r="D39" i="3"/>
  <c r="D38" i="3"/>
  <c r="D17" i="3"/>
  <c r="D58" i="3"/>
  <c r="D47" i="3"/>
  <c r="D46" i="3"/>
  <c r="E64" i="3"/>
  <c r="E73" i="3"/>
  <c r="E39" i="3"/>
  <c r="E38" i="3"/>
  <c r="E17" i="3"/>
  <c r="C28" i="2"/>
  <c r="D45" i="3" s="1"/>
  <c r="D32" i="3"/>
  <c r="D31" i="3" s="1"/>
  <c r="D51" i="3"/>
  <c r="D23" i="3"/>
  <c r="D48" i="3"/>
  <c r="D41" i="3"/>
  <c r="D53" i="3" s="1"/>
  <c r="F58" i="3"/>
  <c r="F47" i="3"/>
  <c r="F46" i="3"/>
  <c r="E28" i="2"/>
  <c r="F45" i="3" s="1"/>
  <c r="F23" i="3"/>
  <c r="F41" i="3"/>
  <c r="F53" i="3" s="1"/>
  <c r="F48" i="3"/>
  <c r="F51" i="3"/>
  <c r="D28" i="2"/>
  <c r="E45" i="3" s="1"/>
  <c r="E32" i="3"/>
  <c r="E31" i="3" s="1"/>
  <c r="E41" i="3"/>
  <c r="E53" i="3" s="1"/>
  <c r="E48" i="3"/>
  <c r="E51" i="3"/>
  <c r="E23" i="3"/>
  <c r="E58" i="3"/>
  <c r="E47" i="3"/>
  <c r="E46" i="3"/>
  <c r="F64" i="3"/>
  <c r="F73" i="3"/>
  <c r="F39" i="3"/>
  <c r="F38" i="3"/>
  <c r="F17" i="3"/>
  <c r="D11" i="3"/>
  <c r="D12" i="3" s="1"/>
  <c r="D13" i="3"/>
  <c r="E11" i="3"/>
  <c r="E12" i="3" s="1"/>
  <c r="E13" i="3"/>
  <c r="F11" i="3"/>
  <c r="F12" i="3" s="1"/>
  <c r="F13" i="3"/>
  <c r="D18" i="2"/>
  <c r="C18" i="2"/>
  <c r="E18" i="2"/>
  <c r="C27" i="2"/>
  <c r="E27" i="2"/>
  <c r="D27" i="2"/>
  <c r="D36" i="2"/>
  <c r="D73" i="2" s="1"/>
  <c r="E4" i="2"/>
  <c r="A37" i="3"/>
  <c r="A26" i="3"/>
  <c r="A27" i="3" s="1"/>
  <c r="A28" i="3" s="1"/>
  <c r="A29" i="3" s="1"/>
  <c r="A30" i="3" s="1"/>
  <c r="A31" i="3" s="1"/>
  <c r="A17" i="3"/>
  <c r="A19" i="3" s="1"/>
  <c r="A21" i="3" s="1"/>
  <c r="A23" i="3" s="1"/>
  <c r="D22" i="3" l="1"/>
  <c r="D52" i="3"/>
  <c r="E22" i="3"/>
  <c r="E52" i="3"/>
  <c r="F22" i="3"/>
  <c r="F52" i="3"/>
  <c r="F3" i="3"/>
  <c r="E36" i="2"/>
  <c r="E73" i="2" s="1"/>
  <c r="A38" i="3"/>
  <c r="A39" i="3" s="1"/>
  <c r="A40" i="3" s="1"/>
  <c r="A41" i="3" s="1"/>
  <c r="A43" i="3"/>
  <c r="A44" i="3" s="1"/>
  <c r="A45" i="3" s="1"/>
  <c r="A46" i="3" s="1"/>
  <c r="A47" i="3" s="1"/>
  <c r="A48" i="3" s="1"/>
  <c r="A50" i="3" s="1"/>
  <c r="A52" i="3" s="1"/>
  <c r="A54" i="3" s="1"/>
  <c r="D29" i="3" l="1"/>
  <c r="D20" i="3"/>
  <c r="D21" i="3"/>
  <c r="F20" i="3"/>
  <c r="F29" i="3"/>
  <c r="F21" i="3"/>
  <c r="E29" i="3"/>
  <c r="E20" i="3"/>
  <c r="E21" i="3"/>
  <c r="E19" i="3" l="1"/>
  <c r="E54" i="3"/>
  <c r="F19" i="3"/>
  <c r="F54" i="3"/>
  <c r="D19" i="3"/>
  <c r="D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tc={FD4B0054-1E7A-458A-A779-4D06A3A41B07}</author>
  </authors>
  <commentList>
    <comment ref="F41" authorId="0" shapeId="0" xr:uid="{FD4B0054-1E7A-458A-A779-4D06A3A41B07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used to calculate working capital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<sst xmlns="http://schemas.openxmlformats.org/spreadsheetml/2006/main" count="171" uniqueCount="165">
  <si>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</si>
  <si>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</si>
  <si>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</si>
  <si>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</si>
  <si>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</si>
  <si>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</si>
  <si>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</si>
  <si>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</si>
  <si>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</si>
  <si>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</si>
  <si>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</si>
  <si>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</si>
  <si>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</si>
  <si>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</si>
  <si>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</si>
  <si>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</si>
  <si>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</si>
  <si>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</si>
  <si>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</si>
  <si>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</si>
  <si>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</si>
  <si>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</si>
  <si>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</si>
  <si>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</si>
  <si>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</si>
  <si>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</si>
  <si>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</si>
  <si>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</si>
  <si>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</si>
  <si>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</si>
  <si>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</si>
  <si>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</si>
  <si>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</si>
  <si>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</si>
  <si>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</si>
  <si>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</si>
  <si>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</si>
  <si>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</si>
  <si>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</si>
  <si>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</si>
  <si>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</si>
  <si>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</si>
  <si>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</si>
  <si>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</si>
  <si>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</si>
  <si>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</si>
  <si>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</si>
  <si>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</si>
  <si>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</si>
  <si>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</si>
  <si>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</si>
  <si>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</si>
  <si>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</si>
  <si>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</si>
  <si>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</si>
  <si>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</si>
  <si>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</si>
  <si>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</si>
  <si>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</si>
  <si>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</si>
  <si>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</si>
  <si>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</si>
  <si>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</si>
  <si>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income (loss)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</si>
  <si>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</si>
  <si>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</si>
  <si>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</si>
  <si>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</si>
  <si>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</si>
  <si>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</si>
  <si>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</si>
  <si>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</si>
  <si>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</si>
  <si>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</si>
  <si>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</si>
  <si>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</si>
  <si>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</si>
  <si>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</si>
  <si>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</si>
  <si>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</si>
  <si>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</si>
  <si>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</si>
  <si>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</si>
  <si>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</si>
  <si>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</si>
  <si>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</si>
  <si>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</si>
  <si>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</si>
  <si>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Net sales: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</si>
  <si>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</si>
  <si>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</si>
  <si>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</si>
  <si>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</si>
  <si>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</si>
  <si>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</si>
  <si>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</si>
  <si>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</si>
  <si>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</si>
  <si>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</si>
  <si>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</si>
  <si>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</si>
  <si>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Total non-current assets</t>
  </si>
  <si>
    <t>LIABILITIES AND STOCKHOLDERS' EQUITY</t>
  </si>
  <si>
    <t>Current liabilities:</t>
  </si>
  <si>
    <t>Accounts payable</t>
  </si>
  <si>
    <t>Accrued expenses and other</t>
  </si>
  <si>
    <t>Unearned revenue</t>
  </si>
  <si>
    <t>Total current liabilites</t>
  </si>
  <si>
    <t>Long-term lease liabilities</t>
  </si>
  <si>
    <t>Long-term debt</t>
  </si>
  <si>
    <t xml:space="preserve">Other long-term liabilities </t>
  </si>
  <si>
    <t>Total long-term liabilities</t>
  </si>
  <si>
    <t xml:space="preserve">Total liabilities and stockholders' equity </t>
  </si>
  <si>
    <t>Total stockholders' equity</t>
  </si>
  <si>
    <t>Retained earnings</t>
  </si>
  <si>
    <t>Accumulated other comprehensive income (loss)</t>
  </si>
  <si>
    <t>Additional paid-in capital</t>
  </si>
  <si>
    <t>Treasury stock, at cost</t>
  </si>
  <si>
    <t>Common stock ($0.01 par value; 100,000 shares authroized; 10,644 and 10,757 shares issues; 10,175 and 10,242 shares outstanding)</t>
  </si>
  <si>
    <t>Commitments and contigencies (Note 7)</t>
  </si>
  <si>
    <t>Stockholders' equity:</t>
  </si>
  <si>
    <t>CASH, CASH EQUIVALENTS, AND RESTRICTED CASH, BEGINNING OF PERIOD</t>
  </si>
  <si>
    <t>OPERATING ACTIVITIES</t>
  </si>
  <si>
    <t>Net income</t>
  </si>
  <si>
    <t>Adjustments to reconcile net income to net cash from operating activities:</t>
  </si>
  <si>
    <t xml:space="preserve">Depreciation and amortization of property and equipment and capitalized content costs, operating lease assets, and other </t>
  </si>
  <si>
    <t>Stock-based compensation</t>
  </si>
  <si>
    <t>Other expense (income), net</t>
  </si>
  <si>
    <t xml:space="preserve">Deferred income taxes </t>
  </si>
  <si>
    <t>Changes in operating assets and liabilities:</t>
  </si>
  <si>
    <t xml:space="preserve">Accounts receivable, net and other 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</si>
  <si>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</si>
  <si>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</si>
  <si>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</si>
  <si>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</si>
  <si>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</si>
  <si>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</si>
  <si>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FINANCING ACTIVITIES:</t>
  </si>
  <si>
    <t xml:space="preserve">Common stock repurchased 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</si>
  <si>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</si>
  <si>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</si>
  <si>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</si>
  <si>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</si>
  <si>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</si>
  <si>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</si>
  <si>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</si>
  <si>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</si>
  <si>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 and restricted cash</t>
  </si>
  <si>
    <t>CASH, CASH EQUIVALENTS, AND RESTRICTED CASH, END OF PERIOD</t>
  </si>
  <si>
    <t>Net cash provided by (used in) investing activities</t>
  </si>
  <si>
    <t>Purchases of marketable securities</t>
  </si>
  <si>
    <t xml:space="preserve">Amazon </t>
  </si>
  <si>
    <t xml:space="preserve">Gross income </t>
  </si>
  <si>
    <t>OWC</t>
  </si>
  <si>
    <t>Operating current assets</t>
  </si>
  <si>
    <t>Operating current liabilities</t>
  </si>
  <si>
    <t>Share price at fiscal year end</t>
  </si>
  <si>
    <t xml:space="preserve">Book Value </t>
  </si>
  <si>
    <t>Capital employed</t>
  </si>
  <si>
    <t xml:space="preserve">Growth rates </t>
  </si>
  <si>
    <t>Miscellaneous ratios</t>
  </si>
  <si>
    <t>Income tax rate</t>
  </si>
  <si>
    <t>Capex as a % of sales</t>
  </si>
  <si>
    <t>Capex as a % of fixed assets</t>
  </si>
  <si>
    <t xml:space="preserve">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</si>
</sst>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\ &quot;x&quot;"/>
    <numFmt numFmtId="167" formatCode="#,##0.0_);[Red]\(#,##0.0\);\-"/>
    <numFmt numFmtId="168" formatCode="0.00%_);[Red]\(0.00%\)"/>
    <numFmt numFmtId="169" formatCode="0.00\ &quot;x&quot;"/>
    <numFmt numFmtId="170" formatCode="0.0000\ &quot;x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167" fontId="0" fillId="0" borderId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8" fontId="1" fillId="0" borderId="0" applyFont="0" applyFill="0" applyBorder="0" applyAlignment="0" applyProtection="0"/>
  </cellStyleXfs>
  <cellXfs count="47">
    <xf numFmtId="167" fontId="0" fillId="0" borderId="0" xfId="0"/>
    <xf numFmtId="167" fontId="0" fillId="0" borderId="0" xfId="0" applyAlignment="1">
      <alignment horizontal="left" indent="1"/>
    </xf>
    <xf numFmtId="167" fontId="0" fillId="0" borderId="0" xfId="0" applyAlignment="1">
      <alignment wrapText="1"/>
    </xf>
    <xf numFmtId="167" fontId="4" fillId="2" borderId="0" xfId="0" applyFont="1" applyFill="1" applyAlignment="1">
      <alignment wrapText="1"/>
    </xf>
    <xf numFmtId="167" fontId="2" fillId="0" borderId="0" xfId="0" applyFont="1" applyAlignment="1">
      <alignment wrapText="1"/>
    </xf>
    <xf numFmtId="167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167" fontId="6" fillId="2" borderId="0" xfId="0" applyFont="1" applyFill="1" applyAlignment="1">
      <alignment vertical="center"/>
    </xf>
    <xf numFmtId="167" fontId="3" fillId="2" borderId="0" xfId="0" applyFont="1" applyFill="1"/>
    <xf numFmtId="167" fontId="2" fillId="0" borderId="0" xfId="0" applyFont="1"/>
    <xf numFmtId="164" fontId="0" fillId="0" borderId="0" xfId="1" applyNumberFormat="1" applyFont="1"/>
    <xf numFmtId="167" fontId="2" fillId="0" borderId="1" xfId="0" applyFont="1" applyBorder="1"/>
    <xf numFmtId="164" fontId="2" fillId="0" borderId="1" xfId="1" applyNumberFormat="1" applyFont="1" applyBorder="1"/>
    <xf numFmtId="167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164" fontId="2" fillId="0" borderId="0" xfId="1" applyNumberFormat="1" applyFont="1"/>
    <xf numFmtId="167" fontId="0" fillId="0" borderId="0" xfId="0" applyAlignment="1">
      <alignment horizontal="left" indent="2"/>
    </xf>
    <xf numFmtId="167" fontId="7" fillId="2" borderId="0" xfId="0" applyFont="1" applyFill="1" applyAlignment="1">
      <alignment horizontal="left"/>
    </xf>
    <xf numFmtId="167" fontId="3" fillId="2" borderId="0" xfId="0" applyFont="1" applyFill="1" applyAlignment="1">
      <alignment horizontal="center"/>
    </xf>
    <xf numFmtId="165" fontId="0" fillId="0" borderId="0" xfId="0" applyNumberFormat="1"/>
    <xf numFmtId="167" fontId="2" fillId="0" borderId="0" xfId="0" applyFont="1" applyAlignment="1">
      <alignment horizontal="left"/>
    </xf>
    <xf numFmtId="167" fontId="0" fillId="0" borderId="1" xfId="0" applyBorder="1"/>
    <xf numFmtId="164" fontId="1" fillId="0" borderId="1" xfId="1" applyNumberFormat="1" applyFont="1" applyBorder="1"/>
    <xf numFmtId="164" fontId="1" fillId="0" borderId="0" xfId="1" applyNumberFormat="1" applyFont="1" applyBorder="1"/>
    <xf numFmtId="3" fontId="0" fillId="4" borderId="0" xfId="0" applyNumberFormat="1" applyFill="1"/>
    <xf numFmtId="43" fontId="2" fillId="0" borderId="2" xfId="1" applyFont="1" applyBorder="1"/>
    <xf numFmtId="167" fontId="9" fillId="0" borderId="0" xfId="0" applyFont="1" applyAlignment="1">
      <alignment horizontal="center"/>
    </xf>
    <xf numFmtId="167" fontId="0" fillId="0" borderId="0" xfId="0" applyAlignment="1">
      <alignment horizontal="left"/>
    </xf>
    <xf numFmtId="164" fontId="2" fillId="0" borderId="0" xfId="0" applyNumberFormat="1" applyFont="1"/>
    <xf numFmtId="167" fontId="8" fillId="0" borderId="0" xfId="0" applyFont="1" applyAlignment="1"/>
    <xf numFmtId="166" fontId="0" fillId="0" borderId="0" xfId="0" applyNumberFormat="1"/>
    <xf numFmtId="168" fontId="0" fillId="0" borderId="0" xfId="3" applyFont="1"/>
    <xf numFmtId="169" fontId="0" fillId="0" borderId="0" xfId="0" applyNumberFormat="1"/>
    <xf numFmtId="170" fontId="0" fillId="0" borderId="0" xfId="0" applyNumberFormat="1"/>
    <xf numFmtId="167" fontId="0" fillId="0" borderId="0" xfId="0" applyBorder="1"/>
    <xf numFmtId="167" fontId="2" fillId="0" borderId="0" xfId="0" applyFont="1" applyBorder="1"/>
    <xf numFmtId="168" fontId="2" fillId="0" borderId="0" xfId="3" applyFont="1" applyBorder="1"/>
    <xf numFmtId="167" fontId="2" fillId="0" borderId="0" xfId="0" applyFont="1" applyAlignment="1">
      <alignment horizontal="center"/>
    </xf>
    <xf numFmtId="167" fontId="2" fillId="3" borderId="0" xfId="0" applyFont="1" applyFill="1" applyAlignment="1">
      <alignment horizontal="center"/>
    </xf>
    <xf numFmtId="164" fontId="0" fillId="5" borderId="0" xfId="1" applyNumberFormat="1" applyFont="1" applyFill="1"/>
    <xf numFmtId="167" fontId="0" fillId="5" borderId="0" xfId="0" applyFill="1"/>
    <xf numFmtId="167" fontId="2" fillId="5" borderId="0" xfId="0" applyFont="1" applyFill="1"/>
    <xf numFmtId="167" fontId="0" fillId="5" borderId="0" xfId="0" applyFill="1" applyAlignment="1">
      <alignment horizontal="left" indent="1"/>
    </xf>
    <xf numFmtId="167" fontId="0" fillId="5" borderId="0" xfId="0" applyFill="1" applyAlignment="1">
      <alignment horizontal="left" indent="2"/>
    </xf>
    <xf numFmtId="167" fontId="2" fillId="5" borderId="0" xfId="0" applyFont="1" applyFill="1" applyAlignment="1">
      <alignment horizontal="left"/>
    </xf>
    <xf numFmtId="167" fontId="0" fillId="5" borderId="0" xfId="0" applyFill="1" applyBorder="1"/>
  </cellXfs>
  <cellStyles count="4">
    <cellStyle name="Comma" xfId="1" builtinId="3"/>
    <cellStyle name="Hyperlink" xfId="2" builtinId="8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milola Adekanmbi" id="{980A5C85-2B8E-4084-AB74-909795731449}" userId="7c6e966e064ffc5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1" dT="2024-11-20T12:52:26.41" personId="{980A5C85-2B8E-4084-AB74-909795731449}" id="{FD4B0054-1E7A-458A-A779-4D06A3A41B07}">
    <text>Only used to calculate working capital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opLeftCell="A22"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1"/>
  <sheetViews>
    <sheetView topLeftCell="A42" zoomScale="160" zoomScaleNormal="160" workbookViewId="0">
      <selection activeCell="B4" sqref="B4"/>
    </sheetView>
  </sheetViews>
  <sheetFormatPr defaultRowHeight="15" x14ac:dyDescent="0.25"/>
  <cols>
    <col min="1" max="1" width="59" customWidth="1"/>
    <col min="2" max="2" width="11.5703125" customWidth="1"/>
    <col min="3" max="4" width="11.5703125" bestFit="1" customWidth="1"/>
    <col min="5" max="5" width="11.7109375" bestFit="1" customWidth="1"/>
    <col min="6" max="6" width="11.28515625" bestFit="1" customWidth="1"/>
  </cols>
  <sheetData>
    <row r="1" spans="1:11" ht="60" customHeight="1" x14ac:dyDescent="0.25">
      <c r="A1" s="7" t="s">
        <v>62</v>
      </c>
      <c r="B1" s="7"/>
      <c r="C1" s="8" t="s">
        <v>9</v>
      </c>
      <c r="D1" s="8"/>
      <c r="E1" s="8"/>
      <c r="F1" s="8"/>
      <c r="G1" s="8"/>
      <c r="H1" s="8"/>
      <c r="I1" s="8"/>
      <c r="J1" s="8"/>
      <c r="K1" s="8"/>
    </row>
    <row r="2" spans="1:11" x14ac:dyDescent="0.25">
      <c r="A2" s="39" t="s">
        <v>10</v>
      </c>
      <c r="B2" s="39"/>
      <c r="C2" s="39"/>
      <c r="D2" s="39"/>
      <c r="E2" s="39"/>
    </row>
    <row r="3" spans="1:11" x14ac:dyDescent="0.25">
      <c r="C3" s="38" t="s">
        <v>56</v>
      </c>
      <c r="D3" s="38"/>
      <c r="E3" s="38"/>
    </row>
    <row r="4" spans="1:11" x14ac:dyDescent="0.25">
      <c r="B4" s="9">
        <v>2019</v>
      </c>
      <c r="C4" s="9">
        <v>2020</v>
      </c>
      <c r="D4" s="9">
        <f>+C4+1</f>
        <v>2021</v>
      </c>
      <c r="E4" s="9">
        <f>+D4+1</f>
        <v>2022</v>
      </c>
    </row>
    <row r="5" spans="1:11" x14ac:dyDescent="0.25">
      <c r="A5" t="s">
        <v>88</v>
      </c>
    </row>
    <row r="6" spans="1:11" x14ac:dyDescent="0.25">
      <c r="A6" s="1" t="s">
        <v>64</v>
      </c>
      <c r="B6" s="40">
        <v>160408</v>
      </c>
      <c r="C6" s="15">
        <v>215915</v>
      </c>
      <c r="D6" s="15">
        <v>241787</v>
      </c>
      <c r="E6" s="15">
        <v>242901</v>
      </c>
    </row>
    <row r="7" spans="1:11" x14ac:dyDescent="0.25">
      <c r="A7" s="1" t="s">
        <v>65</v>
      </c>
      <c r="B7" s="40">
        <v>120114</v>
      </c>
      <c r="C7" s="10">
        <v>170149</v>
      </c>
      <c r="D7" s="10">
        <v>228035</v>
      </c>
      <c r="E7" s="10">
        <v>271082</v>
      </c>
    </row>
    <row r="8" spans="1:11" x14ac:dyDescent="0.25">
      <c r="A8" s="11" t="s">
        <v>66</v>
      </c>
      <c r="B8" s="40">
        <f>SUM(B6:B7)</f>
        <v>280522</v>
      </c>
      <c r="C8" s="12">
        <f>SUM(C6:C7)</f>
        <v>386064</v>
      </c>
      <c r="D8" s="12">
        <f>SUM(D6:D7)</f>
        <v>469822</v>
      </c>
      <c r="E8" s="12">
        <f>SUM(E6:E7)</f>
        <v>513983</v>
      </c>
    </row>
    <row r="9" spans="1:11" x14ac:dyDescent="0.25">
      <c r="A9" s="36" t="s">
        <v>164</v>
      </c>
      <c r="B9" s="40"/>
      <c r="C9" s="37">
        <f>C8/B8-1</f>
        <v>0.37623430604373276</v>
      </c>
      <c r="D9" s="37">
        <f>D8/C8-1</f>
        <v>0.21695366571345676</v>
      </c>
      <c r="E9" s="37">
        <f>E8/D8-1</f>
        <v>9.399517263985091E-2</v>
      </c>
    </row>
    <row r="10" spans="1:11" x14ac:dyDescent="0.25">
      <c r="A10" t="s">
        <v>67</v>
      </c>
      <c r="B10" s="40"/>
      <c r="C10" s="10"/>
      <c r="D10" s="10"/>
      <c r="E10" s="10"/>
    </row>
    <row r="11" spans="1:11" x14ac:dyDescent="0.25">
      <c r="A11" s="1" t="s">
        <v>68</v>
      </c>
      <c r="B11" s="40">
        <v>165536</v>
      </c>
      <c r="C11" s="10">
        <v>233307</v>
      </c>
      <c r="D11" s="10">
        <v>272344</v>
      </c>
      <c r="E11" s="10">
        <v>288831</v>
      </c>
    </row>
    <row r="12" spans="1:11" x14ac:dyDescent="0.25">
      <c r="A12" s="1" t="s">
        <v>69</v>
      </c>
      <c r="B12" s="40">
        <v>40232</v>
      </c>
      <c r="C12" s="10">
        <v>58517</v>
      </c>
      <c r="D12" s="10">
        <v>75111</v>
      </c>
      <c r="E12" s="10">
        <v>84299</v>
      </c>
    </row>
    <row r="13" spans="1:11" x14ac:dyDescent="0.25">
      <c r="A13" s="1" t="s">
        <v>70</v>
      </c>
      <c r="B13" s="40">
        <v>35931</v>
      </c>
      <c r="C13" s="10">
        <v>42740</v>
      </c>
      <c r="D13" s="10">
        <v>56052</v>
      </c>
      <c r="E13" s="10">
        <v>73213</v>
      </c>
    </row>
    <row r="14" spans="1:11" x14ac:dyDescent="0.25">
      <c r="A14" s="1" t="s">
        <v>71</v>
      </c>
      <c r="B14" s="40">
        <v>18878</v>
      </c>
      <c r="C14" s="10">
        <v>22008</v>
      </c>
      <c r="D14" s="10">
        <v>32551</v>
      </c>
      <c r="E14" s="10">
        <v>42238</v>
      </c>
    </row>
    <row r="15" spans="1:11" x14ac:dyDescent="0.25">
      <c r="A15" s="1" t="s">
        <v>72</v>
      </c>
      <c r="B15" s="40">
        <v>5203</v>
      </c>
      <c r="C15" s="10">
        <v>6668</v>
      </c>
      <c r="D15" s="10">
        <v>8823</v>
      </c>
      <c r="E15" s="10">
        <v>11891</v>
      </c>
    </row>
    <row r="16" spans="1:11" x14ac:dyDescent="0.25">
      <c r="A16" s="1" t="s">
        <v>73</v>
      </c>
      <c r="B16" s="40">
        <v>201</v>
      </c>
      <c r="C16" s="10">
        <v>-75</v>
      </c>
      <c r="D16" s="10">
        <v>62</v>
      </c>
      <c r="E16" s="10">
        <v>1263</v>
      </c>
    </row>
    <row r="17" spans="1:5" x14ac:dyDescent="0.25">
      <c r="A17" s="11" t="s">
        <v>74</v>
      </c>
      <c r="B17" s="40">
        <f>SUM(B11:B16)</f>
        <v>265981</v>
      </c>
      <c r="C17" s="12">
        <f>SUM(C11:C16)</f>
        <v>363165</v>
      </c>
      <c r="D17" s="12">
        <f>SUM(D11:D16)</f>
        <v>444943</v>
      </c>
      <c r="E17" s="12">
        <f>SUM(E11:E16)</f>
        <v>501735</v>
      </c>
    </row>
    <row r="18" spans="1:5" x14ac:dyDescent="0.25">
      <c r="A18" s="11" t="s">
        <v>75</v>
      </c>
      <c r="B18" s="40"/>
      <c r="C18" s="12">
        <f>C8-C17</f>
        <v>22899</v>
      </c>
      <c r="D18" s="12">
        <f>D8-D17</f>
        <v>24879</v>
      </c>
      <c r="E18" s="12">
        <f>E8-E17</f>
        <v>12248</v>
      </c>
    </row>
    <row r="19" spans="1:5" x14ac:dyDescent="0.25">
      <c r="A19" t="s">
        <v>76</v>
      </c>
      <c r="B19" s="40">
        <v>832</v>
      </c>
      <c r="C19" s="10">
        <v>555</v>
      </c>
      <c r="D19" s="10">
        <v>448</v>
      </c>
      <c r="E19" s="10">
        <v>989</v>
      </c>
    </row>
    <row r="20" spans="1:5" x14ac:dyDescent="0.25">
      <c r="A20" s="1" t="s">
        <v>77</v>
      </c>
      <c r="B20" s="40">
        <v>-1600</v>
      </c>
      <c r="C20" s="10">
        <v>-1647</v>
      </c>
      <c r="D20" s="10">
        <v>-1809</v>
      </c>
      <c r="E20" s="10">
        <v>-2367</v>
      </c>
    </row>
    <row r="21" spans="1:5" x14ac:dyDescent="0.25">
      <c r="A21" s="1" t="s">
        <v>78</v>
      </c>
      <c r="B21" s="40">
        <v>203</v>
      </c>
      <c r="C21" s="10">
        <v>2371</v>
      </c>
      <c r="D21" s="10">
        <v>14633</v>
      </c>
      <c r="E21" s="10">
        <v>-16806</v>
      </c>
    </row>
    <row r="22" spans="1:5" x14ac:dyDescent="0.25">
      <c r="A22" s="11" t="s">
        <v>79</v>
      </c>
      <c r="B22" s="40">
        <f>SUM(B19:B21)</f>
        <v>-565</v>
      </c>
      <c r="C22" s="12">
        <f>SUM(C19:C21)</f>
        <v>1279</v>
      </c>
      <c r="D22" s="12">
        <f>SUM(D19:D21)</f>
        <v>13272</v>
      </c>
      <c r="E22" s="12">
        <f>SUM(E19:E21)</f>
        <v>-18184</v>
      </c>
    </row>
    <row r="23" spans="1:5" s="11" customFormat="1" x14ac:dyDescent="0.25">
      <c r="A23" s="22" t="s">
        <v>80</v>
      </c>
      <c r="B23" s="22"/>
      <c r="C23" s="23">
        <v>24178</v>
      </c>
      <c r="D23" s="23">
        <v>38151</v>
      </c>
      <c r="E23" s="23">
        <v>-5936</v>
      </c>
    </row>
    <row r="24" spans="1:5" s="9" customFormat="1" x14ac:dyDescent="0.25">
      <c r="A24" t="s">
        <v>81</v>
      </c>
      <c r="B24"/>
      <c r="C24" s="24">
        <v>-2863</v>
      </c>
      <c r="D24" s="24">
        <v>-4791</v>
      </c>
      <c r="E24" s="24">
        <v>3217</v>
      </c>
    </row>
    <row r="25" spans="1:5" x14ac:dyDescent="0.25">
      <c r="A25" t="s">
        <v>82</v>
      </c>
      <c r="C25" s="10">
        <v>16</v>
      </c>
      <c r="D25" s="10">
        <v>4</v>
      </c>
      <c r="E25" s="10">
        <v>-3</v>
      </c>
    </row>
    <row r="26" spans="1:5" ht="15.75" thickBot="1" x14ac:dyDescent="0.3">
      <c r="A26" s="13" t="s">
        <v>63</v>
      </c>
      <c r="B26" s="13"/>
      <c r="C26" s="14">
        <f>SUM(C23:C25)</f>
        <v>21331</v>
      </c>
      <c r="D26" s="14">
        <f>SUM(D23:D25)</f>
        <v>33364</v>
      </c>
      <c r="E26" s="14">
        <f>SUM(E23:E25)</f>
        <v>-2722</v>
      </c>
    </row>
    <row r="27" spans="1:5" ht="16.5" thickTop="1" thickBot="1" x14ac:dyDescent="0.3">
      <c r="A27" s="13" t="s">
        <v>83</v>
      </c>
      <c r="B27" s="13"/>
      <c r="C27" s="26">
        <f>C26/C30</f>
        <v>2.1320339830084958</v>
      </c>
      <c r="D27" s="26">
        <f>D26/D30</f>
        <v>3.2978155579717305</v>
      </c>
      <c r="E27" s="26">
        <f>E26/E30</f>
        <v>-0.2671508489547551</v>
      </c>
    </row>
    <row r="28" spans="1:5" ht="16.5" thickTop="1" thickBot="1" x14ac:dyDescent="0.3">
      <c r="A28" s="13" t="s">
        <v>84</v>
      </c>
      <c r="B28" s="13"/>
      <c r="C28" s="26">
        <f>C26/C31</f>
        <v>2.0916846440478527</v>
      </c>
      <c r="D28" s="26">
        <f>D26/D31</f>
        <v>3.2404817404817403</v>
      </c>
      <c r="E28" s="26">
        <f>E26/E31</f>
        <v>-0.2671508489547551</v>
      </c>
    </row>
    <row r="29" spans="1:5" ht="15.75" thickTop="1" x14ac:dyDescent="0.25">
      <c r="A29" t="s">
        <v>85</v>
      </c>
    </row>
    <row r="30" spans="1:5" x14ac:dyDescent="0.25">
      <c r="A30" s="1" t="s">
        <v>86</v>
      </c>
      <c r="B30" s="1"/>
      <c r="C30" s="25">
        <v>10005</v>
      </c>
      <c r="D30" s="25">
        <v>10117</v>
      </c>
      <c r="E30" s="25">
        <v>10189</v>
      </c>
    </row>
    <row r="31" spans="1:5" x14ac:dyDescent="0.25">
      <c r="A31" s="1" t="s">
        <v>87</v>
      </c>
      <c r="B31" s="1"/>
      <c r="C31" s="25">
        <v>10198</v>
      </c>
      <c r="D31" s="25">
        <v>10296</v>
      </c>
      <c r="E31" s="25">
        <v>10189</v>
      </c>
    </row>
    <row r="34" spans="1:6" x14ac:dyDescent="0.25">
      <c r="A34" s="39" t="s">
        <v>12</v>
      </c>
      <c r="B34" s="39"/>
      <c r="C34" s="39"/>
      <c r="D34" s="39"/>
      <c r="E34" s="39"/>
    </row>
    <row r="35" spans="1:6" x14ac:dyDescent="0.25">
      <c r="C35" s="38" t="s">
        <v>57</v>
      </c>
      <c r="D35" s="38"/>
      <c r="E35" s="38"/>
    </row>
    <row r="36" spans="1:6" x14ac:dyDescent="0.25">
      <c r="C36" s="9">
        <f>C4</f>
        <v>2020</v>
      </c>
      <c r="D36" s="9">
        <f>D4</f>
        <v>2021</v>
      </c>
      <c r="E36" s="9">
        <f>E4</f>
        <v>2022</v>
      </c>
    </row>
    <row r="37" spans="1:6" x14ac:dyDescent="0.25">
      <c r="A37" s="27" t="s">
        <v>89</v>
      </c>
      <c r="B37" s="27"/>
    </row>
    <row r="38" spans="1:6" x14ac:dyDescent="0.25">
      <c r="A38" t="s">
        <v>90</v>
      </c>
    </row>
    <row r="39" spans="1:6" x14ac:dyDescent="0.25">
      <c r="A39" s="1" t="s">
        <v>91</v>
      </c>
      <c r="B39" s="1"/>
      <c r="C39" s="10">
        <v>42122</v>
      </c>
      <c r="D39" s="10">
        <v>36220</v>
      </c>
      <c r="E39" s="10">
        <v>53888</v>
      </c>
    </row>
    <row r="40" spans="1:6" x14ac:dyDescent="0.25">
      <c r="A40" s="1" t="s">
        <v>92</v>
      </c>
      <c r="B40" s="1"/>
      <c r="C40" s="10">
        <v>42274</v>
      </c>
      <c r="D40" s="10">
        <v>59829</v>
      </c>
      <c r="E40" s="10">
        <v>16138</v>
      </c>
    </row>
    <row r="41" spans="1:6" x14ac:dyDescent="0.25">
      <c r="A41" s="1" t="s">
        <v>93</v>
      </c>
      <c r="B41" s="1"/>
      <c r="C41" s="10">
        <v>23795</v>
      </c>
      <c r="D41" s="10">
        <v>32640</v>
      </c>
      <c r="E41" s="10">
        <v>34405</v>
      </c>
      <c r="F41" s="40">
        <v>33318</v>
      </c>
    </row>
    <row r="42" spans="1:6" x14ac:dyDescent="0.25">
      <c r="A42" s="1" t="s">
        <v>94</v>
      </c>
      <c r="B42" s="1"/>
      <c r="C42" s="10">
        <v>24542</v>
      </c>
      <c r="D42" s="10">
        <v>32891</v>
      </c>
      <c r="E42" s="10">
        <v>42360</v>
      </c>
      <c r="F42" s="40">
        <v>52253</v>
      </c>
    </row>
    <row r="43" spans="1:6" x14ac:dyDescent="0.25">
      <c r="A43" s="11" t="s">
        <v>95</v>
      </c>
      <c r="B43" s="11"/>
      <c r="C43" s="12">
        <f>SUM(C39:C42)</f>
        <v>132733</v>
      </c>
      <c r="D43" s="12">
        <f>SUM(D39:D42)</f>
        <v>161580</v>
      </c>
      <c r="E43" s="12">
        <f>SUM(E39:E42)</f>
        <v>146791</v>
      </c>
    </row>
    <row r="44" spans="1:6" x14ac:dyDescent="0.25">
      <c r="A44" s="1" t="s">
        <v>96</v>
      </c>
      <c r="B44" s="1"/>
      <c r="C44" s="10">
        <v>113114</v>
      </c>
      <c r="D44" s="10">
        <v>160281</v>
      </c>
      <c r="E44" s="10">
        <v>186715</v>
      </c>
    </row>
    <row r="45" spans="1:6" x14ac:dyDescent="0.25">
      <c r="A45" s="1" t="s">
        <v>97</v>
      </c>
      <c r="B45" s="1"/>
      <c r="C45" s="10">
        <v>37553</v>
      </c>
      <c r="D45" s="10">
        <v>56082</v>
      </c>
      <c r="E45" s="10">
        <v>66123</v>
      </c>
    </row>
    <row r="46" spans="1:6" x14ac:dyDescent="0.25">
      <c r="A46" s="1" t="s">
        <v>98</v>
      </c>
      <c r="B46" s="1"/>
      <c r="C46" s="10">
        <v>15017</v>
      </c>
      <c r="D46" s="10">
        <v>15371</v>
      </c>
      <c r="E46" s="10">
        <v>20288</v>
      </c>
    </row>
    <row r="47" spans="1:6" x14ac:dyDescent="0.25">
      <c r="A47" s="1" t="s">
        <v>99</v>
      </c>
      <c r="B47" s="1"/>
      <c r="C47" s="10">
        <v>22778</v>
      </c>
      <c r="D47" s="10">
        <v>27235</v>
      </c>
      <c r="E47" s="10">
        <v>42758</v>
      </c>
    </row>
    <row r="48" spans="1:6" x14ac:dyDescent="0.25">
      <c r="A48" s="11" t="s">
        <v>101</v>
      </c>
      <c r="B48" s="11"/>
      <c r="C48" s="12">
        <f>SUM(C44:C47)</f>
        <v>188462</v>
      </c>
      <c r="D48" s="12">
        <f>SUM(D44:D47)</f>
        <v>258969</v>
      </c>
      <c r="E48" s="12">
        <f>SUM(E44:E47)</f>
        <v>315884</v>
      </c>
    </row>
    <row r="49" spans="1:6" ht="15.75" thickBot="1" x14ac:dyDescent="0.3">
      <c r="A49" s="13" t="s">
        <v>100</v>
      </c>
      <c r="B49" s="13"/>
      <c r="C49" s="14">
        <f>SUM(C43,C48)</f>
        <v>321195</v>
      </c>
      <c r="D49" s="14">
        <f>SUM(D43,D48)</f>
        <v>420549</v>
      </c>
      <c r="E49" s="14">
        <f>SUM(E43,E48)</f>
        <v>462675</v>
      </c>
    </row>
    <row r="50" spans="1:6" ht="15.75" thickTop="1" x14ac:dyDescent="0.25">
      <c r="A50" s="27" t="s">
        <v>102</v>
      </c>
      <c r="B50" s="27"/>
    </row>
    <row r="51" spans="1:6" x14ac:dyDescent="0.25">
      <c r="A51" t="s">
        <v>103</v>
      </c>
    </row>
    <row r="52" spans="1:6" x14ac:dyDescent="0.25">
      <c r="A52" s="1" t="s">
        <v>104</v>
      </c>
      <c r="B52" s="1"/>
      <c r="C52" s="10">
        <v>72539</v>
      </c>
      <c r="D52" s="10">
        <v>78664</v>
      </c>
      <c r="E52" s="10">
        <v>79600</v>
      </c>
      <c r="F52" s="40">
        <v>84981</v>
      </c>
    </row>
    <row r="53" spans="1:6" x14ac:dyDescent="0.25">
      <c r="A53" s="1" t="s">
        <v>105</v>
      </c>
      <c r="B53" s="1"/>
      <c r="C53" s="10">
        <v>44138</v>
      </c>
      <c r="D53" s="10">
        <v>51775</v>
      </c>
      <c r="E53" s="10">
        <v>62566</v>
      </c>
      <c r="F53" s="40">
        <v>64709</v>
      </c>
    </row>
    <row r="54" spans="1:6" x14ac:dyDescent="0.25">
      <c r="A54" s="1" t="s">
        <v>106</v>
      </c>
      <c r="B54" s="1"/>
      <c r="C54" s="10">
        <v>9708</v>
      </c>
      <c r="D54" s="10">
        <v>11827</v>
      </c>
      <c r="E54" s="10">
        <v>13227</v>
      </c>
      <c r="F54" s="40">
        <v>15227</v>
      </c>
    </row>
    <row r="55" spans="1:6" x14ac:dyDescent="0.25">
      <c r="A55" s="11" t="s">
        <v>107</v>
      </c>
      <c r="B55" s="11"/>
      <c r="C55" s="12">
        <f>SUM(C52:C54)</f>
        <v>126385</v>
      </c>
      <c r="D55" s="12">
        <f>SUM(D52:D54)</f>
        <v>142266</v>
      </c>
      <c r="E55" s="12">
        <f>SUM(E52:E54)</f>
        <v>155393</v>
      </c>
    </row>
    <row r="56" spans="1:6" x14ac:dyDescent="0.25">
      <c r="A56" s="1" t="s">
        <v>108</v>
      </c>
      <c r="B56" s="1"/>
      <c r="C56" s="10">
        <v>52573</v>
      </c>
      <c r="D56" s="10">
        <v>67651</v>
      </c>
      <c r="E56" s="10">
        <v>72968</v>
      </c>
    </row>
    <row r="57" spans="1:6" x14ac:dyDescent="0.25">
      <c r="A57" s="1" t="s">
        <v>109</v>
      </c>
      <c r="B57" s="1"/>
      <c r="C57" s="10">
        <v>31816</v>
      </c>
      <c r="D57" s="10">
        <v>48744</v>
      </c>
      <c r="E57" s="10">
        <v>67150</v>
      </c>
    </row>
    <row r="58" spans="1:6" x14ac:dyDescent="0.25">
      <c r="A58" s="1" t="s">
        <v>110</v>
      </c>
      <c r="B58" s="1"/>
      <c r="C58" s="10">
        <v>17017</v>
      </c>
      <c r="D58" s="10">
        <v>23643</v>
      </c>
      <c r="E58" s="10">
        <v>21212</v>
      </c>
    </row>
    <row r="59" spans="1:6" x14ac:dyDescent="0.25">
      <c r="A59" s="11" t="s">
        <v>111</v>
      </c>
      <c r="B59" s="11"/>
      <c r="C59" s="12">
        <f>SUM(C56:C58)</f>
        <v>101406</v>
      </c>
      <c r="D59" s="12">
        <f>SUM(D56:D58)</f>
        <v>140038</v>
      </c>
      <c r="E59" s="12">
        <f>SUM(E56:E58)</f>
        <v>161330</v>
      </c>
    </row>
    <row r="60" spans="1:6" x14ac:dyDescent="0.25">
      <c r="A60" s="28" t="s">
        <v>119</v>
      </c>
      <c r="B60" s="28"/>
      <c r="C60" s="10"/>
      <c r="D60" s="10"/>
      <c r="E60" s="10"/>
    </row>
    <row r="61" spans="1:6" x14ac:dyDescent="0.25">
      <c r="A61" s="28" t="s">
        <v>120</v>
      </c>
      <c r="B61" s="28"/>
      <c r="C61" s="10"/>
      <c r="D61" s="10"/>
      <c r="E61" s="10"/>
    </row>
    <row r="62" spans="1:6" x14ac:dyDescent="0.25">
      <c r="A62" s="1" t="s">
        <v>118</v>
      </c>
      <c r="B62" s="1"/>
      <c r="C62" s="10">
        <v>5</v>
      </c>
      <c r="D62" s="10">
        <v>106</v>
      </c>
      <c r="E62" s="10">
        <v>108</v>
      </c>
    </row>
    <row r="63" spans="1:6" x14ac:dyDescent="0.25">
      <c r="A63" s="1" t="s">
        <v>117</v>
      </c>
      <c r="B63" s="1"/>
      <c r="C63" s="10">
        <f>-(1837)</f>
        <v>-1837</v>
      </c>
      <c r="D63" s="10">
        <v>-1837</v>
      </c>
      <c r="E63" s="10">
        <v>-7837</v>
      </c>
    </row>
    <row r="64" spans="1:6" x14ac:dyDescent="0.25">
      <c r="A64" s="1" t="s">
        <v>116</v>
      </c>
      <c r="B64" s="1"/>
      <c r="C64" s="10">
        <v>42865</v>
      </c>
      <c r="D64" s="10">
        <v>55437</v>
      </c>
      <c r="E64" s="10">
        <v>75066</v>
      </c>
    </row>
    <row r="65" spans="1:5" x14ac:dyDescent="0.25">
      <c r="A65" s="1" t="s">
        <v>115</v>
      </c>
      <c r="B65" s="1"/>
      <c r="C65" s="10">
        <v>-180</v>
      </c>
      <c r="D65" s="10">
        <v>-1376</v>
      </c>
      <c r="E65" s="10">
        <v>-4487</v>
      </c>
    </row>
    <row r="66" spans="1:5" x14ac:dyDescent="0.25">
      <c r="A66" s="1" t="s">
        <v>114</v>
      </c>
      <c r="B66" s="1"/>
      <c r="C66" s="10">
        <v>52551</v>
      </c>
      <c r="D66" s="10">
        <v>85915</v>
      </c>
      <c r="E66" s="10">
        <v>83193</v>
      </c>
    </row>
    <row r="67" spans="1:5" ht="15.75" thickBot="1" x14ac:dyDescent="0.3">
      <c r="A67" s="13" t="s">
        <v>113</v>
      </c>
      <c r="B67" s="13"/>
      <c r="C67" s="14">
        <f>SUM(C62:C66)</f>
        <v>93404</v>
      </c>
      <c r="D67" s="14">
        <f>SUM(D62:D66)</f>
        <v>138245</v>
      </c>
      <c r="E67" s="14">
        <f>SUM(E62:E66)</f>
        <v>146043</v>
      </c>
    </row>
    <row r="68" spans="1:5" ht="15.75" thickTop="1" x14ac:dyDescent="0.25">
      <c r="A68" s="9" t="s">
        <v>112</v>
      </c>
      <c r="B68" s="9"/>
      <c r="C68" s="29">
        <f>SUM(C55,C59,C67)</f>
        <v>321195</v>
      </c>
      <c r="D68" s="29">
        <f>SUM(D55,D59,D67)</f>
        <v>420549</v>
      </c>
      <c r="E68" s="29">
        <f>SUM(E55,E59,E67)</f>
        <v>462766</v>
      </c>
    </row>
    <row r="69" spans="1:5" x14ac:dyDescent="0.25">
      <c r="A69" s="9"/>
      <c r="B69" s="9"/>
      <c r="C69" s="29"/>
      <c r="D69" s="29"/>
      <c r="E69" s="29"/>
    </row>
    <row r="70" spans="1:5" x14ac:dyDescent="0.25">
      <c r="A70" s="9"/>
      <c r="B70" s="9"/>
      <c r="C70" s="29"/>
      <c r="D70" s="29"/>
      <c r="E70" s="29"/>
    </row>
    <row r="71" spans="1:5" x14ac:dyDescent="0.25">
      <c r="A71" s="39" t="s">
        <v>13</v>
      </c>
      <c r="B71" s="39"/>
      <c r="C71" s="39"/>
      <c r="D71" s="39"/>
      <c r="E71" s="39"/>
    </row>
    <row r="72" spans="1:5" x14ac:dyDescent="0.25">
      <c r="C72" s="38" t="s">
        <v>56</v>
      </c>
      <c r="D72" s="38"/>
      <c r="E72" s="38"/>
    </row>
    <row r="73" spans="1:5" x14ac:dyDescent="0.25">
      <c r="C73" s="9">
        <f>C36</f>
        <v>2020</v>
      </c>
      <c r="D73" s="9">
        <f>D36</f>
        <v>2021</v>
      </c>
      <c r="E73" s="9">
        <f>E36</f>
        <v>2022</v>
      </c>
    </row>
    <row r="74" spans="1:5" x14ac:dyDescent="0.25">
      <c r="A74" s="30" t="s">
        <v>121</v>
      </c>
      <c r="B74" s="30"/>
      <c r="C74" s="15">
        <v>36410</v>
      </c>
      <c r="D74" s="15">
        <v>42377</v>
      </c>
      <c r="E74" s="15">
        <v>36477</v>
      </c>
    </row>
    <row r="75" spans="1:5" x14ac:dyDescent="0.25">
      <c r="A75" t="s">
        <v>122</v>
      </c>
      <c r="C75" s="16"/>
      <c r="D75" s="16"/>
      <c r="E75" s="16"/>
    </row>
    <row r="76" spans="1:5" x14ac:dyDescent="0.25">
      <c r="A76" t="s">
        <v>123</v>
      </c>
      <c r="C76" s="10">
        <v>21331</v>
      </c>
      <c r="D76" s="10">
        <v>33364</v>
      </c>
      <c r="E76" s="10">
        <v>-2722</v>
      </c>
    </row>
    <row r="77" spans="1:5" x14ac:dyDescent="0.25">
      <c r="A77" s="28" t="s">
        <v>124</v>
      </c>
      <c r="B77" s="28"/>
      <c r="C77" s="16"/>
      <c r="D77" s="16"/>
      <c r="E77" s="16"/>
    </row>
    <row r="78" spans="1:5" x14ac:dyDescent="0.25">
      <c r="A78" s="1" t="s">
        <v>125</v>
      </c>
      <c r="B78" s="1"/>
      <c r="C78" s="10">
        <v>25180</v>
      </c>
      <c r="D78" s="10">
        <v>34433</v>
      </c>
      <c r="E78" s="10">
        <v>41921</v>
      </c>
    </row>
    <row r="79" spans="1:5" x14ac:dyDescent="0.25">
      <c r="A79" s="1" t="s">
        <v>126</v>
      </c>
      <c r="B79" s="1"/>
      <c r="C79" s="10">
        <v>9208</v>
      </c>
      <c r="D79" s="10">
        <v>12757</v>
      </c>
      <c r="E79" s="10">
        <v>19621</v>
      </c>
    </row>
    <row r="80" spans="1:5" x14ac:dyDescent="0.25">
      <c r="A80" s="1" t="s">
        <v>127</v>
      </c>
      <c r="B80" s="1"/>
      <c r="C80" s="10">
        <v>-2582</v>
      </c>
      <c r="D80" s="10">
        <v>-14306</v>
      </c>
      <c r="E80" s="10">
        <v>16966</v>
      </c>
    </row>
    <row r="81" spans="1:5" x14ac:dyDescent="0.25">
      <c r="A81" s="1" t="s">
        <v>128</v>
      </c>
      <c r="B81" s="1"/>
      <c r="C81" s="10">
        <v>-554</v>
      </c>
      <c r="D81" s="10">
        <v>-310</v>
      </c>
      <c r="E81" s="10">
        <v>-8148</v>
      </c>
    </row>
    <row r="82" spans="1:5" x14ac:dyDescent="0.25">
      <c r="A82" s="28" t="s">
        <v>129</v>
      </c>
      <c r="B82" s="28"/>
      <c r="C82" s="10"/>
      <c r="D82" s="10"/>
      <c r="E82" s="10"/>
    </row>
    <row r="83" spans="1:5" x14ac:dyDescent="0.25">
      <c r="A83" s="1" t="s">
        <v>93</v>
      </c>
      <c r="B83" s="1"/>
      <c r="C83" s="10">
        <v>-2849</v>
      </c>
      <c r="D83" s="10">
        <v>-9487</v>
      </c>
      <c r="E83" s="10">
        <v>-2592</v>
      </c>
    </row>
    <row r="84" spans="1:5" x14ac:dyDescent="0.25">
      <c r="A84" s="1" t="s">
        <v>130</v>
      </c>
      <c r="B84" s="1"/>
      <c r="C84" s="10">
        <v>-8169</v>
      </c>
      <c r="D84" s="10">
        <v>-18163</v>
      </c>
      <c r="E84" s="10">
        <v>-21897</v>
      </c>
    </row>
    <row r="85" spans="1:5" x14ac:dyDescent="0.25">
      <c r="A85" s="1" t="s">
        <v>104</v>
      </c>
      <c r="B85" s="1"/>
      <c r="C85" s="10">
        <v>17480</v>
      </c>
      <c r="D85" s="10">
        <v>3602</v>
      </c>
      <c r="E85" s="10">
        <v>2945</v>
      </c>
    </row>
    <row r="86" spans="1:5" x14ac:dyDescent="0.25">
      <c r="A86" s="1" t="s">
        <v>105</v>
      </c>
      <c r="B86" s="1"/>
      <c r="C86" s="10">
        <v>5754</v>
      </c>
      <c r="D86" s="10">
        <v>2123</v>
      </c>
      <c r="E86" s="10">
        <v>-1558</v>
      </c>
    </row>
    <row r="87" spans="1:5" x14ac:dyDescent="0.25">
      <c r="A87" s="1" t="s">
        <v>106</v>
      </c>
      <c r="B87" s="1"/>
      <c r="C87" s="10">
        <v>1265</v>
      </c>
      <c r="D87" s="10">
        <v>2314</v>
      </c>
      <c r="E87" s="10">
        <v>2216</v>
      </c>
    </row>
    <row r="88" spans="1:5" x14ac:dyDescent="0.25">
      <c r="A88" s="11" t="s">
        <v>131</v>
      </c>
      <c r="B88" s="11"/>
      <c r="C88" s="12">
        <f>SUM(C76:C87)</f>
        <v>66064</v>
      </c>
      <c r="D88" s="12">
        <f>SUM(D76:D87)</f>
        <v>46327</v>
      </c>
      <c r="E88" s="12">
        <f>SUM(E76:E87)</f>
        <v>46752</v>
      </c>
    </row>
    <row r="89" spans="1:5" x14ac:dyDescent="0.25">
      <c r="A89" s="28" t="s">
        <v>132</v>
      </c>
      <c r="B89" s="28"/>
      <c r="C89" s="10"/>
      <c r="D89" s="10"/>
      <c r="E89" s="10"/>
    </row>
    <row r="90" spans="1:5" x14ac:dyDescent="0.25">
      <c r="A90" s="28" t="s">
        <v>133</v>
      </c>
      <c r="B90" s="28"/>
      <c r="C90" s="10">
        <v>-40140</v>
      </c>
      <c r="D90" s="10">
        <v>-61053</v>
      </c>
      <c r="E90" s="10">
        <v>-63645</v>
      </c>
    </row>
    <row r="91" spans="1:5" x14ac:dyDescent="0.25">
      <c r="A91" s="28" t="s">
        <v>134</v>
      </c>
      <c r="B91" s="28"/>
      <c r="C91" s="10">
        <v>5096</v>
      </c>
      <c r="D91" s="10">
        <v>5657</v>
      </c>
      <c r="E91" s="10">
        <v>5324</v>
      </c>
    </row>
    <row r="92" spans="1:5" x14ac:dyDescent="0.25">
      <c r="A92" s="28" t="s">
        <v>135</v>
      </c>
      <c r="B92" s="28"/>
      <c r="C92" s="10">
        <v>-2325</v>
      </c>
      <c r="D92" s="10">
        <v>-1985</v>
      </c>
      <c r="E92" s="10">
        <v>-8316</v>
      </c>
    </row>
    <row r="93" spans="1:5" x14ac:dyDescent="0.25">
      <c r="A93" s="28" t="s">
        <v>136</v>
      </c>
      <c r="B93" s="28"/>
      <c r="C93" s="10">
        <v>50237</v>
      </c>
      <c r="D93" s="10">
        <v>59384</v>
      </c>
      <c r="E93" s="10">
        <v>31601</v>
      </c>
    </row>
    <row r="94" spans="1:5" x14ac:dyDescent="0.25">
      <c r="A94" s="28" t="s">
        <v>150</v>
      </c>
      <c r="B94" s="28"/>
      <c r="C94" s="10">
        <v>-72479</v>
      </c>
      <c r="D94" s="10">
        <v>-60157</v>
      </c>
      <c r="E94" s="10">
        <v>-2565</v>
      </c>
    </row>
    <row r="95" spans="1:5" x14ac:dyDescent="0.25">
      <c r="A95" s="11" t="s">
        <v>149</v>
      </c>
      <c r="B95" s="11"/>
      <c r="C95" s="12">
        <f>SUM(C90:C94)</f>
        <v>-59611</v>
      </c>
      <c r="D95" s="12">
        <f>SUM(D90:D94)</f>
        <v>-58154</v>
      </c>
      <c r="E95" s="12">
        <f>SUM(E90:E94)</f>
        <v>-37601</v>
      </c>
    </row>
    <row r="96" spans="1:5" x14ac:dyDescent="0.25">
      <c r="A96" t="s">
        <v>137</v>
      </c>
      <c r="C96" s="10"/>
      <c r="D96" s="10"/>
      <c r="E96" s="10"/>
    </row>
    <row r="97" spans="1:5" x14ac:dyDescent="0.25">
      <c r="A97" s="28" t="s">
        <v>138</v>
      </c>
      <c r="B97" s="28"/>
      <c r="C97" s="10">
        <v>0</v>
      </c>
      <c r="D97" s="10">
        <v>0</v>
      </c>
      <c r="E97" s="10">
        <v>-6000</v>
      </c>
    </row>
    <row r="98" spans="1:5" x14ac:dyDescent="0.25">
      <c r="A98" s="28" t="s">
        <v>139</v>
      </c>
      <c r="B98" s="28"/>
      <c r="C98" s="10">
        <v>6796</v>
      </c>
      <c r="D98" s="10">
        <v>7956</v>
      </c>
      <c r="E98" s="10">
        <v>41553</v>
      </c>
    </row>
    <row r="99" spans="1:5" x14ac:dyDescent="0.25">
      <c r="A99" s="28" t="s">
        <v>140</v>
      </c>
      <c r="B99" s="28"/>
      <c r="C99" s="10">
        <v>-6177</v>
      </c>
      <c r="D99" s="10">
        <v>-7753</v>
      </c>
      <c r="E99" s="10">
        <v>-37554</v>
      </c>
    </row>
    <row r="100" spans="1:5" x14ac:dyDescent="0.25">
      <c r="A100" s="28" t="s">
        <v>141</v>
      </c>
      <c r="B100" s="28"/>
      <c r="C100" s="10">
        <v>10525</v>
      </c>
      <c r="D100" s="10">
        <v>19003</v>
      </c>
      <c r="E100" s="10">
        <v>21166</v>
      </c>
    </row>
    <row r="101" spans="1:5" x14ac:dyDescent="0.25">
      <c r="A101" s="28" t="s">
        <v>142</v>
      </c>
      <c r="B101" s="28"/>
      <c r="C101" s="10">
        <v>-1553</v>
      </c>
      <c r="D101" s="10">
        <v>-1590</v>
      </c>
      <c r="E101" s="10">
        <v>-1258</v>
      </c>
    </row>
    <row r="102" spans="1:5" x14ac:dyDescent="0.25">
      <c r="A102" s="28" t="s">
        <v>143</v>
      </c>
      <c r="B102" s="28"/>
      <c r="C102" s="10">
        <v>-10642</v>
      </c>
      <c r="D102" s="10">
        <v>-11163</v>
      </c>
      <c r="E102" s="10">
        <v>-7941</v>
      </c>
    </row>
    <row r="103" spans="1:5" x14ac:dyDescent="0.25">
      <c r="A103" s="28" t="s">
        <v>144</v>
      </c>
      <c r="B103" s="28"/>
      <c r="C103" s="10">
        <v>-53</v>
      </c>
      <c r="D103" s="10">
        <v>-162</v>
      </c>
      <c r="E103" s="10">
        <v>-248</v>
      </c>
    </row>
    <row r="104" spans="1:5" x14ac:dyDescent="0.25">
      <c r="A104" s="11" t="s">
        <v>145</v>
      </c>
      <c r="B104" s="11"/>
      <c r="C104" s="12">
        <f>SUM(C97:C103)</f>
        <v>-1104</v>
      </c>
      <c r="D104" s="12">
        <f>SUM(D97:D103)</f>
        <v>6291</v>
      </c>
      <c r="E104" s="12">
        <f>SUM(E97:E103)</f>
        <v>9718</v>
      </c>
    </row>
    <row r="105" spans="1:5" x14ac:dyDescent="0.25">
      <c r="A105" s="22" t="s">
        <v>146</v>
      </c>
      <c r="B105" s="22"/>
      <c r="C105" s="23">
        <v>618</v>
      </c>
      <c r="D105" s="23">
        <v>-364</v>
      </c>
      <c r="E105" s="23">
        <v>-1093</v>
      </c>
    </row>
    <row r="106" spans="1:5" x14ac:dyDescent="0.25">
      <c r="A106" s="11" t="s">
        <v>147</v>
      </c>
      <c r="B106" s="11"/>
      <c r="C106" s="12">
        <f>SUM(C88,C95,C104,C105)</f>
        <v>5967</v>
      </c>
      <c r="D106" s="12">
        <f>SUM(D88,D95,D104,D105)</f>
        <v>-5900</v>
      </c>
      <c r="E106" s="12">
        <f>SUM(E88,E95,E104,E105)</f>
        <v>17776</v>
      </c>
    </row>
    <row r="107" spans="1:5" ht="15.75" thickBot="1" x14ac:dyDescent="0.3">
      <c r="A107" s="13" t="s">
        <v>148</v>
      </c>
      <c r="B107" s="13"/>
      <c r="C107" s="14">
        <f>SUM(C74,C106)</f>
        <v>42377</v>
      </c>
      <c r="D107" s="14">
        <f>SUM(D74,D106)</f>
        <v>36477</v>
      </c>
      <c r="E107" s="14">
        <f>SUM(E74,E106)</f>
        <v>54253</v>
      </c>
    </row>
    <row r="108" spans="1:5" ht="15.75" thickTop="1" x14ac:dyDescent="0.25">
      <c r="C108" s="10"/>
      <c r="D108" s="10"/>
      <c r="E108" s="10"/>
    </row>
    <row r="109" spans="1:5" x14ac:dyDescent="0.25">
      <c r="C109" s="10"/>
      <c r="D109" s="10"/>
      <c r="E109" s="10"/>
    </row>
    <row r="110" spans="1:5" x14ac:dyDescent="0.25">
      <c r="C110" s="10"/>
      <c r="D110" s="10"/>
      <c r="E110" s="10"/>
    </row>
    <row r="111" spans="1:5" x14ac:dyDescent="0.25">
      <c r="C111" s="10"/>
      <c r="D111" s="10"/>
      <c r="E111" s="10"/>
    </row>
  </sheetData>
  <mergeCells count="6">
    <mergeCell ref="C72:E72"/>
    <mergeCell ref="A2:E2"/>
    <mergeCell ref="C3:E3"/>
    <mergeCell ref="A34:E34"/>
    <mergeCell ref="C35:E35"/>
    <mergeCell ref="A71:E7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4.7109375" customWidth="1"/>
    <col min="2" max="2" width="44.85546875" customWidth="1"/>
    <col min="3" max="6" width="12.7109375" customWidth="1"/>
    <col min="7" max="7" width="9.85546875" bestFit="1" customWidth="1"/>
  </cols>
  <sheetData>
    <row r="1" spans="1:11" ht="60" customHeight="1" x14ac:dyDescent="0.4">
      <c r="A1" s="7"/>
      <c r="B1" s="18" t="s">
        <v>151</v>
      </c>
      <c r="C1" s="18"/>
      <c r="D1" s="19"/>
      <c r="E1" s="19"/>
      <c r="F1" s="19"/>
      <c r="G1" s="19"/>
      <c r="H1" s="19"/>
      <c r="I1" s="19"/>
      <c r="J1" s="19"/>
      <c r="K1" s="19"/>
    </row>
    <row r="2" spans="1:11" x14ac:dyDescent="0.25">
      <c r="C2" s="41"/>
      <c r="D2" s="38" t="s">
        <v>58</v>
      </c>
      <c r="E2" s="38"/>
      <c r="F2" s="38"/>
    </row>
    <row r="3" spans="1:11" x14ac:dyDescent="0.25">
      <c r="C3" s="41"/>
      <c r="D3" s="9">
        <f>'Financial Statements'!C4</f>
        <v>2020</v>
      </c>
      <c r="E3" s="9">
        <f>'Financial Statements'!D4</f>
        <v>2021</v>
      </c>
      <c r="F3" s="9">
        <f>'Financial Statements'!E4</f>
        <v>2022</v>
      </c>
    </row>
    <row r="4" spans="1:11" x14ac:dyDescent="0.25">
      <c r="A4" s="20">
        <v>1</v>
      </c>
      <c r="B4" s="9" t="s">
        <v>14</v>
      </c>
      <c r="C4" s="42"/>
    </row>
    <row r="5" spans="1:11" x14ac:dyDescent="0.25">
      <c r="A5" s="20">
        <f>+A4+0.1</f>
        <v>1.1000000000000001</v>
      </c>
      <c r="B5" s="1" t="s">
        <v>15</v>
      </c>
      <c r="C5" s="43"/>
      <c r="D5" s="31">
        <f>'Financial Statements'!C43/'Financial Statements'!C55</f>
        <v>1.0502274795268425</v>
      </c>
      <c r="E5" s="31">
        <f>'Financial Statements'!D43/'Financial Statements'!D55</f>
        <v>1.1357597739445826</v>
      </c>
      <c r="F5" s="31">
        <f>'Financial Statements'!E43/'Financial Statements'!E55</f>
        <v>0.9446435811136924</v>
      </c>
    </row>
    <row r="6" spans="1:11" x14ac:dyDescent="0.25">
      <c r="A6" s="20">
        <f t="shared" ref="A6:A13" si="0">+A5+0.1</f>
        <v>1.2000000000000002</v>
      </c>
      <c r="B6" s="1" t="s">
        <v>16</v>
      </c>
      <c r="C6" s="43"/>
      <c r="D6" s="31">
        <f>SUM('Financial Statements'!C39:C40)/'Financial Statements'!C55</f>
        <v>0.66776911817066897</v>
      </c>
      <c r="E6" s="31">
        <f>SUM('Financial Statements'!D39:D40)/'Financial Statements'!D55</f>
        <v>0.67513671572968947</v>
      </c>
      <c r="F6" s="31">
        <f>SUM('Financial Statements'!E39:E40)/'Financial Statements'!E55</f>
        <v>0.45063805962945563</v>
      </c>
    </row>
    <row r="7" spans="1:11" x14ac:dyDescent="0.25">
      <c r="A7" s="20">
        <f t="shared" si="0"/>
        <v>1.3000000000000003</v>
      </c>
      <c r="B7" s="1" t="s">
        <v>17</v>
      </c>
      <c r="C7" s="43"/>
      <c r="D7" s="31">
        <f>'Financial Statements'!C39/'Financial Statements'!C55</f>
        <v>0.33328322190133325</v>
      </c>
      <c r="E7" s="31">
        <f>'Financial Statements'!D39/'Financial Statements'!D55</f>
        <v>0.25459350793583851</v>
      </c>
      <c r="F7" s="31">
        <f>'Financial Statements'!E39/'Financial Statements'!E55</f>
        <v>0.34678524772673158</v>
      </c>
    </row>
    <row r="8" spans="1:11" x14ac:dyDescent="0.25">
      <c r="A8" s="20">
        <f t="shared" si="0"/>
        <v>1.4000000000000004</v>
      </c>
      <c r="B8" s="1" t="s">
        <v>18</v>
      </c>
      <c r="C8" s="43"/>
      <c r="D8">
        <f>SUM('Financial Statements'!C39:C40,'Financial Statements'!C42)/('Financial Statements'!C17/360)</f>
        <v>107.98860022303911</v>
      </c>
      <c r="E8">
        <f>SUM('Financial Statements'!D39:D40,'Financial Statements'!D42)/('Financial Statements'!D17/360)</f>
        <v>104.32437413331596</v>
      </c>
      <c r="F8">
        <f>SUM('Financial Statements'!E39:E40,'Financial Statements'!E42)/('Financial Statements'!E17/360)</f>
        <v>80.638105772967805</v>
      </c>
    </row>
    <row r="9" spans="1:11" x14ac:dyDescent="0.25">
      <c r="A9" s="20">
        <f t="shared" si="0"/>
        <v>1.5000000000000004</v>
      </c>
      <c r="B9" s="1" t="s">
        <v>19</v>
      </c>
      <c r="C9" s="43"/>
      <c r="D9">
        <f>('Financial Statements'!C41/'Financial Statements'!C11)*360</f>
        <v>36.716429425606606</v>
      </c>
      <c r="E9">
        <f>('Financial Statements'!D41/'Financial Statements'!D11)*360</f>
        <v>43.145433716182474</v>
      </c>
      <c r="F9">
        <f>('Financial Statements'!E41/'Financial Statements'!E11)*360</f>
        <v>42.882516073413171</v>
      </c>
    </row>
    <row r="10" spans="1:11" x14ac:dyDescent="0.25">
      <c r="A10" s="20">
        <f t="shared" si="0"/>
        <v>1.6000000000000005</v>
      </c>
      <c r="B10" s="1" t="s">
        <v>20</v>
      </c>
      <c r="C10" s="43"/>
      <c r="D10">
        <f>('Financial Statements'!C52/'Financial Statements'!C11)*360</f>
        <v>111.92994637966285</v>
      </c>
      <c r="E10">
        <f>('Financial Statements'!D52/'Financial Statements'!D11)*360</f>
        <v>103.98261022824074</v>
      </c>
      <c r="F10">
        <f>('Financial Statements'!E52/'Financial Statements'!E11)*360</f>
        <v>99.213727058383625</v>
      </c>
    </row>
    <row r="11" spans="1:11" x14ac:dyDescent="0.25">
      <c r="A11" s="20">
        <f t="shared" si="0"/>
        <v>1.7000000000000006</v>
      </c>
      <c r="B11" s="1" t="s">
        <v>21</v>
      </c>
      <c r="C11" s="43"/>
      <c r="D11">
        <f>('Financial Statements'!C42/'Financial Statements'!C8)*360</f>
        <v>22.885117493472585</v>
      </c>
      <c r="E11">
        <f>('Financial Statements'!D42/'Financial Statements'!D8)*360</f>
        <v>25.202651216843826</v>
      </c>
      <c r="F11">
        <f>('Financial Statements'!E42/'Financial Statements'!E8)*360</f>
        <v>29.669463776039287</v>
      </c>
    </row>
    <row r="12" spans="1:11" x14ac:dyDescent="0.25">
      <c r="A12" s="20">
        <f t="shared" si="0"/>
        <v>1.8000000000000007</v>
      </c>
      <c r="B12" s="1" t="s">
        <v>22</v>
      </c>
      <c r="C12" s="43"/>
      <c r="D12">
        <f>SUM(D9,D11)-D10</f>
        <v>-52.328399460583661</v>
      </c>
      <c r="E12">
        <f>SUM(E9,E11)-E10</f>
        <v>-35.634525295214445</v>
      </c>
      <c r="F12">
        <f>SUM(F9,F11)-F10</f>
        <v>-26.66174720893116</v>
      </c>
    </row>
    <row r="13" spans="1:11" x14ac:dyDescent="0.25">
      <c r="A13" s="20">
        <f t="shared" si="0"/>
        <v>1.9000000000000008</v>
      </c>
      <c r="B13" s="1" t="s">
        <v>23</v>
      </c>
      <c r="C13" s="43"/>
      <c r="D13" s="32">
        <f>D14/'Financial Statements'!C8</f>
        <v>1.6442869576028845E-2</v>
      </c>
      <c r="E13" s="32">
        <f>E14/'Financial Statements'!D8</f>
        <v>4.1109186032156859E-2</v>
      </c>
      <c r="F13" s="32">
        <f>F14/'Financial Statements'!E8</f>
        <v>-1.6735962084349094E-2</v>
      </c>
    </row>
    <row r="14" spans="1:11" x14ac:dyDescent="0.25">
      <c r="A14" s="20"/>
      <c r="B14" s="17" t="s">
        <v>24</v>
      </c>
      <c r="C14" s="44"/>
      <c r="D14">
        <f>'Financial Statements'!C43-'Financial Statements'!C55</f>
        <v>6348</v>
      </c>
      <c r="E14">
        <f>'Financial Statements'!D43-'Financial Statements'!D55</f>
        <v>19314</v>
      </c>
      <c r="F14">
        <f>'Financial Statements'!E43-'Financial Statements'!E55</f>
        <v>-8602</v>
      </c>
    </row>
    <row r="15" spans="1:11" x14ac:dyDescent="0.25">
      <c r="A15" s="20"/>
      <c r="C15" s="41"/>
    </row>
    <row r="16" spans="1:11" x14ac:dyDescent="0.25">
      <c r="A16" s="20">
        <f>+A4+1</f>
        <v>2</v>
      </c>
      <c r="B16" s="21" t="s">
        <v>25</v>
      </c>
      <c r="C16" s="45"/>
    </row>
    <row r="17" spans="1:6" x14ac:dyDescent="0.25">
      <c r="A17" s="20">
        <f>+A16+0.1</f>
        <v>2.1</v>
      </c>
      <c r="B17" s="1" t="s">
        <v>11</v>
      </c>
      <c r="C17" s="43"/>
      <c r="D17" s="31">
        <f>D18/'Financial Statements'!C8</f>
        <v>0.3956779186870571</v>
      </c>
      <c r="E17" s="31">
        <f>E18/'Financial Statements'!D8</f>
        <v>0.42032514441639601</v>
      </c>
      <c r="F17" s="31">
        <f>F18/'Financial Statements'!E8</f>
        <v>0.43805339865326287</v>
      </c>
    </row>
    <row r="18" spans="1:6" x14ac:dyDescent="0.25">
      <c r="A18" s="20"/>
      <c r="B18" s="17" t="s">
        <v>152</v>
      </c>
      <c r="C18" s="46">
        <f>'Financial Statements'!B8-'Financial Statements'!B11</f>
        <v>114986</v>
      </c>
      <c r="D18" s="35">
        <v>152757</v>
      </c>
      <c r="E18">
        <v>197478</v>
      </c>
      <c r="F18">
        <v>225152</v>
      </c>
    </row>
    <row r="19" spans="1:6" x14ac:dyDescent="0.25">
      <c r="A19" s="20">
        <f>+A17+0.1</f>
        <v>2.2000000000000002</v>
      </c>
      <c r="B19" s="1" t="s">
        <v>26</v>
      </c>
      <c r="C19" s="43"/>
      <c r="D19" s="31">
        <f>D20/'Financial Statements'!C8</f>
        <v>0.12473061461312114</v>
      </c>
      <c r="E19" s="31">
        <f>E20/'Financial Statements'!D8</f>
        <v>0.12611159119836873</v>
      </c>
      <c r="F19" s="31">
        <f>F20/'Financial Statements'!E8</f>
        <v>0.10293336550041539</v>
      </c>
    </row>
    <row r="20" spans="1:6" x14ac:dyDescent="0.25">
      <c r="A20" s="20"/>
      <c r="B20" s="17" t="s">
        <v>27</v>
      </c>
      <c r="C20" s="44"/>
      <c r="D20">
        <f>D22+'Financial Statements'!C78</f>
        <v>48154</v>
      </c>
      <c r="E20">
        <f>E22+'Financial Statements'!D78</f>
        <v>59250</v>
      </c>
      <c r="F20">
        <f>F22+'Financial Statements'!E78</f>
        <v>52906</v>
      </c>
    </row>
    <row r="21" spans="1:6" x14ac:dyDescent="0.25">
      <c r="A21" s="20">
        <f>+A19+0.1</f>
        <v>2.3000000000000003</v>
      </c>
      <c r="B21" s="1" t="s">
        <v>28</v>
      </c>
      <c r="C21" s="43"/>
      <c r="D21" s="31">
        <f>D22/'Financial Statements'!C8</f>
        <v>5.9508268059181899E-2</v>
      </c>
      <c r="E21" s="31">
        <f>E22/'Financial Statements'!D8</f>
        <v>5.2822132637466955E-2</v>
      </c>
      <c r="F21" s="31">
        <f>F22/'Financial Statements'!E8</f>
        <v>2.1372302196765263E-2</v>
      </c>
    </row>
    <row r="22" spans="1:6" x14ac:dyDescent="0.25">
      <c r="A22" s="20"/>
      <c r="B22" s="17" t="s">
        <v>29</v>
      </c>
      <c r="C22" s="44"/>
      <c r="D22">
        <f>'Financial Statements'!C18-'Financial Statements'!C16</f>
        <v>22974</v>
      </c>
      <c r="E22">
        <f>'Financial Statements'!D18-'Financial Statements'!D16</f>
        <v>24817</v>
      </c>
      <c r="F22">
        <f>'Financial Statements'!E18-'Financial Statements'!E16</f>
        <v>10985</v>
      </c>
    </row>
    <row r="23" spans="1:6" x14ac:dyDescent="0.25">
      <c r="A23" s="20">
        <f>+A21+0.1</f>
        <v>2.4000000000000004</v>
      </c>
      <c r="B23" s="1" t="s">
        <v>30</v>
      </c>
      <c r="C23" s="43"/>
      <c r="D23" s="33">
        <f>'Financial Statements'!C26/'Financial Statements'!C8</f>
        <v>5.5252496995316841E-2</v>
      </c>
      <c r="E23" s="33">
        <f>'Financial Statements'!D26/'Financial Statements'!D8</f>
        <v>7.1014128755145567E-2</v>
      </c>
      <c r="F23" s="33">
        <f>'Financial Statements'!E26/'Financial Statements'!E8</f>
        <v>-5.2958950004183018E-3</v>
      </c>
    </row>
    <row r="24" spans="1:6" x14ac:dyDescent="0.25">
      <c r="A24" s="20"/>
      <c r="C24" s="41"/>
    </row>
    <row r="25" spans="1:6" x14ac:dyDescent="0.25">
      <c r="A25" s="20">
        <f>+A16+1</f>
        <v>3</v>
      </c>
      <c r="B25" s="9" t="s">
        <v>31</v>
      </c>
      <c r="C25" s="42"/>
    </row>
    <row r="26" spans="1:6" x14ac:dyDescent="0.25">
      <c r="A26" s="20">
        <f t="shared" ref="A26:A31" si="1">+A25+0.1</f>
        <v>3.1</v>
      </c>
      <c r="B26" s="1" t="s">
        <v>32</v>
      </c>
      <c r="C26" s="43"/>
      <c r="D26" s="31">
        <f>'Financial Statements'!C57/'Financial Statements'!C67</f>
        <v>0.34062781037214679</v>
      </c>
      <c r="E26" s="31">
        <f>'Financial Statements'!D57/'Financial Statements'!D67</f>
        <v>0.35259141379435061</v>
      </c>
      <c r="F26" s="31">
        <f>'Financial Statements'!E57/'Financial Statements'!E67</f>
        <v>0.45979608745369516</v>
      </c>
    </row>
    <row r="27" spans="1:6" x14ac:dyDescent="0.25">
      <c r="A27" s="20">
        <f t="shared" si="1"/>
        <v>3.2</v>
      </c>
      <c r="B27" s="1" t="s">
        <v>33</v>
      </c>
      <c r="C27" s="43"/>
      <c r="D27" s="31">
        <f>'Financial Statements'!C57/'Financial Statements'!C49</f>
        <v>9.9055091144009094E-2</v>
      </c>
      <c r="E27" s="31">
        <f>'Financial Statements'!D57/'Financial Statements'!D49</f>
        <v>0.11590563763081116</v>
      </c>
      <c r="F27" s="31">
        <f>'Financial Statements'!E57/'Financial Statements'!E49</f>
        <v>0.14513427351812827</v>
      </c>
    </row>
    <row r="28" spans="1:6" x14ac:dyDescent="0.25">
      <c r="A28" s="20">
        <f t="shared" si="1"/>
        <v>3.3000000000000003</v>
      </c>
      <c r="B28" s="1" t="s">
        <v>34</v>
      </c>
      <c r="C28" s="43"/>
      <c r="D28" s="31">
        <f>'Financial Statements'!C57/SUM('Financial Statements'!C57,'Financial Statements'!C67)</f>
        <v>0.2540808177607411</v>
      </c>
      <c r="E28" s="31">
        <f>'Financial Statements'!D57/SUM('Financial Statements'!D57,'Financial Statements'!D67)</f>
        <v>0.26067843562990334</v>
      </c>
      <c r="F28" s="31">
        <f>'Financial Statements'!E57/SUM('Financial Statements'!E57,'Financial Statements'!E67)</f>
        <v>0.31497281805687805</v>
      </c>
    </row>
    <row r="29" spans="1:6" x14ac:dyDescent="0.25">
      <c r="A29" s="20">
        <f t="shared" si="1"/>
        <v>3.4000000000000004</v>
      </c>
      <c r="B29" s="1" t="s">
        <v>35</v>
      </c>
      <c r="C29" s="43"/>
      <c r="D29" s="31">
        <f>D22/'Financial Statements'!C20*-1</f>
        <v>13.948998178506375</v>
      </c>
      <c r="E29" s="31">
        <f>E22/'Financial Statements'!D20*-1</f>
        <v>13.718629076838033</v>
      </c>
      <c r="F29" s="31">
        <f>F22/'Financial Statements'!E20*-1</f>
        <v>4.6408956485002113</v>
      </c>
    </row>
    <row r="30" spans="1:6" x14ac:dyDescent="0.25">
      <c r="A30" s="20">
        <f t="shared" si="1"/>
        <v>3.5000000000000004</v>
      </c>
      <c r="B30" s="1" t="s">
        <v>36</v>
      </c>
      <c r="C30" s="43"/>
      <c r="D30" s="31">
        <f>'Financial Statements'!C88/'Financial Statements'!C57</f>
        <v>2.0764395272818708</v>
      </c>
      <c r="E30" s="31">
        <f>'Financial Statements'!D88/'Financial Statements'!D57</f>
        <v>0.950414409978664</v>
      </c>
      <c r="F30" s="31">
        <f>'Financial Statements'!E88/'Financial Statements'!E57</f>
        <v>0.69623231571109456</v>
      </c>
    </row>
    <row r="31" spans="1:6" x14ac:dyDescent="0.25">
      <c r="A31" s="20">
        <f t="shared" si="1"/>
        <v>3.6000000000000005</v>
      </c>
      <c r="B31" s="1" t="s">
        <v>37</v>
      </c>
      <c r="C31" s="43"/>
      <c r="D31" s="31">
        <f>D32/'Financial Statements'!C30</f>
        <v>2.2367816091954023</v>
      </c>
      <c r="E31" s="31">
        <f>E32/'Financial Statements'!D30</f>
        <v>3.5184343184738558</v>
      </c>
      <c r="F31" s="31">
        <f>F32/'Financial Statements'!E30</f>
        <v>3.8267739719305132</v>
      </c>
    </row>
    <row r="32" spans="1:6" x14ac:dyDescent="0.25">
      <c r="A32" s="20"/>
      <c r="B32" s="17" t="s">
        <v>38</v>
      </c>
      <c r="C32" s="44"/>
      <c r="D32">
        <f>'Financial Statements'!C26+'Financial Statements'!C78+'Financial Statements'!C90+'Financial Statements'!C98+'Financial Statements'!C100+D33-E33</f>
        <v>22379</v>
      </c>
      <c r="E32">
        <f>'Financial Statements'!D26+'Financial Statements'!D78+'Financial Statements'!D90+'Financial Statements'!D98+'Financial Statements'!D100+E33-F33</f>
        <v>35596</v>
      </c>
      <c r="F32">
        <v>38991</v>
      </c>
    </row>
    <row r="33" spans="1:6" x14ac:dyDescent="0.25">
      <c r="A33" s="20"/>
      <c r="B33" s="17" t="s">
        <v>153</v>
      </c>
      <c r="C33" s="44"/>
      <c r="D33">
        <f>D34-D35</f>
        <v>-78048</v>
      </c>
      <c r="E33">
        <f>E34-E35</f>
        <v>-76735</v>
      </c>
      <c r="F33">
        <f>F34-F35</f>
        <v>-78628</v>
      </c>
    </row>
    <row r="34" spans="1:6" x14ac:dyDescent="0.25">
      <c r="A34" s="20"/>
      <c r="B34" s="17" t="s">
        <v>154</v>
      </c>
      <c r="C34" s="44"/>
      <c r="D34">
        <f>SUM('Financial Statements'!C41:C42)</f>
        <v>48337</v>
      </c>
      <c r="E34">
        <f>SUM('Financial Statements'!D41:D42)</f>
        <v>65531</v>
      </c>
      <c r="F34">
        <f>SUM('Financial Statements'!E41:E42)</f>
        <v>76765</v>
      </c>
    </row>
    <row r="35" spans="1:6" x14ac:dyDescent="0.25">
      <c r="A35" s="20"/>
      <c r="B35" s="17" t="s">
        <v>155</v>
      </c>
      <c r="C35" s="44"/>
      <c r="D35">
        <f>SUM('Financial Statements'!C52:C54)</f>
        <v>126385</v>
      </c>
      <c r="E35">
        <f>SUM('Financial Statements'!D52:D54)</f>
        <v>142266</v>
      </c>
      <c r="F35">
        <f>SUM('Financial Statements'!E52:E54)</f>
        <v>155393</v>
      </c>
    </row>
    <row r="36" spans="1:6" x14ac:dyDescent="0.25">
      <c r="A36" s="20"/>
      <c r="C36" s="41"/>
    </row>
    <row r="37" spans="1:6" x14ac:dyDescent="0.25">
      <c r="A37" s="20">
        <f>+A25+1</f>
        <v>4</v>
      </c>
      <c r="B37" s="21" t="s">
        <v>39</v>
      </c>
      <c r="C37" s="45"/>
    </row>
    <row r="38" spans="1:6" x14ac:dyDescent="0.25">
      <c r="A38" s="20">
        <f>+A37+0.1</f>
        <v>4.0999999999999996</v>
      </c>
      <c r="B38" s="1" t="s">
        <v>40</v>
      </c>
      <c r="C38" s="43"/>
      <c r="D38" s="31">
        <f>'Financial Statements'!C8/'Financial Statements'!C49</f>
        <v>1.2019614253023865</v>
      </c>
      <c r="E38" s="31">
        <f>'Financial Statements'!D8/'Financial Statements'!D49</f>
        <v>1.1171635172120253</v>
      </c>
      <c r="F38" s="31">
        <f>'Financial Statements'!E8/'Financial Statements'!E49</f>
        <v>1.1108942562273734</v>
      </c>
    </row>
    <row r="39" spans="1:6" x14ac:dyDescent="0.25">
      <c r="A39" s="20">
        <f>+A38+0.1</f>
        <v>4.1999999999999993</v>
      </c>
      <c r="B39" s="1" t="s">
        <v>41</v>
      </c>
      <c r="C39" s="43"/>
      <c r="D39" s="31">
        <f>'Financial Statements'!C8/'Financial Statements'!C44</f>
        <v>3.4130523188995174</v>
      </c>
      <c r="E39" s="31">
        <f>'Financial Statements'!D8/'Financial Statements'!D44</f>
        <v>2.9312395106094922</v>
      </c>
      <c r="F39" s="31">
        <f>'Financial Statements'!E8/'Financial Statements'!E44</f>
        <v>2.7527675869640897</v>
      </c>
    </row>
    <row r="40" spans="1:6" x14ac:dyDescent="0.25">
      <c r="A40" s="20">
        <f>+A39+0.1</f>
        <v>4.2999999999999989</v>
      </c>
      <c r="B40" s="1" t="s">
        <v>42</v>
      </c>
      <c r="C40" s="43"/>
      <c r="D40" s="31">
        <f>'Financial Statements'!C11/'Financial Statements'!C41</f>
        <v>9.8048749737339769</v>
      </c>
      <c r="E40" s="31">
        <f>'Financial Statements'!D11/'Financial Statements'!D41</f>
        <v>8.3438725490196077</v>
      </c>
      <c r="F40" s="31">
        <f>'Financial Statements'!E11/'Financial Statements'!E41</f>
        <v>8.3950297921813686</v>
      </c>
    </row>
    <row r="41" spans="1:6" x14ac:dyDescent="0.25">
      <c r="A41" s="20">
        <f>+A40+0.1</f>
        <v>4.3999999999999986</v>
      </c>
      <c r="B41" s="1" t="s">
        <v>43</v>
      </c>
      <c r="C41" s="43"/>
      <c r="D41" s="32">
        <f>'Financial Statements'!C26/'Financial Statements'!C49</f>
        <v>6.6411370040006856E-2</v>
      </c>
      <c r="E41" s="32">
        <f>'Financial Statements'!D26/'Financial Statements'!D49</f>
        <v>7.9334393851846041E-2</v>
      </c>
      <c r="F41" s="32">
        <f>'Financial Statements'!E26/'Financial Statements'!E49</f>
        <v>-5.8831793375479545E-3</v>
      </c>
    </row>
    <row r="42" spans="1:6" x14ac:dyDescent="0.25">
      <c r="A42" s="20"/>
      <c r="C42" s="41"/>
    </row>
    <row r="43" spans="1:6" x14ac:dyDescent="0.25">
      <c r="A43" s="20">
        <f>+A37+1</f>
        <v>5</v>
      </c>
      <c r="B43" s="21" t="s">
        <v>44</v>
      </c>
      <c r="C43" s="45"/>
    </row>
    <row r="44" spans="1:6" x14ac:dyDescent="0.25">
      <c r="A44" s="20">
        <f>+A43+0.1</f>
        <v>5.0999999999999996</v>
      </c>
      <c r="B44" s="1" t="s">
        <v>45</v>
      </c>
      <c r="C44" s="43"/>
      <c r="D44" s="34">
        <f>'List of Ratios'!D56/'Financial Statements'!C67</f>
        <v>1.6562459851826473E-3</v>
      </c>
      <c r="E44" s="34">
        <f>'List of Ratios'!E56/'Financial Statements'!D67</f>
        <v>1.1790661506745272E-3</v>
      </c>
      <c r="F44" s="34">
        <f>'List of Ratios'!F56/'Financial Statements'!E67</f>
        <v>1.2351156851064412E-3</v>
      </c>
    </row>
    <row r="45" spans="1:6" x14ac:dyDescent="0.25">
      <c r="A45" s="20">
        <f>+A44+0.1</f>
        <v>5.1999999999999993</v>
      </c>
      <c r="B45" s="17" t="s">
        <v>46</v>
      </c>
      <c r="C45" s="44"/>
      <c r="D45" s="31">
        <f>'Financial Statements'!C28</f>
        <v>2.0916846440478527</v>
      </c>
      <c r="E45" s="31">
        <f>'Financial Statements'!D28</f>
        <v>3.2404817404817403</v>
      </c>
      <c r="F45" s="31">
        <f>'Financial Statements'!E28</f>
        <v>-0.2671508489547551</v>
      </c>
    </row>
    <row r="46" spans="1:6" x14ac:dyDescent="0.25">
      <c r="A46" s="20">
        <f>+A45+0.1</f>
        <v>5.2999999999999989</v>
      </c>
      <c r="B46" s="1" t="s">
        <v>47</v>
      </c>
      <c r="C46" s="43"/>
      <c r="D46" s="34">
        <f>D56/D57</f>
        <v>1.6562459851826473E-3</v>
      </c>
      <c r="E46" s="34">
        <f>E56/E57</f>
        <v>1.1790661506745272E-3</v>
      </c>
      <c r="F46" s="34">
        <f>F56/F57</f>
        <v>1.2358857706643279E-3</v>
      </c>
    </row>
    <row r="47" spans="1:6" x14ac:dyDescent="0.25">
      <c r="A47" s="20">
        <f>+A46+0.1</f>
        <v>5.3999999999999986</v>
      </c>
      <c r="B47" s="17" t="s">
        <v>48</v>
      </c>
      <c r="C47" s="44"/>
      <c r="D47" s="31">
        <f>D57/('Financial Statements'!C30/1000)</f>
        <v>9335.7321339330319</v>
      </c>
      <c r="E47" s="31">
        <f>E57/('Financial Statements'!D30/1000)</f>
        <v>13664.623900365719</v>
      </c>
      <c r="F47" s="31">
        <f>F57/('Financial Statements'!E30/1000)</f>
        <v>14324.467563058201</v>
      </c>
    </row>
    <row r="48" spans="1:6" x14ac:dyDescent="0.25">
      <c r="A48" s="20">
        <f>+A47+0.1</f>
        <v>5.4999999999999982</v>
      </c>
      <c r="B48" s="1" t="s">
        <v>49</v>
      </c>
      <c r="C48" s="43"/>
      <c r="D48">
        <f>0/'Financial Statements'!C26</f>
        <v>0</v>
      </c>
      <c r="E48">
        <f>0/'Financial Statements'!D26</f>
        <v>0</v>
      </c>
      <c r="F48">
        <f>0/'Financial Statements'!E26</f>
        <v>0</v>
      </c>
    </row>
    <row r="49" spans="1:6" x14ac:dyDescent="0.25">
      <c r="A49" s="20"/>
      <c r="B49" s="17" t="s">
        <v>50</v>
      </c>
      <c r="C49" s="44"/>
      <c r="D49">
        <f>0/'Financial Statements'!C30</f>
        <v>0</v>
      </c>
      <c r="E49">
        <f>0/'Financial Statements'!D30</f>
        <v>0</v>
      </c>
      <c r="F49">
        <f>0/'Financial Statements'!E30</f>
        <v>0</v>
      </c>
    </row>
    <row r="50" spans="1:6" x14ac:dyDescent="0.25">
      <c r="A50" s="20">
        <f>+A48+0.1</f>
        <v>5.5999999999999979</v>
      </c>
      <c r="B50" s="1" t="s">
        <v>51</v>
      </c>
      <c r="C50" s="43"/>
      <c r="D50">
        <f>D49/D56*100</f>
        <v>0</v>
      </c>
      <c r="E50">
        <f>E49/E56*100</f>
        <v>0</v>
      </c>
      <c r="F50">
        <f>F49/F56*100</f>
        <v>0</v>
      </c>
    </row>
    <row r="51" spans="1:6" x14ac:dyDescent="0.25">
      <c r="A51" s="20">
        <f>+A49+0.1</f>
        <v>0.1</v>
      </c>
      <c r="B51" s="1" t="s">
        <v>52</v>
      </c>
      <c r="C51" s="43"/>
      <c r="D51" s="32">
        <f>'Financial Statements'!C26/'Financial Statements'!C67</f>
        <v>0.22837351719412444</v>
      </c>
      <c r="E51" s="32">
        <f>'Financial Statements'!D26/'Financial Statements'!D67</f>
        <v>0.2413396506202756</v>
      </c>
      <c r="F51" s="32">
        <f>'Financial Statements'!E26/'Financial Statements'!E67</f>
        <v>-1.8638346240490815E-2</v>
      </c>
    </row>
    <row r="52" spans="1:6" x14ac:dyDescent="0.25">
      <c r="A52" s="20">
        <f>+A50+0.1</f>
        <v>5.6999999999999975</v>
      </c>
      <c r="B52" s="1" t="s">
        <v>53</v>
      </c>
      <c r="C52" s="43"/>
      <c r="D52" s="32">
        <f>'Financial Statements'!C18/'List of Ratios'!D58</f>
        <v>0.18287014853857211</v>
      </c>
      <c r="E52" s="32">
        <f>'Financial Statements'!D18/'List of Ratios'!E58</f>
        <v>0.13305060725497223</v>
      </c>
      <c r="F52" s="32">
        <f>'Financial Statements'!E18/'List of Ratios'!F58</f>
        <v>5.7474824262559711E-2</v>
      </c>
    </row>
    <row r="53" spans="1:6" x14ac:dyDescent="0.25">
      <c r="A53" s="20">
        <f>+A51+0.1</f>
        <v>0.2</v>
      </c>
      <c r="B53" s="1" t="s">
        <v>43</v>
      </c>
      <c r="C53" s="43"/>
      <c r="D53" s="32">
        <f>D41</f>
        <v>6.6411370040006856E-2</v>
      </c>
      <c r="E53" s="32">
        <f>E41</f>
        <v>7.9334393851846041E-2</v>
      </c>
      <c r="F53" s="32">
        <f>F41</f>
        <v>-5.8831793375479545E-3</v>
      </c>
    </row>
    <row r="54" spans="1:6" x14ac:dyDescent="0.25">
      <c r="A54" s="20">
        <f>+A52+0.1</f>
        <v>5.7999999999999972</v>
      </c>
      <c r="B54" s="1" t="s">
        <v>54</v>
      </c>
      <c r="C54" s="43"/>
      <c r="D54" s="31">
        <f>D55/D20</f>
        <v>31.670278689205464</v>
      </c>
      <c r="E54" s="31">
        <f>E55/E20</f>
        <v>27.526464135021097</v>
      </c>
      <c r="F54" s="31">
        <f>F55/F20</f>
        <v>34.684455827316377</v>
      </c>
    </row>
    <row r="55" spans="1:6" x14ac:dyDescent="0.25">
      <c r="A55" s="20"/>
      <c r="B55" s="17" t="s">
        <v>55</v>
      </c>
      <c r="C55" s="44"/>
      <c r="D55">
        <f>(D56*'Financial Statements'!C31)+'Financial Statements'!C57-'Financial Statements'!C39-'Financial Statements'!C40</f>
        <v>1525050.5999999999</v>
      </c>
      <c r="E55">
        <f>(E56*'Financial Statements'!D31)+'Financial Statements'!D57-'Financial Statements'!D39-'Financial Statements'!D40</f>
        <v>1630943</v>
      </c>
      <c r="F55">
        <f>(F56*'Financial Statements'!E31)+'Financial Statements'!E57-'Financial Statements'!E39-'Financial Statements'!E40</f>
        <v>1835015.82</v>
      </c>
    </row>
    <row r="56" spans="1:6" x14ac:dyDescent="0.25">
      <c r="B56" s="17" t="s">
        <v>156</v>
      </c>
      <c r="C56" s="44"/>
      <c r="D56">
        <v>154.69999999999999</v>
      </c>
      <c r="E56">
        <v>163</v>
      </c>
      <c r="F56">
        <v>180.38</v>
      </c>
    </row>
    <row r="57" spans="1:6" x14ac:dyDescent="0.25">
      <c r="B57" s="17" t="s">
        <v>157</v>
      </c>
      <c r="C57" s="44"/>
      <c r="D57">
        <f>'Financial Statements'!C49-SUM('Financial Statements'!C55,'Financial Statements'!C59)</f>
        <v>93404</v>
      </c>
      <c r="E57">
        <f>'Financial Statements'!D49-SUM('Financial Statements'!D55,'Financial Statements'!D59)</f>
        <v>138245</v>
      </c>
      <c r="F57">
        <f>'Financial Statements'!E49-SUM('Financial Statements'!E55,'Financial Statements'!E59)</f>
        <v>145952</v>
      </c>
    </row>
    <row r="58" spans="1:6" x14ac:dyDescent="0.25">
      <c r="B58" s="17" t="s">
        <v>158</v>
      </c>
      <c r="C58" s="44"/>
      <c r="D58">
        <f>D57+'Financial Statements'!C57</f>
        <v>125220</v>
      </c>
      <c r="E58">
        <f>E57+'Financial Statements'!D57</f>
        <v>186989</v>
      </c>
      <c r="F58">
        <f>F57+'Financial Statements'!E57</f>
        <v>213102</v>
      </c>
    </row>
    <row r="59" spans="1:6" x14ac:dyDescent="0.25">
      <c r="C59" s="41"/>
    </row>
    <row r="60" spans="1:6" x14ac:dyDescent="0.25">
      <c r="C60" s="41"/>
    </row>
    <row r="61" spans="1:6" x14ac:dyDescent="0.25">
      <c r="A61" s="20">
        <v>6</v>
      </c>
      <c r="B61" s="21" t="s">
        <v>159</v>
      </c>
      <c r="C61" s="45"/>
    </row>
    <row r="62" spans="1:6" x14ac:dyDescent="0.25">
      <c r="A62" s="20">
        <f>+A61+0.1</f>
        <v>6.1</v>
      </c>
      <c r="B62" t="str">
        <f>'Financial Statements'!A6</f>
        <v>Net product sales</v>
      </c>
      <c r="C62" s="41"/>
      <c r="D62" s="32">
        <f>'Financial Statements'!C6/'Financial Statements'!B6-1</f>
        <v>0.34603635728891335</v>
      </c>
      <c r="E62" s="32">
        <f>'Financial Statements'!D6/'Financial Statements'!C6-1</f>
        <v>0.11982493110714865</v>
      </c>
      <c r="F62" s="32">
        <f>'Financial Statements'!E6/'Financial Statements'!D6-1</f>
        <v>4.6073610243726471E-3</v>
      </c>
    </row>
    <row r="63" spans="1:6" x14ac:dyDescent="0.25">
      <c r="A63" s="20">
        <f t="shared" ref="A63:A69" si="2">+A62+0.1</f>
        <v>6.1999999999999993</v>
      </c>
      <c r="B63" t="str">
        <f>'Financial Statements'!A7</f>
        <v>Net service sales</v>
      </c>
      <c r="C63" s="41"/>
      <c r="D63" s="32">
        <f>'Financial Statements'!C7/'Financial Statements'!B7-1</f>
        <v>0.41656259886441216</v>
      </c>
      <c r="E63" s="32">
        <f>'Financial Statements'!D7/'Financial Statements'!C7-1</f>
        <v>0.34020770030972858</v>
      </c>
      <c r="F63" s="32">
        <f>'Financial Statements'!E7/'Financial Statements'!D7-1</f>
        <v>0.18877365316727701</v>
      </c>
    </row>
    <row r="64" spans="1:6" x14ac:dyDescent="0.25">
      <c r="A64" s="20">
        <f t="shared" si="2"/>
        <v>6.2999999999999989</v>
      </c>
      <c r="B64" t="str">
        <f>'Financial Statements'!A8</f>
        <v>Total net sales</v>
      </c>
      <c r="C64" s="41"/>
      <c r="D64" s="32">
        <f>'Financial Statements'!C8/'Financial Statements'!B8-1</f>
        <v>0.37623430604373276</v>
      </c>
      <c r="E64" s="32">
        <f>'Financial Statements'!D8/'Financial Statements'!C8-1</f>
        <v>0.21695366571345676</v>
      </c>
      <c r="F64" s="32">
        <f>'Financial Statements'!E8/'Financial Statements'!D8-1</f>
        <v>9.399517263985091E-2</v>
      </c>
    </row>
    <row r="65" spans="1:6" x14ac:dyDescent="0.25">
      <c r="A65" s="20">
        <f t="shared" si="2"/>
        <v>6.3999999999999986</v>
      </c>
      <c r="B65" t="str">
        <f>'List of Ratios'!B18</f>
        <v xml:space="preserve">Gross income </v>
      </c>
      <c r="C65" s="41"/>
      <c r="D65" s="32">
        <f>D18/C18-1</f>
        <v>0.32848346755257163</v>
      </c>
      <c r="E65" s="32">
        <f>E18/D18-1</f>
        <v>0.2927590879632358</v>
      </c>
      <c r="F65" s="32">
        <f>F18/E18-1</f>
        <v>0.14013712919920196</v>
      </c>
    </row>
    <row r="66" spans="1:6" x14ac:dyDescent="0.25">
      <c r="A66" s="20">
        <f t="shared" si="2"/>
        <v>6.4999999999999982</v>
      </c>
      <c r="B66" t="str" cm="1">
        <f t="array" ref="B66:B69">'Financial Statements'!A12:A15</f>
        <v>Fulfillment</v>
      </c>
      <c r="C66" s="41"/>
      <c r="D66" s="32">
        <f>'Financial Statements'!C12/'Financial Statements'!B12-1</f>
        <v>0.45448896400874927</v>
      </c>
      <c r="E66" s="32">
        <f>'Financial Statements'!D12/'Financial Statements'!C12-1</f>
        <v>0.28357571304065488</v>
      </c>
      <c r="F66" s="32">
        <f>'Financial Statements'!E12/'Financial Statements'!D12-1</f>
        <v>0.12232562474204833</v>
      </c>
    </row>
    <row r="67" spans="1:6" x14ac:dyDescent="0.25">
      <c r="A67" s="20">
        <f t="shared" si="2"/>
        <v>6.5999999999999979</v>
      </c>
      <c r="B67" t="str">
        <v>Technology and content</v>
      </c>
      <c r="C67" s="41"/>
      <c r="D67" s="32">
        <f>'Financial Statements'!C13/'Financial Statements'!B13-1</f>
        <v>0.18950210124961742</v>
      </c>
      <c r="E67" s="32">
        <f>'Financial Statements'!D13/'Financial Statements'!C13-1</f>
        <v>0.31146467009826861</v>
      </c>
      <c r="F67" s="32">
        <f>'Financial Statements'!E13/'Financial Statements'!D13-1</f>
        <v>0.3061621351602084</v>
      </c>
    </row>
    <row r="68" spans="1:6" x14ac:dyDescent="0.25">
      <c r="A68" s="20">
        <f t="shared" si="2"/>
        <v>6.6999999999999975</v>
      </c>
      <c r="B68" t="str">
        <v>Sales and marketing</v>
      </c>
      <c r="C68" s="41"/>
      <c r="D68" s="32">
        <f>'Financial Statements'!C14/'Financial Statements'!B14-1</f>
        <v>0.16580146201928181</v>
      </c>
      <c r="E68" s="32">
        <f>'Financial Statements'!D14/'Financial Statements'!C14-1</f>
        <v>0.47905307161032362</v>
      </c>
      <c r="F68" s="32">
        <f>'Financial Statements'!E14/'Financial Statements'!D14-1</f>
        <v>0.29759454394642249</v>
      </c>
    </row>
    <row r="69" spans="1:6" x14ac:dyDescent="0.25">
      <c r="A69" s="20">
        <f t="shared" si="2"/>
        <v>6.7999999999999972</v>
      </c>
      <c r="B69" t="str">
        <v>General and administrative</v>
      </c>
      <c r="C69" s="41"/>
      <c r="D69" s="32">
        <f>'Financial Statements'!C15/'Financial Statements'!B15-1</f>
        <v>0.28156832596578907</v>
      </c>
      <c r="E69" s="32">
        <f>'Financial Statements'!D15/'Financial Statements'!C15-1</f>
        <v>0.32318536292741462</v>
      </c>
      <c r="F69" s="32">
        <f>'Financial Statements'!E15/'Financial Statements'!D15-1</f>
        <v>0.34772753031848569</v>
      </c>
    </row>
    <row r="70" spans="1:6" x14ac:dyDescent="0.25">
      <c r="A70" s="20"/>
      <c r="C70" s="41"/>
    </row>
    <row r="71" spans="1:6" x14ac:dyDescent="0.25">
      <c r="A71" s="20">
        <v>7</v>
      </c>
      <c r="B71" s="21" t="s">
        <v>160</v>
      </c>
      <c r="C71" s="45"/>
    </row>
    <row r="72" spans="1:6" x14ac:dyDescent="0.25">
      <c r="A72" s="20">
        <f>+A71+0.1</f>
        <v>7.1</v>
      </c>
      <c r="B72" s="1" t="s">
        <v>161</v>
      </c>
      <c r="C72" s="43"/>
      <c r="D72" s="32">
        <f>-'Financial Statements'!C24/'Financial Statements'!C23</f>
        <v>0.1184134337000579</v>
      </c>
      <c r="E72" s="32">
        <f>-'Financial Statements'!D24/'Financial Statements'!D23</f>
        <v>0.12557993237398757</v>
      </c>
      <c r="F72" s="32">
        <f>-'Financial Statements'!E24/'Financial Statements'!E23</f>
        <v>0.54194743935309975</v>
      </c>
    </row>
    <row r="73" spans="1:6" x14ac:dyDescent="0.25">
      <c r="A73" s="20">
        <f>+A72+0.1</f>
        <v>7.1999999999999993</v>
      </c>
      <c r="B73" s="1" t="s">
        <v>162</v>
      </c>
      <c r="C73" s="43"/>
      <c r="D73" s="32">
        <f>-'Financial Statements'!C90/'Financial Statements'!C8</f>
        <v>0.10397239835882134</v>
      </c>
      <c r="E73" s="32">
        <f>-'Financial Statements'!D90/'Financial Statements'!D8</f>
        <v>0.12994921480901278</v>
      </c>
      <c r="F73" s="32">
        <f>-'Financial Statements'!E90/'Financial Statements'!E8</f>
        <v>0.12382705264571008</v>
      </c>
    </row>
    <row r="74" spans="1:6" x14ac:dyDescent="0.25">
      <c r="A74" s="20">
        <f>+A73+0.1</f>
        <v>7.2999999999999989</v>
      </c>
      <c r="B74" s="1" t="s">
        <v>163</v>
      </c>
      <c r="C74" s="43"/>
      <c r="D74" s="32">
        <f>-'Financial Statements'!C90/'Financial Statements'!C44</f>
        <v>0.35486323532011954</v>
      </c>
      <c r="E74" s="32">
        <f>-'Financial Statements'!D90/'Financial Statements'!D44</f>
        <v>0.38091227282085838</v>
      </c>
      <c r="F74" s="32">
        <f>-'Financial Statements'!E90/'Financial Statements'!E44</f>
        <v>0.34086709691240663</v>
      </c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Damilola Adekanmbi</cp:lastModifiedBy>
  <dcterms:created xsi:type="dcterms:W3CDTF">2020-05-19T16:15:53Z</dcterms:created>
  <dcterms:modified xsi:type="dcterms:W3CDTF">2024-11-20T12:53:37Z</dcterms:modified>
</cp:coreProperties>
</file>