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YAWEEH\Downloads\"/>
    </mc:Choice>
  </mc:AlternateContent>
  <xr:revisionPtr revIDLastSave="0" documentId="8_{234B8B63-B005-4252-945D-783C33C81F44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3" l="1"/>
  <c r="E30" i="3"/>
  <c r="C30" i="3"/>
  <c r="D29" i="3"/>
  <c r="E29" i="3"/>
  <c r="C29" i="3"/>
  <c r="D69" i="3"/>
  <c r="E69" i="3"/>
  <c r="C69" i="3"/>
  <c r="D68" i="3"/>
  <c r="E68" i="3"/>
  <c r="C68" i="3"/>
  <c r="D67" i="3"/>
  <c r="E67" i="3"/>
  <c r="C67" i="3"/>
  <c r="D64" i="3"/>
  <c r="E64" i="3"/>
  <c r="C64" i="3"/>
  <c r="D63" i="3"/>
  <c r="E63" i="3"/>
  <c r="C63" i="3"/>
  <c r="D62" i="3"/>
  <c r="E62" i="3"/>
  <c r="C62" i="3"/>
  <c r="D61" i="3"/>
  <c r="E61" i="3"/>
  <c r="C61" i="3"/>
  <c r="D60" i="3"/>
  <c r="E60" i="3"/>
  <c r="C60" i="3"/>
  <c r="D56" i="3"/>
  <c r="C56" i="3"/>
  <c r="D55" i="3"/>
  <c r="C55" i="3"/>
  <c r="I54" i="3"/>
  <c r="H54" i="3"/>
  <c r="D54" i="3"/>
  <c r="C54" i="3"/>
  <c r="D51" i="3"/>
  <c r="E51" i="3"/>
  <c r="C51" i="3"/>
  <c r="C50" i="3"/>
  <c r="D50" i="3"/>
  <c r="E50" i="3"/>
  <c r="E49" i="3"/>
  <c r="D49" i="3"/>
  <c r="D37" i="3"/>
  <c r="D48" i="3"/>
  <c r="E48" i="3"/>
  <c r="C48" i="3"/>
  <c r="E47" i="3"/>
  <c r="D47" i="3"/>
  <c r="C46" i="3"/>
  <c r="D46" i="3"/>
  <c r="E46" i="3"/>
  <c r="D45" i="3"/>
  <c r="E45" i="3"/>
  <c r="C45" i="3"/>
  <c r="D43" i="3"/>
  <c r="E43" i="3"/>
  <c r="C43" i="3"/>
  <c r="D44" i="3"/>
  <c r="E44" i="3"/>
  <c r="C44" i="3"/>
  <c r="D28" i="3"/>
  <c r="E28" i="3"/>
  <c r="C28" i="3"/>
  <c r="D42" i="3"/>
  <c r="E42" i="3"/>
  <c r="C42" i="3"/>
  <c r="C40" i="3"/>
  <c r="K40" i="3"/>
  <c r="D41" i="3" s="1"/>
  <c r="L40" i="3"/>
  <c r="E41" i="3" s="1"/>
  <c r="J40" i="3"/>
  <c r="C41" i="3" s="1"/>
  <c r="D40" i="3"/>
  <c r="E40" i="3"/>
  <c r="E37" i="3"/>
  <c r="E35" i="3"/>
  <c r="D35" i="3"/>
  <c r="E36" i="3"/>
  <c r="E9" i="3"/>
  <c r="D9" i="3"/>
  <c r="D36" i="3"/>
  <c r="E34" i="3"/>
  <c r="D34" i="3"/>
  <c r="D27" i="3"/>
  <c r="E27" i="3"/>
  <c r="C27" i="3"/>
  <c r="D26" i="3"/>
  <c r="E26" i="3"/>
  <c r="C26" i="3"/>
  <c r="D25" i="3"/>
  <c r="E25" i="3"/>
  <c r="C25" i="3"/>
  <c r="D22" i="3"/>
  <c r="E22" i="3"/>
  <c r="C22" i="3"/>
  <c r="D20" i="3"/>
  <c r="E20" i="3"/>
  <c r="C20" i="3"/>
  <c r="C21" i="3"/>
  <c r="D21" i="3"/>
  <c r="E21" i="3"/>
  <c r="D18" i="3"/>
  <c r="E18" i="3"/>
  <c r="C18" i="3"/>
  <c r="D19" i="3"/>
  <c r="E19" i="3"/>
  <c r="C19" i="3"/>
  <c r="D17" i="3"/>
  <c r="E17" i="3"/>
  <c r="C17" i="3"/>
  <c r="D13" i="3"/>
  <c r="E13" i="3"/>
  <c r="C13" i="3"/>
  <c r="E11" i="3"/>
  <c r="D11" i="3"/>
  <c r="J12" i="3"/>
  <c r="J11" i="3"/>
  <c r="J10" i="3"/>
  <c r="I12" i="3"/>
  <c r="I11" i="3"/>
  <c r="I10" i="3"/>
  <c r="E10" i="3"/>
  <c r="D10" i="3"/>
  <c r="J7" i="3"/>
  <c r="J6" i="3"/>
  <c r="J5" i="3"/>
  <c r="I7" i="3"/>
  <c r="I6" i="3"/>
  <c r="I5" i="3"/>
  <c r="E12" i="3"/>
  <c r="D12" i="3"/>
  <c r="D7" i="3"/>
  <c r="E7" i="3"/>
  <c r="D8" i="3"/>
  <c r="E8" i="3"/>
  <c r="C8" i="3"/>
  <c r="D6" i="3"/>
  <c r="E6" i="3"/>
  <c r="C6" i="3"/>
  <c r="C7" i="3"/>
  <c r="E5" i="3"/>
  <c r="D5" i="3"/>
  <c r="C5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B13" i="1" s="1"/>
  <c r="E3" i="3"/>
  <c r="D3" i="3"/>
  <c r="C3" i="3"/>
  <c r="D33" i="1"/>
  <c r="D73" i="1" s="1"/>
  <c r="C33" i="1"/>
  <c r="C73" i="1" s="1"/>
  <c r="B33" i="1"/>
  <c r="B73" i="1" s="1"/>
  <c r="B18" i="1" l="1"/>
  <c r="B20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5" i="3"/>
  <c r="A6" i="3" s="1"/>
  <c r="A7" i="3" s="1"/>
  <c r="A8" i="3" s="1"/>
  <c r="A9" i="3" s="1"/>
  <c r="A10" i="3" s="1"/>
  <c r="A11" i="3" s="1"/>
  <c r="A12" i="3" s="1"/>
  <c r="A13" i="3" s="1"/>
  <c r="A17" i="3" l="1"/>
  <c r="A18" i="3" s="1"/>
  <c r="A20" i="3" s="1"/>
  <c r="A22" i="3" s="1"/>
  <c r="A24" i="3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<sst xmlns="http://schemas.openxmlformats.org/spreadsheetml/2006/main" count="199" uniqueCount="161">
  <si>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</si>
  <si>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</si>
  <si>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</si>
  <si>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</si>
  <si>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</si>
  <si>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</si>
  <si>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</si>
  <si>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</si>
  <si>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</si>
  <si>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</si>
  <si>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</si>
  <si>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</si>
  <si>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</si>
  <si>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</si>
  <si>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</si>
  <si>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</si>
  <si>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</si>
  <si>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</si>
  <si>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</si>
  <si>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</si>
  <si>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</si>
  <si>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</si>
  <si>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</si>
  <si>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</si>
  <si>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</si>
  <si>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</si>
  <si>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</si>
  <si>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</si>
  <si>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</si>
  <si>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</si>
  <si>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</si>
  <si>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</si>
  <si>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</si>
  <si>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</si>
  <si>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</si>
  <si>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</si>
  <si>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</si>
  <si>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</si>
  <si>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</si>
  <si>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</si>
  <si>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</si>
  <si>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</si>
  <si>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</si>
  <si>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</si>
  <si>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</si>
  <si>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</si>
  <si>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</si>
  <si>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</si>
  <si>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</si>
  <si>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</si>
  <si>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</si>
  <si>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</si>
  <si>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</si>
  <si>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</si>
  <si>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</si>
  <si>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</si>
  <si>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</si>
  <si>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</si>
  <si>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</si>
  <si>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</si>
  <si>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</si>
  <si>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</si>
  <si>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</si>
  <si>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</si>
  <si>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</si>
  <si>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</si>
  <si>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</si>
  <si>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</si>
  <si>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</si>
  <si>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</si>
  <si>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</si>
  <si>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</si>
  <si>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</si>
  <si>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</si>
  <si>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</si>
  <si>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</si>
  <si>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</si>
  <si>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</si>
  <si>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</si>
  <si>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</si>
  <si>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</si>
  <si>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</si>
  <si>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</si>
  <si>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</si>
  <si>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</si>
  <si>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</si>
  <si>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</si>
  <si>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</si>
  <si>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</si>
  <si>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</si>
  <si>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</si>
  <si>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</si>
  <si>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</si>
  <si>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</si>
  <si>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</si>
  <si>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</si>
  <si>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</si>
  <si>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</si>
  <si>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</si>
  <si>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</si>
  <si>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</si>
  <si>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</si>
  <si>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</si>
  <si>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</si>
  <si>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</si>
  <si>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</si>
  <si>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</si>
  <si>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</si>
  <si>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</si>
  <si>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</si>
  <si>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</si>
  <si>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</si>
  <si>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</si>
  <si>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</si>
  <si>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</si>
  <si>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</si>
  <si>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</si>
  <si>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</si>
  <si>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</si>
  <si>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</si>
  <si>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</si>
  <si>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</si>
  <si>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</si>
  <si>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</si>
  <si>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</si>
  <si>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</si>
  <si>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</si>
  <si>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</si>
  <si>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</si>
  <si>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</si>
  <si>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</si>
  <si>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</si>
  <si>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</si>
  <si>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</si>
  <si>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</si>
  <si>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</si>
  <si>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</si>
  <si>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</si>
  <si>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</si>
  <si>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</si>
  <si>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</si>
  <si>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</si>
  <si>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</si>
  <si>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</si>
  <si>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</si>
  <si>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</si>
  <si>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</si>
  <si>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</si>
  <si>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</si>
  <si>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 xml:space="preserve">purchase </t>
  </si>
  <si>
    <t xml:space="preserve">Average Account Payable </t>
  </si>
  <si>
    <t xml:space="preserve">Account Payable turnover </t>
  </si>
  <si>
    <t xml:space="preserve">Average account recievable </t>
  </si>
  <si>
    <t xml:space="preserve">Account Recievable Turnover </t>
  </si>
  <si>
    <t xml:space="preserve">Total net sales </t>
  </si>
  <si>
    <t>Price to earning  (P/E)</t>
  </si>
  <si>
    <t xml:space="preserve">market price per share </t>
  </si>
  <si>
    <t xml:space="preserve">total outstanding shares </t>
  </si>
  <si>
    <t xml:space="preserve">Interest expense </t>
  </si>
  <si>
    <t xml:space="preserve">net sales </t>
  </si>
  <si>
    <t xml:space="preserve">Weighted Average basic share outstanding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</si>
</sst>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(* #,##0.00000000_);_(* \(#,##0.0000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7" fontId="0" fillId="0" borderId="0" xfId="1" applyNumberFormat="1" applyFont="1"/>
    <xf numFmtId="9" fontId="0" fillId="0" borderId="0" xfId="3" applyFont="1" applyAlignment="1">
      <alignment horizontal="left" indent="1"/>
    </xf>
    <xf numFmtId="10" fontId="0" fillId="0" borderId="0" xfId="3" applyNumberFormat="1" applyFont="1" applyAlignment="1">
      <alignment horizontal="left" indent="1"/>
    </xf>
    <xf numFmtId="10" fontId="0" fillId="0" borderId="0" xfId="3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3D3D3D"/>
      </a:dk1>
      <a:lt1>
        <a:sysClr val="window" lastClr="FFFAE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9" workbookViewId="0">
      <selection activeCell="A27" sqref="A27"/>
    </sheetView>
  </sheetViews>
  <sheetFormatPr defaultRowHeight="15" x14ac:dyDescent="0.25"/>
  <cols>
    <col min="1" max="1" width="104.5703125" customWidth="1"/>
  </cols>
  <sheetData>
    <row r="1" spans="1:1" ht="23.25" x14ac:dyDescent="0.35">
      <c r="A1" s="5" t="s">
        <v>86</v>
      </c>
    </row>
    <row r="3" spans="1:1" x14ac:dyDescent="0.25">
      <c r="A3" s="7" t="s">
        <v>140</v>
      </c>
    </row>
    <row r="4" spans="1:1" x14ac:dyDescent="0.25">
      <c r="A4" s="16" t="s">
        <v>87</v>
      </c>
    </row>
    <row r="5" spans="1:1" x14ac:dyDescent="0.25">
      <c r="A5" s="7" t="s">
        <v>96</v>
      </c>
    </row>
    <row r="6" spans="1:1" x14ac:dyDescent="0.25">
      <c r="A6" s="1" t="s">
        <v>147</v>
      </c>
    </row>
    <row r="7" spans="1:1" x14ac:dyDescent="0.25">
      <c r="A7" s="1"/>
    </row>
    <row r="8" spans="1:1" x14ac:dyDescent="0.25">
      <c r="A8" s="17" t="s">
        <v>148</v>
      </c>
    </row>
    <row r="9" spans="1:1" x14ac:dyDescent="0.25">
      <c r="A9" s="1" t="s">
        <v>144</v>
      </c>
    </row>
    <row r="10" spans="1:1" x14ac:dyDescent="0.25">
      <c r="A10" s="1" t="s">
        <v>88</v>
      </c>
    </row>
    <row r="11" spans="1:1" x14ac:dyDescent="0.25">
      <c r="A11" s="1" t="s">
        <v>89</v>
      </c>
    </row>
    <row r="12" spans="1:1" x14ac:dyDescent="0.25">
      <c r="A12" s="1" t="s">
        <v>90</v>
      </c>
    </row>
    <row r="13" spans="1:1" x14ac:dyDescent="0.25">
      <c r="A13" s="1"/>
    </row>
    <row r="14" spans="1:1" x14ac:dyDescent="0.25">
      <c r="A14" s="17" t="s">
        <v>91</v>
      </c>
    </row>
    <row r="15" spans="1:1" x14ac:dyDescent="0.25">
      <c r="A15" s="1" t="s">
        <v>145</v>
      </c>
    </row>
    <row r="16" spans="1:1" x14ac:dyDescent="0.25">
      <c r="A16" s="1" t="s">
        <v>88</v>
      </c>
    </row>
    <row r="17" spans="1:1" x14ac:dyDescent="0.25">
      <c r="A17" s="1" t="s">
        <v>89</v>
      </c>
    </row>
    <row r="18" spans="1:1" x14ac:dyDescent="0.25">
      <c r="A18" s="1" t="s">
        <v>14</v>
      </c>
    </row>
    <row r="19" spans="1:1" x14ac:dyDescent="0.25">
      <c r="A19" s="1" t="s">
        <v>92</v>
      </c>
    </row>
    <row r="20" spans="1:1" x14ac:dyDescent="0.25">
      <c r="A20" s="1"/>
    </row>
    <row r="21" spans="1:1" x14ac:dyDescent="0.25">
      <c r="A21" s="17" t="s">
        <v>97</v>
      </c>
    </row>
    <row r="22" spans="1:1" x14ac:dyDescent="0.25">
      <c r="A22" s="1" t="s">
        <v>93</v>
      </c>
    </row>
    <row r="23" spans="1:1" x14ac:dyDescent="0.25">
      <c r="A23" s="1" t="s">
        <v>94</v>
      </c>
    </row>
    <row r="24" spans="1:1" x14ac:dyDescent="0.25">
      <c r="A24" s="1" t="s">
        <v>95</v>
      </c>
    </row>
    <row r="25" spans="1:1" x14ac:dyDescent="0.25">
      <c r="A25" s="1"/>
    </row>
    <row r="26" spans="1:1" x14ac:dyDescent="0.25">
      <c r="A26" s="17" t="s">
        <v>143</v>
      </c>
    </row>
    <row r="27" spans="1:1" x14ac:dyDescent="0.25">
      <c r="A27" s="16" t="s">
        <v>142</v>
      </c>
    </row>
    <row r="29" spans="1:1" x14ac:dyDescent="0.25">
      <c r="A29" s="7" t="s">
        <v>146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81" workbookViewId="0">
      <selection activeCell="A105" sqref="A105"/>
    </sheetView>
  </sheetViews>
  <sheetFormatPr defaultRowHeight="15" x14ac:dyDescent="0.25"/>
  <cols>
    <col min="1" max="1" width="59" customWidth="1"/>
    <col min="2" max="3" width="11.5703125" bestFit="1" customWidth="1"/>
    <col min="4" max="4" width="11.7109375" bestFit="1" customWidth="1"/>
  </cols>
  <sheetData>
    <row r="1" spans="1:10" ht="26.25" x14ac:dyDescent="0.2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5">
      <c r="A2" s="30" t="s">
        <v>1</v>
      </c>
      <c r="B2" s="30"/>
      <c r="C2" s="30"/>
      <c r="D2" s="30"/>
    </row>
    <row r="3" spans="1:10" x14ac:dyDescent="0.25">
      <c r="B3" s="29" t="s">
        <v>23</v>
      </c>
      <c r="C3" s="29"/>
      <c r="D3" s="29"/>
    </row>
    <row r="4" spans="1:10" x14ac:dyDescent="0.25">
      <c r="B4" s="7">
        <v>2022</v>
      </c>
      <c r="C4" s="7">
        <v>2021</v>
      </c>
      <c r="D4" s="7">
        <v>2020</v>
      </c>
    </row>
    <row r="5" spans="1:10" x14ac:dyDescent="0.25">
      <c r="A5" t="s">
        <v>3</v>
      </c>
    </row>
    <row r="6" spans="1:10" x14ac:dyDescent="0.2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5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5">
      <c r="A9" t="s">
        <v>7</v>
      </c>
      <c r="B9" s="12"/>
      <c r="C9" s="12"/>
      <c r="D9" s="12"/>
    </row>
    <row r="10" spans="1:10" x14ac:dyDescent="0.2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5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5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5">
      <c r="A14" t="s">
        <v>10</v>
      </c>
      <c r="B14" s="12"/>
      <c r="C14" s="12"/>
      <c r="D14" s="12"/>
    </row>
    <row r="15" spans="1:10" x14ac:dyDescent="0.2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5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5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25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5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5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5">
      <c r="A21" t="s">
        <v>17</v>
      </c>
      <c r="B21" s="12">
        <v>19300</v>
      </c>
      <c r="C21" s="12">
        <v>14527</v>
      </c>
      <c r="D21" s="12">
        <v>9680</v>
      </c>
    </row>
    <row r="22" spans="1:4" ht="15.75" thickBot="1" x14ac:dyDescent="0.3">
      <c r="A22" s="9" t="s">
        <v>18</v>
      </c>
      <c r="B22" s="14"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.75" thickTop="1" x14ac:dyDescent="0.25">
      <c r="A23" t="s">
        <v>19</v>
      </c>
    </row>
    <row r="24" spans="1:4" x14ac:dyDescent="0.25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5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5">
      <c r="A26" t="s">
        <v>22</v>
      </c>
    </row>
    <row r="27" spans="1:4" x14ac:dyDescent="0.25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5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5">
      <c r="A31" s="30" t="s">
        <v>24</v>
      </c>
      <c r="B31" s="30"/>
      <c r="C31" s="30"/>
      <c r="D31" s="30"/>
    </row>
    <row r="32" spans="1:4" x14ac:dyDescent="0.25">
      <c r="B32" s="29" t="s">
        <v>141</v>
      </c>
      <c r="C32" s="29"/>
      <c r="D32" s="29"/>
    </row>
    <row r="33" spans="1:4" x14ac:dyDescent="0.25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5">
      <c r="A35" t="s">
        <v>25</v>
      </c>
    </row>
    <row r="36" spans="1:4" x14ac:dyDescent="0.25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5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5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5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5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5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5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5">
      <c r="A43" t="s">
        <v>48</v>
      </c>
      <c r="B43" s="12"/>
      <c r="C43" s="12"/>
      <c r="D43" s="12"/>
    </row>
    <row r="44" spans="1:4" x14ac:dyDescent="0.25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5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5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5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.75" thickBot="1" x14ac:dyDescent="0.3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.75" thickTop="1" x14ac:dyDescent="0.25"/>
    <row r="50" spans="1:4" x14ac:dyDescent="0.25">
      <c r="A50" t="s">
        <v>34</v>
      </c>
    </row>
    <row r="51" spans="1:4" x14ac:dyDescent="0.25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5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5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5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5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5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5">
      <c r="A57" t="s">
        <v>51</v>
      </c>
      <c r="B57" s="12"/>
      <c r="C57" s="12"/>
      <c r="D57" s="12"/>
    </row>
    <row r="58" spans="1:4" x14ac:dyDescent="0.25">
      <c r="A58" s="1" t="s">
        <v>37</v>
      </c>
      <c r="B58" s="12"/>
      <c r="C58" s="12"/>
      <c r="D58" s="12"/>
    </row>
    <row r="59" spans="1:4" x14ac:dyDescent="0.25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5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5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25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5">
      <c r="B63" s="12"/>
      <c r="C63" s="12"/>
      <c r="D63" s="12"/>
    </row>
    <row r="64" spans="1:4" x14ac:dyDescent="0.25">
      <c r="A64" t="s">
        <v>42</v>
      </c>
      <c r="B64" s="12"/>
      <c r="C64" s="12"/>
      <c r="D64" s="12"/>
    </row>
    <row r="65" spans="1:4" x14ac:dyDescent="0.25">
      <c r="A65" s="1"/>
      <c r="B65" s="12">
        <v>64849</v>
      </c>
      <c r="C65" s="12">
        <v>57365</v>
      </c>
      <c r="D65" s="12">
        <v>50779</v>
      </c>
    </row>
    <row r="66" spans="1:4" x14ac:dyDescent="0.2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5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.75" thickBot="1" x14ac:dyDescent="0.3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.75" thickTop="1" x14ac:dyDescent="0.25"/>
    <row r="71" spans="1:4" x14ac:dyDescent="0.25">
      <c r="A71" s="30" t="s">
        <v>54</v>
      </c>
      <c r="B71" s="30"/>
      <c r="C71" s="30"/>
      <c r="D71" s="30"/>
    </row>
    <row r="72" spans="1:4" x14ac:dyDescent="0.25">
      <c r="B72" s="29" t="s">
        <v>23</v>
      </c>
      <c r="C72" s="29"/>
      <c r="D72" s="29"/>
    </row>
    <row r="73" spans="1:4" x14ac:dyDescent="0.25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5">
      <c r="A75" s="7" t="s">
        <v>55</v>
      </c>
      <c r="B75" s="15"/>
      <c r="C75" s="15"/>
      <c r="D75" s="15"/>
    </row>
    <row r="76" spans="1:4" x14ac:dyDescent="0.25">
      <c r="A76" t="s">
        <v>56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5">
      <c r="A77" s="11" t="s">
        <v>18</v>
      </c>
      <c r="B77" s="15"/>
      <c r="C77" s="15"/>
      <c r="D77" s="15"/>
    </row>
    <row r="78" spans="1:4" x14ac:dyDescent="0.25">
      <c r="A78" s="1" t="s">
        <v>57</v>
      </c>
      <c r="B78" s="12"/>
      <c r="C78" s="12"/>
      <c r="D78" s="12"/>
    </row>
    <row r="79" spans="1:4" x14ac:dyDescent="0.25">
      <c r="A79" s="3" t="s">
        <v>58</v>
      </c>
      <c r="B79" s="12">
        <v>11104</v>
      </c>
      <c r="C79" s="12">
        <v>11284</v>
      </c>
      <c r="D79" s="12">
        <v>11056</v>
      </c>
    </row>
    <row r="80" spans="1:4" x14ac:dyDescent="0.25">
      <c r="A80" s="3" t="s">
        <v>82</v>
      </c>
      <c r="B80" s="12">
        <v>9038</v>
      </c>
      <c r="C80" s="12">
        <v>7906</v>
      </c>
      <c r="D80" s="12">
        <v>6829</v>
      </c>
    </row>
    <row r="81" spans="1:4" x14ac:dyDescent="0.25">
      <c r="A81" s="3" t="s">
        <v>59</v>
      </c>
      <c r="B81" s="12">
        <v>895</v>
      </c>
      <c r="C81" s="12">
        <v>-4774</v>
      </c>
      <c r="D81" s="12">
        <v>-215</v>
      </c>
    </row>
    <row r="82" spans="1:4" x14ac:dyDescent="0.25">
      <c r="A82" s="3" t="s">
        <v>60</v>
      </c>
      <c r="B82" s="12">
        <v>111</v>
      </c>
      <c r="C82" s="12">
        <v>-147</v>
      </c>
      <c r="D82" s="12">
        <v>-97</v>
      </c>
    </row>
    <row r="83" spans="1:4" x14ac:dyDescent="0.25">
      <c r="A83" t="s">
        <v>61</v>
      </c>
      <c r="B83" s="12"/>
      <c r="C83" s="12"/>
      <c r="D83" s="12"/>
    </row>
    <row r="84" spans="1:4" x14ac:dyDescent="0.2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5">
      <c r="A87" s="1" t="s">
        <v>83</v>
      </c>
      <c r="B87" s="12">
        <v>-6499</v>
      </c>
      <c r="C87" s="12">
        <v>-8042</v>
      </c>
      <c r="D87" s="12">
        <v>-9588</v>
      </c>
    </row>
    <row r="88" spans="1:4" x14ac:dyDescent="0.2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5">
      <c r="A90" s="1" t="s">
        <v>84</v>
      </c>
      <c r="B90" s="12">
        <v>5632</v>
      </c>
      <c r="C90" s="12">
        <v>5799</v>
      </c>
      <c r="D90" s="12">
        <v>8916</v>
      </c>
    </row>
    <row r="91" spans="1:4" x14ac:dyDescent="0.25">
      <c r="A91" s="8" t="s">
        <v>62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5">
      <c r="A92" s="7" t="s">
        <v>63</v>
      </c>
      <c r="B92" s="12"/>
      <c r="C92" s="12"/>
      <c r="D92" s="12"/>
    </row>
    <row r="93" spans="1:4" x14ac:dyDescent="0.25">
      <c r="A93" s="1" t="s">
        <v>64</v>
      </c>
      <c r="B93" s="12">
        <v>-76923</v>
      </c>
      <c r="C93" s="12">
        <v>-109558</v>
      </c>
      <c r="D93" s="12">
        <v>-114938</v>
      </c>
    </row>
    <row r="94" spans="1:4" x14ac:dyDescent="0.25">
      <c r="A94" s="1" t="s">
        <v>65</v>
      </c>
      <c r="B94" s="12">
        <v>29917</v>
      </c>
      <c r="C94" s="12">
        <v>59023</v>
      </c>
      <c r="D94" s="12">
        <v>69918</v>
      </c>
    </row>
    <row r="95" spans="1:4" x14ac:dyDescent="0.25">
      <c r="A95" s="1" t="s">
        <v>66</v>
      </c>
      <c r="B95" s="12">
        <v>37446</v>
      </c>
      <c r="C95" s="12">
        <v>47460</v>
      </c>
      <c r="D95" s="12">
        <v>50473</v>
      </c>
    </row>
    <row r="96" spans="1:4" x14ac:dyDescent="0.25">
      <c r="A96" s="1" t="s">
        <v>67</v>
      </c>
      <c r="B96" s="12">
        <v>-10708</v>
      </c>
      <c r="C96" s="12">
        <v>-11085</v>
      </c>
      <c r="D96" s="12">
        <v>-7309</v>
      </c>
    </row>
    <row r="97" spans="1:4" x14ac:dyDescent="0.25">
      <c r="A97" s="1" t="s">
        <v>68</v>
      </c>
      <c r="B97" s="12">
        <v>-306</v>
      </c>
      <c r="C97" s="12">
        <v>-33</v>
      </c>
      <c r="D97" s="12">
        <v>-1524</v>
      </c>
    </row>
    <row r="98" spans="1:4" x14ac:dyDescent="0.25">
      <c r="A98" s="1" t="s">
        <v>60</v>
      </c>
      <c r="B98" s="12">
        <v>-1780</v>
      </c>
      <c r="C98" s="12">
        <v>-352</v>
      </c>
      <c r="D98" s="12">
        <v>-909</v>
      </c>
    </row>
    <row r="99" spans="1:4" x14ac:dyDescent="0.25">
      <c r="A99" s="8" t="s">
        <v>69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5">
      <c r="A100" s="7" t="s">
        <v>70</v>
      </c>
      <c r="B100" s="12"/>
      <c r="C100" s="12"/>
      <c r="D100" s="12"/>
    </row>
    <row r="101" spans="1:4" x14ac:dyDescent="0.25">
      <c r="A101" s="1" t="s">
        <v>85</v>
      </c>
      <c r="B101" s="12">
        <v>-6223</v>
      </c>
      <c r="C101" s="12">
        <v>-6556</v>
      </c>
      <c r="D101" s="12">
        <v>-3634</v>
      </c>
    </row>
    <row r="102" spans="1:4" x14ac:dyDescent="0.25">
      <c r="A102" s="1" t="s">
        <v>71</v>
      </c>
      <c r="B102" s="12">
        <v>-14841</v>
      </c>
      <c r="C102" s="12">
        <v>-14467</v>
      </c>
      <c r="D102" s="12">
        <v>-14081</v>
      </c>
    </row>
    <row r="103" spans="1:4" x14ac:dyDescent="0.25">
      <c r="A103" s="1" t="s">
        <v>72</v>
      </c>
      <c r="B103" s="12">
        <v>-89402</v>
      </c>
      <c r="C103" s="12">
        <v>-85971</v>
      </c>
      <c r="D103" s="12">
        <v>-72358</v>
      </c>
    </row>
    <row r="104" spans="1:4" x14ac:dyDescent="0.25">
      <c r="A104" s="1" t="s">
        <v>73</v>
      </c>
      <c r="B104" s="12">
        <v>5465</v>
      </c>
      <c r="C104" s="12">
        <v>20393</v>
      </c>
      <c r="D104" s="12">
        <v>16091</v>
      </c>
    </row>
    <row r="105" spans="1:4" x14ac:dyDescent="0.25">
      <c r="A105" s="1" t="s">
        <v>74</v>
      </c>
      <c r="B105" s="12">
        <v>-9543</v>
      </c>
      <c r="C105" s="12">
        <v>-8750</v>
      </c>
      <c r="D105" s="12">
        <v>-12629</v>
      </c>
    </row>
    <row r="106" spans="1:4" x14ac:dyDescent="0.25">
      <c r="A106" s="1" t="s">
        <v>75</v>
      </c>
      <c r="B106" s="12">
        <v>3955</v>
      </c>
      <c r="C106" s="12">
        <v>1022</v>
      </c>
      <c r="D106" s="12">
        <v>-963</v>
      </c>
    </row>
    <row r="107" spans="1:4" x14ac:dyDescent="0.25">
      <c r="A107" s="1" t="s">
        <v>60</v>
      </c>
      <c r="B107" s="12">
        <v>-160</v>
      </c>
      <c r="C107" s="12">
        <v>976</v>
      </c>
      <c r="D107" s="12">
        <v>754</v>
      </c>
    </row>
    <row r="108" spans="1:4" x14ac:dyDescent="0.25">
      <c r="A108" s="8" t="s">
        <v>76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5">
      <c r="A109" s="8" t="s">
        <v>77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.75" thickBot="1" x14ac:dyDescent="0.3">
      <c r="A110" s="9" t="s">
        <v>78</v>
      </c>
      <c r="B110" s="14">
        <v>24977</v>
      </c>
      <c r="C110" s="14">
        <v>35929</v>
      </c>
      <c r="D110" s="14">
        <v>39789</v>
      </c>
    </row>
    <row r="111" spans="1:4" ht="15.75" thickTop="1" x14ac:dyDescent="0.25">
      <c r="B111" s="12"/>
      <c r="C111" s="12"/>
      <c r="D111" s="12"/>
    </row>
    <row r="112" spans="1:4" x14ac:dyDescent="0.25">
      <c r="A112" t="s">
        <v>79</v>
      </c>
      <c r="B112" s="12"/>
      <c r="C112" s="12"/>
      <c r="D112" s="12"/>
    </row>
    <row r="113" spans="1:4" x14ac:dyDescent="0.25">
      <c r="A113" t="s">
        <v>80</v>
      </c>
      <c r="B113" s="12">
        <v>19573</v>
      </c>
      <c r="C113" s="12">
        <v>25385</v>
      </c>
      <c r="D113" s="12">
        <v>9501</v>
      </c>
    </row>
    <row r="114" spans="1:4" x14ac:dyDescent="0.25">
      <c r="A114" t="s">
        <v>81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9"/>
  <sheetViews>
    <sheetView tabSelected="1" topLeftCell="A7" zoomScale="93" zoomScaleNormal="93" workbookViewId="0">
      <selection activeCell="I32" sqref="I32"/>
    </sheetView>
  </sheetViews>
  <sheetFormatPr defaultRowHeight="15" x14ac:dyDescent="0.25"/>
  <cols>
    <col min="1" max="1" width="4.5703125" bestFit="1" customWidth="1"/>
    <col min="2" max="2" width="44.85546875" customWidth="1"/>
    <col min="3" max="3" width="14.28515625" bestFit="1" customWidth="1"/>
    <col min="4" max="4" width="14.85546875" bestFit="1" customWidth="1"/>
    <col min="5" max="5" width="15.5703125" bestFit="1" customWidth="1"/>
    <col min="7" max="7" width="10.5703125" bestFit="1" customWidth="1"/>
    <col min="8" max="8" width="40" bestFit="1" customWidth="1"/>
    <col min="9" max="9" width="23.140625" bestFit="1" customWidth="1"/>
    <col min="10" max="11" width="12.85546875" bestFit="1" customWidth="1"/>
  </cols>
  <sheetData>
    <row r="1" spans="1:10" ht="60" customHeight="1" x14ac:dyDescent="0.4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5">
      <c r="C2" s="29" t="s">
        <v>23</v>
      </c>
      <c r="D2" s="29"/>
      <c r="E2" s="29"/>
    </row>
    <row r="3" spans="1:10" x14ac:dyDescent="0.2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I3" s="24">
        <v>2021</v>
      </c>
      <c r="J3" s="24">
        <v>2020</v>
      </c>
    </row>
    <row r="4" spans="1:10" x14ac:dyDescent="0.25">
      <c r="A4" s="18">
        <v>1</v>
      </c>
      <c r="B4" s="7" t="s">
        <v>98</v>
      </c>
      <c r="I4" s="24"/>
      <c r="J4" s="24"/>
    </row>
    <row r="5" spans="1:10" x14ac:dyDescent="0.25">
      <c r="A5" s="18">
        <f>+A4+0.1</f>
        <v>1.1000000000000001</v>
      </c>
      <c r="B5" s="1" t="s">
        <v>99</v>
      </c>
      <c r="C5">
        <f>'Financial Statements'!B42/'Financial Statements'!B56</f>
        <v>0.87935602862672257</v>
      </c>
      <c r="D5">
        <f>'Financial Statements'!C42/'Financial Statements'!C56</f>
        <v>1.0745531195957954</v>
      </c>
      <c r="E5">
        <f>'Financial Statements'!D42/'Financial Statements'!D56</f>
        <v>1.3636044481554577</v>
      </c>
      <c r="H5" t="s">
        <v>149</v>
      </c>
      <c r="I5" s="24">
        <f>'Financial Statements'!C10+'Financial Statements'!C39-'Financial Statements'!B39</f>
        <v>193900</v>
      </c>
      <c r="J5" s="24">
        <f>'Financial Statements'!D10+'Financial Statements'!D39-'Financial Statements'!C39</f>
        <v>148767</v>
      </c>
    </row>
    <row r="6" spans="1:10" x14ac:dyDescent="0.25">
      <c r="A6" s="18">
        <f t="shared" ref="A6:A13" si="0">+A5+0.1</f>
        <v>1.2000000000000002</v>
      </c>
      <c r="B6" s="1" t="s">
        <v>100</v>
      </c>
      <c r="C6">
        <f>('Financial Statements'!B36+'Financial Statements'!B37+'Financial Statements'!B38)/'Financial Statements'!B56</f>
        <v>0.49673338442155579</v>
      </c>
      <c r="D6">
        <f>('Financial Statements'!C36+'Financial Statements'!C37+'Financial Statements'!C38)/'Financial Statements'!C56</f>
        <v>0.70860927152317876</v>
      </c>
      <c r="E6">
        <f>('Financial Statements'!D36+'Financial Statements'!D37+'Financial Statements'!D38)/'Financial Statements'!D56</f>
        <v>1.0158550933657204</v>
      </c>
      <c r="H6" t="s">
        <v>150</v>
      </c>
      <c r="I6" s="24">
        <f>'Financial Statements'!B51+'Financial Statements'!C51/2</f>
        <v>91496.5</v>
      </c>
      <c r="J6" s="24">
        <f>'Financial Statements'!C51+'Financial Statements'!D51/2</f>
        <v>75911</v>
      </c>
    </row>
    <row r="7" spans="1:10" x14ac:dyDescent="0.25">
      <c r="A7" s="18">
        <f t="shared" si="0"/>
        <v>1.3000000000000003</v>
      </c>
      <c r="B7" s="1" t="s">
        <v>101</v>
      </c>
      <c r="C7">
        <f>('Financial Statements'!B36+'Financial Statements'!B37)/'Financial Statements'!B56</f>
        <v>0.31369900377966253</v>
      </c>
      <c r="D7">
        <f>('Financial Statements'!C36+'Financial Statements'!C37)/'Financial Statements'!C56</f>
        <v>0.49919111259872012</v>
      </c>
      <c r="E7">
        <f>('Financial Statements'!D36+'Financial Statements'!D37)/'Financial Statements'!D56</f>
        <v>0.86290230757552755</v>
      </c>
      <c r="H7" t="s">
        <v>151</v>
      </c>
      <c r="I7" s="24">
        <f>I5/I6</f>
        <v>2.1192067456132202</v>
      </c>
      <c r="J7" s="24">
        <f>J5/J6</f>
        <v>1.9597555031550105</v>
      </c>
    </row>
    <row r="8" spans="1:10" x14ac:dyDescent="0.25">
      <c r="A8" s="18">
        <f t="shared" si="0"/>
        <v>1.4000000000000004</v>
      </c>
      <c r="B8" s="1" t="s">
        <v>102</v>
      </c>
      <c r="C8">
        <f>('Financial Statements'!B36+'Financial Statements'!B37+'Financial Statements'!B38)/'Financial Statements'!B17</f>
        <v>1.4896874087058136</v>
      </c>
      <c r="D8">
        <f>('Financial Statements'!C36+'Financial Statements'!C37+'Financial Statements'!C38)/'Financial Statements'!C17</f>
        <v>2.0260441588625335</v>
      </c>
      <c r="E8">
        <f>('Financial Statements'!D36+'Financial Statements'!D37+'Financial Statements'!D38)/'Financial Statements'!D17</f>
        <v>2.7687752146477709</v>
      </c>
      <c r="I8" s="24"/>
      <c r="J8" s="24"/>
    </row>
    <row r="9" spans="1:10" x14ac:dyDescent="0.25">
      <c r="A9" s="18">
        <f t="shared" si="0"/>
        <v>1.5000000000000004</v>
      </c>
      <c r="B9" s="1" t="s">
        <v>103</v>
      </c>
      <c r="D9">
        <f>365/D36</f>
        <v>10.100498788137267</v>
      </c>
      <c r="E9">
        <f>365/E36</f>
        <v>9.797767143027114</v>
      </c>
      <c r="I9" s="24"/>
      <c r="J9" s="24"/>
    </row>
    <row r="10" spans="1:10" x14ac:dyDescent="0.25">
      <c r="A10" s="18">
        <f t="shared" si="0"/>
        <v>1.6000000000000005</v>
      </c>
      <c r="B10" s="1" t="s">
        <v>104</v>
      </c>
      <c r="D10">
        <f>365/I7</f>
        <v>172.23425734914903</v>
      </c>
      <c r="E10">
        <f>365/J7</f>
        <v>186.24772294931</v>
      </c>
      <c r="H10" t="s">
        <v>154</v>
      </c>
      <c r="I10" s="24">
        <f>'Financial Statements'!C8</f>
        <v>365817</v>
      </c>
      <c r="J10" s="24">
        <f>'Financial Statements'!D8</f>
        <v>274515</v>
      </c>
    </row>
    <row r="11" spans="1:10" x14ac:dyDescent="0.25">
      <c r="A11" s="18">
        <f t="shared" si="0"/>
        <v>1.7000000000000006</v>
      </c>
      <c r="B11" s="1" t="s">
        <v>105</v>
      </c>
      <c r="D11">
        <f>365/I12</f>
        <v>27.170183452381931</v>
      </c>
      <c r="E11">
        <f>365/J12</f>
        <v>28.186565397154983</v>
      </c>
      <c r="H11" t="s">
        <v>152</v>
      </c>
      <c r="I11" s="24">
        <f>AVERAGE('Financial Statements'!B38:C38)</f>
        <v>27231</v>
      </c>
      <c r="J11" s="24">
        <f>AVERAGE('Financial Statements'!C38:D38)</f>
        <v>21199</v>
      </c>
    </row>
    <row r="12" spans="1:10" x14ac:dyDescent="0.25">
      <c r="A12" s="18">
        <f t="shared" si="0"/>
        <v>1.8000000000000007</v>
      </c>
      <c r="B12" s="1" t="s">
        <v>106</v>
      </c>
      <c r="D12">
        <f>D9+D11-D10</f>
        <v>-134.96357510862984</v>
      </c>
      <c r="E12">
        <f>E9+E11-E10</f>
        <v>-148.26339040912791</v>
      </c>
      <c r="H12" t="s">
        <v>153</v>
      </c>
      <c r="I12" s="24">
        <f>I10/I11</f>
        <v>13.433843780984907</v>
      </c>
      <c r="J12" s="24">
        <f>J10/J11</f>
        <v>12.949431576961178</v>
      </c>
    </row>
    <row r="13" spans="1:10" x14ac:dyDescent="0.25">
      <c r="A13" s="18">
        <f t="shared" si="0"/>
        <v>1.9000000000000008</v>
      </c>
      <c r="B13" s="1" t="s">
        <v>107</v>
      </c>
      <c r="C13">
        <f>'Financial Statements'!B42-'Financial Statements'!B56/'Financial Statements'!B12</f>
        <v>135404.31118427528</v>
      </c>
      <c r="D13">
        <f>'Financial Statements'!C42-'Financial Statements'!C56/'Financial Statements'!C12</f>
        <v>134835.41083476931</v>
      </c>
      <c r="E13">
        <f>'Financial Statements'!D42-'Financial Statements'!D56/'Financial Statements'!D12</f>
        <v>143712.37843464516</v>
      </c>
    </row>
    <row r="14" spans="1:10" x14ac:dyDescent="0.25">
      <c r="A14" s="18"/>
      <c r="B14" s="3" t="s">
        <v>108</v>
      </c>
    </row>
    <row r="15" spans="1:10" x14ac:dyDescent="0.25">
      <c r="A15" s="18"/>
    </row>
    <row r="16" spans="1:10" x14ac:dyDescent="0.25">
      <c r="A16" s="18">
        <f>+A4+1</f>
        <v>2</v>
      </c>
      <c r="B16" s="17" t="s">
        <v>109</v>
      </c>
    </row>
    <row r="17" spans="1:11" x14ac:dyDescent="0.25">
      <c r="A17" s="18">
        <f>+A16+0.1</f>
        <v>2.1</v>
      </c>
      <c r="B17" s="1" t="s">
        <v>9</v>
      </c>
      <c r="C17">
        <f>'Financial Statements'!B13/'Financial Statements'!B8*100</f>
        <v>43.309630561360088</v>
      </c>
      <c r="D17">
        <f>'Financial Statements'!C13/'Financial Statements'!C8*100</f>
        <v>41.779359625167778</v>
      </c>
      <c r="E17">
        <f>'Financial Statements'!D13/'Financial Statements'!D8*100</f>
        <v>38.233247727810863</v>
      </c>
    </row>
    <row r="18" spans="1:11" x14ac:dyDescent="0.25">
      <c r="A18" s="18">
        <f>+A17+0.1</f>
        <v>2.2000000000000002</v>
      </c>
      <c r="B18" s="1" t="s">
        <v>110</v>
      </c>
      <c r="C18">
        <f>((('Financial Statements'!B18+'Financial Statements'!B79)/'Financial Statements'!B8)/'Financial Statements'!B8)*100</f>
        <v>8.3952126862178083E-5</v>
      </c>
      <c r="D18">
        <f>((('Financial Statements'!C18+'Financial Statements'!C79)/'Financial Statements'!C8)/'Financial Statements'!C8)*100</f>
        <v>8.9845414341204648E-5</v>
      </c>
      <c r="E18">
        <f>((('Financial Statements'!D18+'Financial Statements'!D79)/'Financial Statements'!D8)/'Financial Statements'!D8)*100</f>
        <v>1.0263475940243728E-4</v>
      </c>
    </row>
    <row r="19" spans="1:11" x14ac:dyDescent="0.25">
      <c r="A19" s="18"/>
      <c r="B19" s="3" t="s">
        <v>111</v>
      </c>
      <c r="C19">
        <f>(('Financial Statements'!B18+'Financial Statements'!B79)/'Financial Statements'!B8)*100</f>
        <v>33.104674281308959</v>
      </c>
      <c r="D19">
        <f>(('Financial Statements'!C18+'Financial Statements'!C79)/'Financial Statements'!C8)*100</f>
        <v>32.86697993805646</v>
      </c>
      <c r="E19">
        <f>(('Financial Statements'!D18+'Financial Statements'!D79)/'Financial Statements'!D8)*100</f>
        <v>28.174780977360069</v>
      </c>
    </row>
    <row r="20" spans="1:11" x14ac:dyDescent="0.25">
      <c r="A20" s="18">
        <f>+A18+0.1</f>
        <v>2.3000000000000003</v>
      </c>
      <c r="B20" s="1" t="s">
        <v>112</v>
      </c>
      <c r="C20">
        <f>((('Financial Statements'!B8-'Financial Statements'!B12-'Financial Statements'!B17)/'Financial Statements'!B8)/'Financial Statements'!B8)*100</f>
        <v>7.6811041558115558E-5</v>
      </c>
      <c r="D20">
        <f>((('Financial Statements'!C8-'Financial Statements'!C12-'Financial Statements'!C17)/'Financial Statements'!C8)/'Financial Statements'!C8)*100</f>
        <v>8.1413322856951949E-5</v>
      </c>
      <c r="E20">
        <f>((('Financial Statements'!D8-'Financial Statements'!D12-'Financial Statements'!D17)/'Financial Statements'!D8)/'Financial Statements'!D8)*100</f>
        <v>8.7963551552399183E-5</v>
      </c>
    </row>
    <row r="21" spans="1:11" x14ac:dyDescent="0.25">
      <c r="A21" s="18"/>
      <c r="B21" s="3" t="s">
        <v>113</v>
      </c>
      <c r="C21">
        <f>(('Financial Statements'!B8-'Financial Statements'!B12-'Financial Statements'!B17)/'Financial Statements'!B8)*100</f>
        <v>30.288744395528592</v>
      </c>
      <c r="D21">
        <f>(('Financial Statements'!C8-'Financial Statements'!C12-'Financial Statements'!C17)/'Financial Statements'!C8)*100</f>
        <v>29.782377527561593</v>
      </c>
      <c r="E21">
        <f>(('Financial Statements'!D8-'Financial Statements'!D12-'Financial Statements'!D17)/'Financial Statements'!D8)*100</f>
        <v>24.147314354406863</v>
      </c>
    </row>
    <row r="22" spans="1:11" x14ac:dyDescent="0.25">
      <c r="A22" s="18">
        <f>+A20+0.1</f>
        <v>2.4000000000000004</v>
      </c>
      <c r="B22" s="1" t="s">
        <v>114</v>
      </c>
      <c r="C22">
        <f>'Financial Statements'!B22/'Financial Statements'!B8*100</f>
        <v>25.309640705199733</v>
      </c>
      <c r="D22">
        <f>'Financial Statements'!C22/'Financial Statements'!C8*100</f>
        <v>25.881793355694239</v>
      </c>
      <c r="E22">
        <f>'Financial Statements'!D22/'Financial Statements'!D8*100</f>
        <v>20.913611278072235</v>
      </c>
    </row>
    <row r="23" spans="1:11" x14ac:dyDescent="0.25">
      <c r="A23" s="18"/>
    </row>
    <row r="24" spans="1:11" x14ac:dyDescent="0.25">
      <c r="A24" s="18">
        <f>+A16+1</f>
        <v>3</v>
      </c>
      <c r="B24" s="7" t="s">
        <v>115</v>
      </c>
      <c r="I24" s="23">
        <v>2022</v>
      </c>
      <c r="J24" s="24">
        <v>2021</v>
      </c>
      <c r="K24" s="24">
        <v>2020</v>
      </c>
    </row>
    <row r="25" spans="1:11" x14ac:dyDescent="0.25">
      <c r="A25" s="18">
        <f>+A24+0.1</f>
        <v>3.1</v>
      </c>
      <c r="B25" s="1" t="s">
        <v>116</v>
      </c>
      <c r="C25">
        <f>'Financial Statements'!B62/'Financial Statements'!B68</f>
        <v>5.9615369434796337</v>
      </c>
      <c r="D25">
        <f>'Financial Statements'!C62/'Financial Statements'!C68</f>
        <v>4.5635124425423994</v>
      </c>
      <c r="E25">
        <f>'Financial Statements'!D62/'Financial Statements'!D68</f>
        <v>3.9570394404566951</v>
      </c>
      <c r="H25" t="s">
        <v>158</v>
      </c>
      <c r="I25" s="24">
        <v>2931</v>
      </c>
      <c r="J25" s="24">
        <v>2645</v>
      </c>
      <c r="K25" s="24">
        <v>2873</v>
      </c>
    </row>
    <row r="26" spans="1:11" x14ac:dyDescent="0.25">
      <c r="A26" s="18">
        <f t="shared" ref="A26:A30" si="1">+A25+0.1</f>
        <v>3.2</v>
      </c>
      <c r="B26" s="1" t="s">
        <v>117</v>
      </c>
      <c r="C26">
        <f>'Financial Statements'!B62/'Financial Statements'!B48</f>
        <v>0.85635355983614692</v>
      </c>
      <c r="D26">
        <f>'Financial Statements'!C62/'Financial Statements'!C48</f>
        <v>0.82025743443057308</v>
      </c>
      <c r="E26">
        <f>'Financial Statements'!D62/'Financial Statements'!D48</f>
        <v>0.79826668477992391</v>
      </c>
    </row>
    <row r="27" spans="1:11" x14ac:dyDescent="0.25">
      <c r="A27" s="18">
        <f t="shared" si="1"/>
        <v>3.3000000000000003</v>
      </c>
      <c r="B27" s="1" t="s">
        <v>118</v>
      </c>
      <c r="C27">
        <f>'Financial Statements'!B62/('Financial Statements'!B61+'Financial Statements'!B68)</f>
        <v>1.5197385962882284</v>
      </c>
      <c r="D27">
        <f>'Financial Statements'!C62/('Financial Statements'!C61+'Financial Statements'!C68)</f>
        <v>1.2766527285707319</v>
      </c>
      <c r="E27">
        <f>'Financial Statements'!D62/('Financial Statements'!D61+'Financial Statements'!D68)</f>
        <v>1.1833122803163445</v>
      </c>
    </row>
    <row r="28" spans="1:11" x14ac:dyDescent="0.25">
      <c r="A28" s="18">
        <f t="shared" si="1"/>
        <v>3.4000000000000004</v>
      </c>
      <c r="B28" s="1" t="s">
        <v>119</v>
      </c>
      <c r="C28">
        <f>'List of Ratios'!C19/I25</f>
        <v>1.1294668809726701E-2</v>
      </c>
      <c r="D28">
        <f>'List of Ratios'!D19/J25</f>
        <v>1.2426079371665958E-2</v>
      </c>
      <c r="E28">
        <f>'List of Ratios'!E19/K25</f>
        <v>9.8067459023181581E-3</v>
      </c>
    </row>
    <row r="29" spans="1:11" x14ac:dyDescent="0.25">
      <c r="A29" s="18">
        <f t="shared" si="1"/>
        <v>3.5000000000000004</v>
      </c>
      <c r="B29" s="1" t="s">
        <v>120</v>
      </c>
      <c r="C29">
        <f>'Financial Statements'!B18/('List of Ratios'!I25+'Financial Statements'!B105)</f>
        <v>-18.063672111312766</v>
      </c>
      <c r="D29">
        <f>'Financial Statements'!C18/('List of Ratios'!J25+'Financial Statements'!C105)</f>
        <v>-17.845864045864047</v>
      </c>
      <c r="E29">
        <f>'Financial Statements'!D18/('List of Ratios'!K25+'Financial Statements'!D105)</f>
        <v>-6.7945879458794591</v>
      </c>
    </row>
    <row r="30" spans="1:11" x14ac:dyDescent="0.25">
      <c r="A30" s="18">
        <f t="shared" si="1"/>
        <v>3.6000000000000005</v>
      </c>
      <c r="B30" s="1" t="s">
        <v>121</v>
      </c>
      <c r="C30">
        <f>('Financial Statements'!B76-'Financial Statements'!B96)/'List of Ratios'!I30</f>
        <v>6.8149514154663528E-3</v>
      </c>
      <c r="D30">
        <f>('Financial Statements'!C76-'Financial Statements'!C96)/'List of Ratios'!J30</f>
        <v>6.3327511820656535E-3</v>
      </c>
      <c r="E30">
        <f>('Financial Statements'!D76-'Financial Statements'!D96)/'List of Ratios'!K30</f>
        <v>3.7298038354854528E-3</v>
      </c>
      <c r="H30" t="s">
        <v>160</v>
      </c>
      <c r="I30" s="24">
        <v>16215963</v>
      </c>
      <c r="J30" s="24">
        <v>16701272</v>
      </c>
      <c r="K30" s="24">
        <v>17352119</v>
      </c>
    </row>
    <row r="31" spans="1:11" x14ac:dyDescent="0.25">
      <c r="A31" s="18"/>
      <c r="B31" s="3" t="s">
        <v>122</v>
      </c>
    </row>
    <row r="32" spans="1:11" x14ac:dyDescent="0.25">
      <c r="A32" s="18"/>
    </row>
    <row r="33" spans="1:12" x14ac:dyDescent="0.25">
      <c r="A33" s="18">
        <f>+A24+1</f>
        <v>4</v>
      </c>
      <c r="B33" s="17" t="s">
        <v>123</v>
      </c>
    </row>
    <row r="34" spans="1:12" x14ac:dyDescent="0.25">
      <c r="A34" s="18">
        <f>+A33+0.1</f>
        <v>4.0999999999999996</v>
      </c>
      <c r="B34" s="1" t="s">
        <v>124</v>
      </c>
      <c r="D34">
        <f>'Financial Statements'!C8/AVERAGE('Financial Statements'!C48:D48)</f>
        <v>1.084078886929722</v>
      </c>
      <c r="E34">
        <f>'Financial Statements'!D8/AVERAGE('Financial Statements'!D48:E48)</f>
        <v>0.84756150274168851</v>
      </c>
    </row>
    <row r="35" spans="1:12" x14ac:dyDescent="0.25">
      <c r="A35" s="18">
        <f t="shared" ref="A35:A37" si="2">+A34+0.1</f>
        <v>4.1999999999999993</v>
      </c>
      <c r="B35" s="1" t="s">
        <v>125</v>
      </c>
      <c r="D35">
        <f>'Financial Statements'!C8/AVERAGE('Financial Statements'!C45:D45)</f>
        <v>9.6007400992047867</v>
      </c>
      <c r="E35">
        <f>'Financial Statements'!D8/AVERAGE('Financial Statements'!D45:E45)</f>
        <v>7.4665451776097482</v>
      </c>
    </row>
    <row r="36" spans="1:12" x14ac:dyDescent="0.25">
      <c r="A36" s="18">
        <f t="shared" si="2"/>
        <v>4.2999999999999989</v>
      </c>
      <c r="B36" s="1" t="s">
        <v>126</v>
      </c>
      <c r="D36">
        <f>'Financial Statements'!C10/AVERAGE('Financial Statements'!C39:D39)</f>
        <v>36.136829245371679</v>
      </c>
      <c r="E36">
        <f>'Financial Statements'!D10/AVERAGE('Financial Statements'!D39:E39)</f>
        <v>37.253385865550356</v>
      </c>
    </row>
    <row r="37" spans="1:12" x14ac:dyDescent="0.25">
      <c r="A37" s="18">
        <f t="shared" si="2"/>
        <v>4.3999999999999986</v>
      </c>
      <c r="B37" s="1" t="s">
        <v>127</v>
      </c>
      <c r="D37">
        <f>'Financial Statements'!C22/AVERAGE('Financial Statements'!C48:D48)</f>
        <v>0.28057905732786081</v>
      </c>
      <c r="E37">
        <f>'Financial Statements'!D22/AVERAGE('Financial Statements'!D48:E48)</f>
        <v>0.1772557180259843</v>
      </c>
    </row>
    <row r="38" spans="1:12" x14ac:dyDescent="0.25">
      <c r="A38" s="18"/>
      <c r="I38" t="s">
        <v>157</v>
      </c>
      <c r="J38" s="24">
        <v>4754986</v>
      </c>
    </row>
    <row r="39" spans="1:12" x14ac:dyDescent="0.25">
      <c r="A39" s="18">
        <f>+A33+1</f>
        <v>5</v>
      </c>
      <c r="B39" s="17" t="s">
        <v>128</v>
      </c>
      <c r="I39" t="s">
        <v>156</v>
      </c>
      <c r="J39" s="24">
        <v>150.43</v>
      </c>
      <c r="K39" s="24">
        <v>146.91999999999999</v>
      </c>
      <c r="L39" s="24">
        <v>112.28</v>
      </c>
    </row>
    <row r="40" spans="1:12" x14ac:dyDescent="0.25">
      <c r="A40" s="18">
        <f>+A39+0.1</f>
        <v>5.0999999999999996</v>
      </c>
      <c r="B40" s="1" t="s">
        <v>129</v>
      </c>
      <c r="C40">
        <f>J39/('Financial Statements'!B68/'List of Ratios'!$J38)</f>
        <v>14116.130091174613</v>
      </c>
      <c r="D40">
        <f>K39/('Financial Statements'!C68/'List of Ratios'!$J38)</f>
        <v>11073.110526549373</v>
      </c>
      <c r="E40">
        <f>L39/('Financial Statements'!D68/'List of Ratios'!$J38)</f>
        <v>8171.0743672232511</v>
      </c>
      <c r="I40" t="s">
        <v>155</v>
      </c>
      <c r="J40" s="24">
        <f>J39/'Financial Statements'!B25</f>
        <v>24.620294599018003</v>
      </c>
      <c r="K40" s="24">
        <f>K39/'Financial Statements'!C25</f>
        <v>26.188948306595361</v>
      </c>
      <c r="L40" s="24">
        <f>L39/'Financial Statements'!D25</f>
        <v>34.231707317073173</v>
      </c>
    </row>
    <row r="41" spans="1:12" x14ac:dyDescent="0.25">
      <c r="A41" s="18">
        <f t="shared" ref="A41:A44" si="3">+A40+0.1</f>
        <v>5.1999999999999993</v>
      </c>
      <c r="B41" s="3" t="s">
        <v>130</v>
      </c>
      <c r="C41">
        <f>J39/J40</f>
        <v>6.11</v>
      </c>
      <c r="D41">
        <f t="shared" ref="D41:E41" si="4">K39/K40</f>
        <v>5.61</v>
      </c>
      <c r="E41">
        <f t="shared" si="4"/>
        <v>3.28</v>
      </c>
      <c r="L41" s="24"/>
    </row>
    <row r="42" spans="1:12" x14ac:dyDescent="0.25">
      <c r="A42" s="18">
        <f t="shared" si="3"/>
        <v>5.2999999999999989</v>
      </c>
      <c r="B42" s="1" t="s">
        <v>131</v>
      </c>
      <c r="C42">
        <f>J39/('Financial Statements'!B68/'List of Ratios'!$J38)</f>
        <v>14116.130091174613</v>
      </c>
      <c r="D42">
        <f>K39/('Financial Statements'!C68/'List of Ratios'!$J38)</f>
        <v>11073.110526549373</v>
      </c>
      <c r="E42">
        <f>L39/('Financial Statements'!D68/'List of Ratios'!$J38)</f>
        <v>8171.0743672232511</v>
      </c>
    </row>
    <row r="43" spans="1:12" x14ac:dyDescent="0.25">
      <c r="A43" s="18">
        <f t="shared" si="3"/>
        <v>5.3999999999999986</v>
      </c>
      <c r="B43" s="3" t="s">
        <v>132</v>
      </c>
      <c r="C43" s="25">
        <f>'Financial Statements'!B68/'List of Ratios'!$J38</f>
        <v>1.0656603405351772E-2</v>
      </c>
      <c r="D43" s="25">
        <f>'Financial Statements'!C68/'List of Ratios'!$J38</f>
        <v>1.3268177866349134E-2</v>
      </c>
      <c r="E43" s="25">
        <f>'Financial Statements'!D68/'List of Ratios'!$J38</f>
        <v>1.3741155073853003E-2</v>
      </c>
    </row>
    <row r="44" spans="1:12" x14ac:dyDescent="0.25">
      <c r="A44" s="18">
        <f t="shared" si="3"/>
        <v>5.4999999999999982</v>
      </c>
      <c r="B44" s="1" t="s">
        <v>133</v>
      </c>
      <c r="C44">
        <f>-'Financial Statements'!B102/'Financial Statements'!B22</f>
        <v>0.14870294480125848</v>
      </c>
      <c r="D44">
        <f>-'Financial Statements'!C102/'Financial Statements'!C22</f>
        <v>0.15279890156316012</v>
      </c>
      <c r="E44">
        <f>-'Financial Statements'!D102/'Financial Statements'!D22</f>
        <v>0.24526658654264863</v>
      </c>
    </row>
    <row r="45" spans="1:12" x14ac:dyDescent="0.25">
      <c r="A45" s="18"/>
      <c r="B45" s="3" t="s">
        <v>134</v>
      </c>
      <c r="C45">
        <f>-'Financial Statements'!B102/'List of Ratios'!$J38</f>
        <v>3.121144836178277E-3</v>
      </c>
      <c r="D45">
        <f>-'Financial Statements'!C102/'List of Ratios'!$J38</f>
        <v>3.0424905562287672E-3</v>
      </c>
      <c r="E45">
        <f>-'Financial Statements'!D102/'List of Ratios'!$J38</f>
        <v>2.9613126095429094E-3</v>
      </c>
    </row>
    <row r="46" spans="1:12" x14ac:dyDescent="0.25">
      <c r="A46" s="18">
        <f>+A44+0.1</f>
        <v>5.5999999999999979</v>
      </c>
      <c r="B46" s="1" t="s">
        <v>135</v>
      </c>
      <c r="C46">
        <f>-'Financial Statements'!B102/'List of Ratios'!J39</f>
        <v>98.657182742803954</v>
      </c>
      <c r="D46">
        <f>-'Financial Statements'!C102/'List of Ratios'!K39</f>
        <v>98.468554315273622</v>
      </c>
      <c r="E46">
        <f>-'Financial Statements'!D102/'List of Ratios'!L39</f>
        <v>125.40969006056288</v>
      </c>
    </row>
    <row r="47" spans="1:12" x14ac:dyDescent="0.25">
      <c r="A47" s="18">
        <f t="shared" ref="A47:A50" si="5">+A45+0.1</f>
        <v>0.1</v>
      </c>
      <c r="B47" s="1" t="s">
        <v>136</v>
      </c>
      <c r="D47">
        <f>'Financial Statements'!C22/AVERAGE('Financial Statements'!B68:C68)</f>
        <v>1.6645276981768957</v>
      </c>
      <c r="E47">
        <f>'Financial Statements'!D22/AVERAGE('Financial Statements'!C68:D68)</f>
        <v>0.89405040917549772</v>
      </c>
    </row>
    <row r="48" spans="1:12" x14ac:dyDescent="0.25">
      <c r="A48" s="18">
        <f t="shared" si="5"/>
        <v>5.6999999999999975</v>
      </c>
      <c r="B48" s="1" t="s">
        <v>137</v>
      </c>
      <c r="C48">
        <f>C21/('Financial Statements'!B48-'Financial Statements'!B56)</f>
        <v>1.5237856447067053E-4</v>
      </c>
      <c r="D48">
        <f>D21/('Financial Statements'!C48-'Financial Statements'!C56)</f>
        <v>1.3206032931550318E-4</v>
      </c>
      <c r="E48">
        <f>E21/('Financial Statements'!D48-'Financial Statements'!D56)</f>
        <v>1.1051604768236885E-4</v>
      </c>
    </row>
    <row r="49" spans="1:9" x14ac:dyDescent="0.25">
      <c r="A49" s="18">
        <f t="shared" si="5"/>
        <v>0.2</v>
      </c>
      <c r="B49" s="1" t="s">
        <v>127</v>
      </c>
      <c r="D49">
        <f>'Financial Statements'!C22/AVERAGE('Financial Statements'!C48:D48)</f>
        <v>0.28057905732786081</v>
      </c>
      <c r="E49">
        <f>'Financial Statements'!D22/AVERAGE('Financial Statements'!D48:E48)</f>
        <v>0.1772557180259843</v>
      </c>
    </row>
    <row r="50" spans="1:9" x14ac:dyDescent="0.25">
      <c r="A50" s="18">
        <f t="shared" si="5"/>
        <v>5.7999999999999972</v>
      </c>
      <c r="B50" s="1" t="s">
        <v>138</v>
      </c>
      <c r="C50">
        <f>((J39*$J38)+'Financial Statements'!B55-'Financial Statements'!B36)/C19</f>
        <v>21606617.237851821</v>
      </c>
      <c r="D50">
        <f>((K39*$J38)+'Financial Statements'!C55-'Financial Statements'!C36)/D19</f>
        <v>21254682.281018522</v>
      </c>
      <c r="E50">
        <f>((L39*$J38)+'Financial Statements'!D55-'Financial Statements'!D36)/E19</f>
        <v>18948171.611661695</v>
      </c>
    </row>
    <row r="51" spans="1:9" x14ac:dyDescent="0.25">
      <c r="A51" s="18"/>
      <c r="B51" s="3" t="s">
        <v>139</v>
      </c>
      <c r="C51">
        <f>(J39*$J38)+'Financial Statements'!B55-'Financial Statements'!H51</f>
        <v>715303671.98000002</v>
      </c>
      <c r="D51">
        <f>(K39*$J38)+'Financial Statements'!C55-'Financial Statements'!I51</f>
        <v>698612156.11999989</v>
      </c>
      <c r="E51">
        <f>(L39*$J38)+'Financial Statements'!D55-'Financial Statements'!J51</f>
        <v>533898601.07999998</v>
      </c>
    </row>
    <row r="52" spans="1:9" x14ac:dyDescent="0.25">
      <c r="B52" s="17"/>
    </row>
    <row r="53" spans="1:9" s="17" customFormat="1" x14ac:dyDescent="0.25">
      <c r="B53" s="17" t="s">
        <v>148</v>
      </c>
    </row>
    <row r="54" spans="1:9" s="1" customFormat="1" x14ac:dyDescent="0.25">
      <c r="B54" s="1" t="s">
        <v>144</v>
      </c>
      <c r="C54" s="27">
        <f>('Financial Statements'!B12-'Financial Statements'!C12)/'Financial Statements'!C12</f>
        <v>4.9605363858747961E-2</v>
      </c>
      <c r="D54" s="27">
        <f>('Financial Statements'!C12-'Financial Statements'!D12)/'Financial Statements'!D12</f>
        <v>0.25608785142634716</v>
      </c>
      <c r="E54" s="26"/>
      <c r="G54" s="1" t="s">
        <v>159</v>
      </c>
      <c r="H54" s="28">
        <f>('Financial Statements'!B8-'Financial Statements'!C8)/'Financial Statements'!C8</f>
        <v>7.7937876041846058E-2</v>
      </c>
      <c r="I54" s="28">
        <f>('Financial Statements'!C8-'Financial Statements'!D8)/'Financial Statements'!D8</f>
        <v>0.33259384733074693</v>
      </c>
    </row>
    <row r="55" spans="1:9" s="1" customFormat="1" x14ac:dyDescent="0.25">
      <c r="B55" s="1" t="s">
        <v>88</v>
      </c>
      <c r="C55" s="27">
        <f>('Financial Statements'!B13-'Financial Statements'!C13)/'Financial Statements'!C13</f>
        <v>0.11741997958596143</v>
      </c>
      <c r="D55" s="27">
        <f>('Financial Statements'!C13-'Financial Statements'!D13)/'Financial Statements'!D13</f>
        <v>0.45619116582186819</v>
      </c>
    </row>
    <row r="56" spans="1:9" s="1" customFormat="1" x14ac:dyDescent="0.25">
      <c r="B56" s="1" t="s">
        <v>89</v>
      </c>
      <c r="C56" s="27">
        <f>('Financial Statements'!B17-'Financial Statements'!C17)/'Financial Statements'!C17</f>
        <v>0.16993642764372138</v>
      </c>
      <c r="D56" s="27">
        <f>('Financial Statements'!C17-'Financial Statements'!D17)/'Financial Statements'!D17</f>
        <v>0.13496948381090307</v>
      </c>
    </row>
    <row r="57" spans="1:9" s="1" customFormat="1" x14ac:dyDescent="0.25">
      <c r="B57" s="1" t="s">
        <v>90</v>
      </c>
    </row>
    <row r="58" spans="1:9" s="1" customFormat="1" x14ac:dyDescent="0.25"/>
    <row r="59" spans="1:9" s="17" customFormat="1" x14ac:dyDescent="0.25">
      <c r="B59" s="17" t="s">
        <v>91</v>
      </c>
    </row>
    <row r="60" spans="1:9" s="1" customFormat="1" x14ac:dyDescent="0.25">
      <c r="B60" s="1" t="s">
        <v>145</v>
      </c>
      <c r="C60" s="27">
        <f>'Financial Statements'!B10/'Financial Statements'!B8</f>
        <v>0.5109223793390274</v>
      </c>
      <c r="D60" s="27">
        <f>'Financial Statements'!C10/'Financial Statements'!C8</f>
        <v>0.5255797297555882</v>
      </c>
      <c r="E60" s="27">
        <f>'Financial Statements'!D10/'Financial Statements'!D8</f>
        <v>0.55110285412454696</v>
      </c>
    </row>
    <row r="61" spans="1:9" s="1" customFormat="1" x14ac:dyDescent="0.25">
      <c r="B61" s="1" t="s">
        <v>88</v>
      </c>
      <c r="C61" s="27">
        <f>'Financial Statements'!B13/'Financial Statements'!B8</f>
        <v>0.43309630561360085</v>
      </c>
      <c r="D61" s="27">
        <f>'Financial Statements'!C13/'Financial Statements'!C8</f>
        <v>0.41779359625167778</v>
      </c>
      <c r="E61" s="27">
        <f>'Financial Statements'!D13/'Financial Statements'!D8</f>
        <v>0.38233247727810865</v>
      </c>
    </row>
    <row r="62" spans="1:9" s="1" customFormat="1" x14ac:dyDescent="0.25">
      <c r="B62" s="1" t="s">
        <v>89</v>
      </c>
      <c r="C62" s="27">
        <f>'Financial Statements'!B17/'Financial Statements'!B8</f>
        <v>0.13020886165831491</v>
      </c>
      <c r="D62" s="27">
        <f>'Financial Statements'!C17/'Financial Statements'!C8</f>
        <v>0.11996982097606181</v>
      </c>
      <c r="E62" s="27">
        <f>'Financial Statements'!D17/'Financial Statements'!D8</f>
        <v>0.14085933373404003</v>
      </c>
    </row>
    <row r="63" spans="1:9" s="1" customFormat="1" x14ac:dyDescent="0.25">
      <c r="B63" s="1" t="s">
        <v>14</v>
      </c>
      <c r="C63" s="27">
        <f>'Financial Statements'!B18/'Financial Statements'!B8</f>
        <v>0.30288744395528594</v>
      </c>
      <c r="D63" s="27">
        <f>'Financial Statements'!C18/'Financial Statements'!C8</f>
        <v>0.29782377527561593</v>
      </c>
      <c r="E63" s="27">
        <f>'Financial Statements'!D18/'Financial Statements'!D8</f>
        <v>0.24147314354406862</v>
      </c>
    </row>
    <row r="64" spans="1:9" s="1" customFormat="1" x14ac:dyDescent="0.25">
      <c r="B64" s="1" t="s">
        <v>92</v>
      </c>
      <c r="C64" s="27">
        <f>'Financial Statements'!B22/'Financial Statements'!B8</f>
        <v>0.25309640705199732</v>
      </c>
      <c r="D64" s="27">
        <f>'Financial Statements'!C22/'Financial Statements'!C8</f>
        <v>0.25881793355694238</v>
      </c>
      <c r="E64" s="27">
        <f>'Financial Statements'!D22/'Financial Statements'!D8</f>
        <v>0.20913611278072236</v>
      </c>
    </row>
    <row r="65" spans="2:5" s="1" customFormat="1" x14ac:dyDescent="0.25"/>
    <row r="66" spans="2:5" s="17" customFormat="1" x14ac:dyDescent="0.25">
      <c r="B66" s="17" t="s">
        <v>97</v>
      </c>
    </row>
    <row r="67" spans="2:5" s="1" customFormat="1" x14ac:dyDescent="0.25">
      <c r="B67" s="1" t="s">
        <v>93</v>
      </c>
      <c r="C67" s="27">
        <f>'Financial Statements'!B21/'Financial Statements'!B20</f>
        <v>0.16204461684424407</v>
      </c>
      <c r="D67" s="27">
        <f>'Financial Statements'!C21/'Financial Statements'!C20</f>
        <v>0.13302260844085087</v>
      </c>
      <c r="E67" s="27">
        <f>'Financial Statements'!D21/'Financial Statements'!D20</f>
        <v>0.14428164731484103</v>
      </c>
    </row>
    <row r="68" spans="2:5" s="1" customFormat="1" x14ac:dyDescent="0.25">
      <c r="B68" s="1" t="s">
        <v>94</v>
      </c>
      <c r="C68" s="1">
        <f>'Financial Statements'!B96/'Financial Statements'!B12</f>
        <v>-4.7900655793438489E-2</v>
      </c>
      <c r="D68" s="1">
        <f>'Financial Statements'!C96/'Financial Statements'!C12</f>
        <v>-5.2046896202008627E-2</v>
      </c>
      <c r="E68" s="1">
        <f>'Financial Statements'!D96/'Financial Statements'!D12</f>
        <v>-4.3105939525474909E-2</v>
      </c>
    </row>
    <row r="69" spans="2:5" s="1" customFormat="1" x14ac:dyDescent="0.25">
      <c r="B69" s="1" t="s">
        <v>95</v>
      </c>
      <c r="C69" s="1">
        <f>'Financial Statements'!B96/'Financial Statements'!B45</f>
        <v>-0.25424412944891611</v>
      </c>
      <c r="D69" s="1">
        <f>'Financial Statements'!C96/'Financial Statements'!C45</f>
        <v>-0.28105983772819471</v>
      </c>
      <c r="E69" s="1">
        <f>'Financial Statements'!D96/'Financial Statements'!D45</f>
        <v>-0.19879780231735844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kehinde Alegu</cp:lastModifiedBy>
  <dcterms:created xsi:type="dcterms:W3CDTF">2020-05-18T16:32:37Z</dcterms:created>
  <dcterms:modified xsi:type="dcterms:W3CDTF">2024-11-05T01:45:43Z</dcterms:modified>
</cp:coreProperties>
</file>