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https://d.docs.live.net/814b0cd67fae5544/Desktop/RT PERSONAL DOCS/"/>
    </mc:Choice>
  </mc:AlternateContent>
  <xr:revisionPtr revIDLastSave="751" documentId="8_{11B13ECE-DD5E-2643-B57C-EBD58E90E1A0}" xr6:coauthVersionLast="47" xr6:coauthVersionMax="47" xr10:uidLastSave="{ED0923E9-9FFE-5E43-9F29-5C82B623629E}"/>
  <bookViews>
    <workbookView xWindow="0" yWindow="740" windowWidth="29400" windowHeight="172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E72" i="3"/>
  <c r="C72" i="3"/>
  <c r="D82" i="3"/>
  <c r="E82" i="3"/>
  <c r="C82" i="3"/>
  <c r="D81" i="3"/>
  <c r="E81" i="3"/>
  <c r="C81" i="3"/>
  <c r="D80" i="3"/>
  <c r="E80" i="3"/>
  <c r="C80" i="3"/>
  <c r="D79" i="3"/>
  <c r="E79" i="3"/>
  <c r="C79" i="3"/>
  <c r="D78" i="3"/>
  <c r="E78" i="3"/>
  <c r="C78" i="3"/>
  <c r="D77" i="3"/>
  <c r="E77" i="3"/>
  <c r="C77" i="3"/>
  <c r="D74" i="3"/>
  <c r="E74" i="3"/>
  <c r="C74" i="3"/>
  <c r="D73" i="3"/>
  <c r="E73" i="3"/>
  <c r="C73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1" i="3"/>
  <c r="C61" i="3"/>
  <c r="D60" i="3"/>
  <c r="C60" i="3"/>
  <c r="D58" i="3"/>
  <c r="C58" i="3"/>
  <c r="D57" i="3"/>
  <c r="C57" i="3"/>
  <c r="D56" i="3"/>
  <c r="C56" i="3"/>
  <c r="D55" i="3"/>
  <c r="C55" i="3"/>
  <c r="A47" i="3"/>
  <c r="A49" i="3" s="1"/>
  <c r="A48" i="3"/>
  <c r="A50" i="3" s="1"/>
  <c r="E44" i="3"/>
  <c r="D46" i="3"/>
  <c r="E46" i="3"/>
  <c r="C46" i="3"/>
  <c r="D48" i="3"/>
  <c r="E48" i="3"/>
  <c r="C48" i="3"/>
  <c r="D37" i="3"/>
  <c r="E37" i="3"/>
  <c r="C37" i="3"/>
  <c r="E29" i="3"/>
  <c r="D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35" i="3"/>
  <c r="E35" i="3"/>
  <c r="C35" i="3"/>
  <c r="D34" i="3"/>
  <c r="E34" i="3"/>
  <c r="C34" i="3"/>
  <c r="D49" i="3"/>
  <c r="E49" i="3"/>
  <c r="C49" i="3"/>
  <c r="D47" i="3"/>
  <c r="E47" i="3"/>
  <c r="C47" i="3"/>
  <c r="D43" i="3"/>
  <c r="D42" i="3" s="1"/>
  <c r="E43" i="3"/>
  <c r="C43" i="3"/>
  <c r="C42" i="3"/>
  <c r="E42" i="3"/>
  <c r="C50" i="3"/>
  <c r="D50" i="3"/>
  <c r="E50" i="3"/>
  <c r="D41" i="3"/>
  <c r="E41" i="3"/>
  <c r="C41" i="3"/>
  <c r="D30" i="3"/>
  <c r="E30" i="3"/>
  <c r="C30" i="3"/>
  <c r="D40" i="3"/>
  <c r="E40" i="3"/>
  <c r="C40" i="3"/>
  <c r="D31" i="3"/>
  <c r="E31" i="3"/>
  <c r="C31" i="3"/>
  <c r="D36" i="3"/>
  <c r="E36" i="3"/>
  <c r="C36" i="3"/>
  <c r="D19" i="3"/>
  <c r="E19" i="3"/>
  <c r="C19" i="3"/>
  <c r="C18" i="3" s="1"/>
  <c r="D22" i="3"/>
  <c r="E22" i="3"/>
  <c r="C22" i="3"/>
  <c r="D21" i="3"/>
  <c r="D20" i="3" s="1"/>
  <c r="E21" i="3"/>
  <c r="C21" i="3"/>
  <c r="E20" i="3"/>
  <c r="C20" i="3"/>
  <c r="D18" i="3"/>
  <c r="E18" i="3"/>
  <c r="D17" i="3"/>
  <c r="E17" i="3"/>
  <c r="C17" i="3"/>
  <c r="D14" i="3"/>
  <c r="E14" i="3"/>
  <c r="C14" i="3"/>
  <c r="D13" i="3"/>
  <c r="E13" i="3"/>
  <c r="C13" i="3"/>
  <c r="C12" i="3"/>
  <c r="D12" i="3"/>
  <c r="E12" i="3"/>
  <c r="D11" i="3"/>
  <c r="E11" i="3"/>
  <c r="C11" i="3"/>
  <c r="D7" i="3"/>
  <c r="E7" i="3"/>
  <c r="C7" i="3"/>
  <c r="D6" i="3"/>
  <c r="E6" i="3"/>
  <c r="C6" i="3"/>
  <c r="D10" i="3"/>
  <c r="E10" i="3"/>
  <c r="C10" i="3"/>
  <c r="D9" i="3"/>
  <c r="E9" i="3"/>
  <c r="C9" i="3"/>
  <c r="D8" i="3"/>
  <c r="E8" i="3"/>
  <c r="C8" i="3"/>
  <c r="D5" i="3"/>
  <c r="E5" i="3"/>
  <c r="C5" i="3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<sst xmlns="http://schemas.openxmlformats.org/spreadsheetml/2006/main" count="201" uniqueCount="157">
  <si>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</si>
  <si>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</si>
  <si>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</si>
  <si>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</si>
  <si>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</si>
  <si>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</si>
  <si>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</si>
  <si>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</si>
  <si>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</si>
  <si>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</si>
  <si>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</si>
  <si>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</si>
  <si>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</si>
  <si>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</si>
  <si>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</si>
  <si>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</si>
  <si>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</si>
  <si>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</si>
  <si>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</si>
  <si>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</si>
  <si>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</si>
  <si>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</si>
  <si>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</si>
  <si>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</si>
  <si>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</si>
  <si>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</si>
  <si>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</si>
  <si>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</si>
  <si>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</si>
  <si>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</si>
  <si>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</si>
  <si>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</si>
  <si>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</si>
  <si>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</si>
  <si>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</si>
  <si>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</si>
  <si>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</si>
  <si>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</si>
  <si>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</si>
  <si>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</si>
  <si>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</si>
  <si>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</si>
  <si>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</si>
  <si>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</si>
  <si>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</si>
  <si>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</si>
  <si>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</si>
  <si>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</si>
  <si>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</si>
  <si>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</si>
  <si>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</si>
  <si>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</si>
  <si>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</si>
  <si>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</si>
  <si>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</si>
  <si>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</si>
  <si>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</si>
  <si>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</si>
  <si>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</si>
  <si>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</si>
  <si>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</si>
  <si>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</si>
  <si>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</si>
  <si>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</si>
  <si>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</si>
  <si>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</si>
  <si>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</si>
  <si>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</si>
  <si>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</si>
  <si>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</si>
  <si>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</si>
  <si>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</si>
  <si>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</si>
  <si>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</si>
  <si>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</si>
  <si>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</si>
  <si>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</si>
  <si>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</si>
  <si>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</si>
  <si>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</si>
  <si>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</si>
  <si>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</si>
  <si>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</si>
  <si>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</si>
  <si>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</si>
  <si>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</si>
  <si>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</si>
  <si>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</si>
  <si>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</si>
  <si>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</si>
  <si>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</si>
  <si>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</si>
  <si>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</si>
  <si>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</si>
  <si>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</si>
  <si>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</si>
  <si>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</si>
  <si>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</si>
  <si>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</si>
  <si>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</si>
  <si>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</si>
  <si>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</si>
  <si>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</si>
  <si>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</si>
  <si>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</si>
  <si>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</si>
  <si>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</si>
  <si>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</si>
  <si>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</si>
  <si>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</si>
  <si>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</si>
  <si>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</si>
  <si>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</si>
  <si>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</si>
  <si>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</si>
  <si>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</si>
  <si>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</si>
  <si>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</si>
  <si>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</si>
  <si>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</si>
  <si>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</si>
  <si>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</si>
  <si>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</si>
  <si>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</si>
  <si>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</si>
  <si>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</si>
  <si>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</si>
  <si>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</si>
  <si>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</si>
  <si>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</si>
  <si>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</si>
  <si>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</si>
  <si>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</si>
  <si>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</si>
  <si>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</si>
  <si>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</si>
  <si>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</si>
  <si>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</si>
  <si>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</si>
  <si>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</si>
  <si>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</si>
  <si>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</si>
  <si>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</si>
  <si>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</si>
  <si>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</si>
  <si>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</si>
  <si>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</si>
  <si>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</si>
  <si>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</si>
  <si>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</si>
  <si>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Share price/Last close price</t>
  </si>
  <si>
    <t>Growth ratios</t>
  </si>
  <si>
    <t>Sales (products)</t>
  </si>
  <si>
    <t>Sales ( net sales)</t>
  </si>
  <si>
    <t>Sales (services)</t>
  </si>
  <si>
    <t>Other ratios</t>
  </si>
  <si>
    <t>Margins/ as a % of net sales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</si>
</sst>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4" sqref="A14:A19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" workbookViewId="0">
      <selection activeCell="B96" sqref="B9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7" t="s">
        <v>24</v>
      </c>
      <c r="B31" s="27"/>
      <c r="C31" s="27"/>
      <c r="D31" s="27"/>
    </row>
    <row r="32" spans="1:4" x14ac:dyDescent="0.2">
      <c r="B32" s="26" t="s">
        <v>142</v>
      </c>
      <c r="C32" s="26"/>
      <c r="D32" s="26"/>
    </row>
    <row r="33" spans="1:6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6" x14ac:dyDescent="0.2">
      <c r="A35" t="s">
        <v>25</v>
      </c>
    </row>
    <row r="36" spans="1:6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6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6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6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6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6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6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6" x14ac:dyDescent="0.2">
      <c r="A43" t="s">
        <v>48</v>
      </c>
      <c r="B43" s="12"/>
      <c r="C43" s="12"/>
      <c r="D43" s="12"/>
    </row>
    <row r="44" spans="1:6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6" x14ac:dyDescent="0.2">
      <c r="A45" s="1" t="s">
        <v>32</v>
      </c>
      <c r="B45" s="12">
        <v>42117</v>
      </c>
      <c r="C45" s="12">
        <v>39440</v>
      </c>
      <c r="D45" s="12">
        <v>36766</v>
      </c>
      <c r="F45" s="30"/>
    </row>
    <row r="46" spans="1:6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6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6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7" t="s">
        <v>55</v>
      </c>
      <c r="B71" s="27"/>
      <c r="C71" s="27"/>
      <c r="D71" s="27"/>
    </row>
    <row r="72" spans="1:4" x14ac:dyDescent="0.2">
      <c r="B72" s="26" t="s">
        <v>23</v>
      </c>
      <c r="C72" s="26"/>
      <c r="D72" s="26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2"/>
  <sheetViews>
    <sheetView tabSelected="1" topLeftCell="A137" zoomScale="117" zoomScaleNormal="117" workbookViewId="0">
      <selection activeCell="C86" sqref="C86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5" bestFit="1" customWidth="1"/>
    <col min="4" max="5" width="10.6640625" bestFit="1" customWidth="1"/>
    <col min="12" max="12" width="11.83203125" bestFit="1" customWidth="1"/>
  </cols>
  <sheetData>
    <row r="1" spans="1:15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5" x14ac:dyDescent="0.2">
      <c r="C2" s="26" t="s">
        <v>23</v>
      </c>
      <c r="D2" s="26"/>
      <c r="E2" s="26"/>
    </row>
    <row r="3" spans="1:15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5" x14ac:dyDescent="0.2">
      <c r="A4" s="18">
        <v>1</v>
      </c>
      <c r="B4" s="7" t="s">
        <v>99</v>
      </c>
    </row>
    <row r="5" spans="1:15" x14ac:dyDescent="0.2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5" x14ac:dyDescent="0.2">
      <c r="A6" s="18">
        <f t="shared" ref="A6:A13" si="0">+A5+0.1</f>
        <v>1.2000000000000002</v>
      </c>
      <c r="B6" s="1" t="s">
        <v>101</v>
      </c>
      <c r="C6" s="23">
        <f>('Financial Statements'!B36+'Financial Statements'!B37+'Financial Statements'!B38+'Financial Statements'!B40)/'Financial Statements'!B56</f>
        <v>0.70940759309529688</v>
      </c>
      <c r="D6" s="23">
        <f>('Financial Statements'!C36+'Financial Statements'!C37+'Financial Statements'!C38+'Financial Statements'!C40)/'Financial Statements'!C56</f>
        <v>0.90965962974474224</v>
      </c>
      <c r="E6" s="23">
        <f>('Financial Statements'!D36+'Financial Statements'!D37+'Financial Statements'!D38+'Financial Statements'!D40)/'Financial Statements'!D56</f>
        <v>1.2181949294064065</v>
      </c>
    </row>
    <row r="7" spans="1:15" x14ac:dyDescent="0.2">
      <c r="A7" s="18">
        <f t="shared" si="0"/>
        <v>1.3000000000000003</v>
      </c>
      <c r="B7" s="1" t="s">
        <v>102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23">
        <f>('Financial Statements'!D36+'Financial Statements'!D37)/'Financial Statements'!D56</f>
        <v>0.86290230757552755</v>
      </c>
    </row>
    <row r="8" spans="1:15" x14ac:dyDescent="0.2">
      <c r="A8" s="18">
        <f t="shared" si="0"/>
        <v>1.4000000000000004</v>
      </c>
      <c r="B8" t="s">
        <v>103</v>
      </c>
      <c r="C8" s="24">
        <f>'Financial Statements'!B42/'Financial Statements'!B17*365</f>
        <v>962.56354075372474</v>
      </c>
      <c r="D8" s="24">
        <f>'Financial Statements'!C42/'Financial Statements'!C17*365</f>
        <v>1121.4058832911796</v>
      </c>
      <c r="E8" s="24">
        <f>'Financial Statements'!D42/'Financial Statements'!D17*365</f>
        <v>1356.5543860556531</v>
      </c>
    </row>
    <row r="9" spans="1:15" x14ac:dyDescent="0.2">
      <c r="A9" s="18">
        <f t="shared" si="0"/>
        <v>1.5000000000000004</v>
      </c>
      <c r="B9" s="1" t="s">
        <v>104</v>
      </c>
      <c r="C9" s="24">
        <f>('Financial Statements'!B39/'Financial Statements'!B12)*365</f>
        <v>8.0756980666171607</v>
      </c>
      <c r="D9" s="24">
        <f>('Financial Statements'!C39/'Financial Statements'!C12)*365</f>
        <v>11.27659274770989</v>
      </c>
      <c r="E9" s="24">
        <f>('Financial Statements'!D39/'Financial Statements'!D12)*365</f>
        <v>8.7418833562358831</v>
      </c>
    </row>
    <row r="10" spans="1:15" x14ac:dyDescent="0.2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5" x14ac:dyDescent="0.2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  <c r="O11" s="7"/>
    </row>
    <row r="12" spans="1:15" x14ac:dyDescent="0.2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</f>
        <v>37.495904589423098</v>
      </c>
      <c r="E12" s="24">
        <f t="shared" si="1"/>
        <v>30.17532050903263</v>
      </c>
    </row>
    <row r="13" spans="1:15" x14ac:dyDescent="0.2">
      <c r="A13" s="18">
        <f t="shared" si="0"/>
        <v>1.9000000000000008</v>
      </c>
      <c r="B13" s="1" t="s">
        <v>108</v>
      </c>
      <c r="C13" s="25">
        <f>('Financial Statements'!B42-'Financial Statements'!B56)/'Financial Statements'!B8</f>
        <v>-4.711052727678481E-2</v>
      </c>
      <c r="D13" s="25">
        <f>('Financial Statements'!C42-'Financial Statements'!C56)/'Financial Statements'!C8</f>
        <v>2.557289573748623E-2</v>
      </c>
      <c r="E13" s="25">
        <f>('Financial Statements'!D42-'Financial Statements'!D56)/'Financial Statements'!D8</f>
        <v>0.13959528623208203</v>
      </c>
    </row>
    <row r="14" spans="1:15" x14ac:dyDescent="0.2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</row>
    <row r="15" spans="1:15" x14ac:dyDescent="0.2">
      <c r="A15" s="18"/>
    </row>
    <row r="16" spans="1:15" x14ac:dyDescent="0.2">
      <c r="A16" s="18">
        <f>+A4+1</f>
        <v>2</v>
      </c>
      <c r="B16" s="17" t="s">
        <v>110</v>
      </c>
    </row>
    <row r="17" spans="1:13" x14ac:dyDescent="0.2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</row>
    <row r="18" spans="1:13" x14ac:dyDescent="0.2">
      <c r="A18" s="18">
        <f>+A17+0.1</f>
        <v>2.2000000000000002</v>
      </c>
      <c r="B18" s="1" t="s">
        <v>111</v>
      </c>
      <c r="C18" s="25">
        <f>C19/'Financial Statements'!B8</f>
        <v>0.3310467428130896</v>
      </c>
      <c r="D18" s="25">
        <f>D19/'Financial Statements'!C8</f>
        <v>0.32866979938056462</v>
      </c>
      <c r="E18" s="25">
        <f>E19/'Financial Statements'!D8</f>
        <v>0.2817478097736007</v>
      </c>
    </row>
    <row r="19" spans="1:13" x14ac:dyDescent="0.2">
      <c r="A19" s="18"/>
      <c r="B19" s="3" t="s">
        <v>112</v>
      </c>
      <c r="C19">
        <f>'Financial Statements'!B22+'Financial Statements'!B21+'Financial Statements'!B79-'Financial Statements'!B19</f>
        <v>130541</v>
      </c>
      <c r="D19">
        <f>'Financial Statements'!C22+'Financial Statements'!C21+'Financial Statements'!C79-'Financial Statements'!C19</f>
        <v>120233</v>
      </c>
      <c r="E19">
        <f>'Financial Statements'!D22+'Financial Statements'!D21+'Financial Statements'!D79-'Financial Statements'!D19</f>
        <v>77344</v>
      </c>
    </row>
    <row r="20" spans="1:13" x14ac:dyDescent="0.2">
      <c r="A20" s="18">
        <f>+A18+0.1</f>
        <v>2.3000000000000003</v>
      </c>
      <c r="B20" s="1" t="s">
        <v>113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</row>
    <row r="21" spans="1:13" x14ac:dyDescent="0.2">
      <c r="A21" s="18"/>
      <c r="B21" s="3" t="s">
        <v>114</v>
      </c>
      <c r="C21">
        <f>'Financial Statements'!B22+'Financial Statements'!B21-'Financial Statements'!B19</f>
        <v>119437</v>
      </c>
      <c r="D21">
        <f>'Financial Statements'!C22+'Financial Statements'!C21-'Financial Statements'!C19</f>
        <v>108949</v>
      </c>
      <c r="E21">
        <f>'Financial Statements'!D22+'Financial Statements'!D21-'Financial Statements'!D19</f>
        <v>66288</v>
      </c>
    </row>
    <row r="22" spans="1:13" x14ac:dyDescent="0.2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13" x14ac:dyDescent="0.2">
      <c r="A23" s="18"/>
    </row>
    <row r="24" spans="1:13" x14ac:dyDescent="0.2">
      <c r="A24" s="18">
        <f>+A16+1</f>
        <v>3</v>
      </c>
      <c r="B24" s="7" t="s">
        <v>116</v>
      </c>
      <c r="M24" s="25"/>
    </row>
    <row r="25" spans="1:13" x14ac:dyDescent="0.2">
      <c r="A25" s="18">
        <f>+A24+0.1</f>
        <v>3.1</v>
      </c>
      <c r="B25" s="1" t="s">
        <v>117</v>
      </c>
      <c r="C25" s="23">
        <f>('Financial Statements'!B54+'Financial Statements'!B55+'Financial Statements'!B59)/('Financial Statements'!B68+'Financial Statements'!B54+'Financial Statements'!B55+'Financial Statements'!B59)</f>
        <v>0.70322301029043988</v>
      </c>
      <c r="D25" s="23">
        <f>('Financial Statements'!C54+'Financial Statements'!C55+'Financial Statements'!C59)/('Financial Statements'!C68+'Financial Statements'!C54+'Financial Statements'!C55+'Financial Statements'!C59)</f>
        <v>0.66407360669616478</v>
      </c>
      <c r="E25" s="23">
        <f>('Financial Statements'!D54+'Financial Statements'!D55+'Financial Statements'!D59)/('Financial Statements'!D68+'Financial Statements'!D54+'Financial Statements'!D55+'Financial Statements'!D59)</f>
        <v>0.63246238222472229</v>
      </c>
    </row>
    <row r="26" spans="1:13" x14ac:dyDescent="0.2">
      <c r="A26" s="18">
        <f t="shared" ref="A26:A30" si="2">+A25+0.1</f>
        <v>3.2</v>
      </c>
      <c r="B26" s="1" t="s">
        <v>118</v>
      </c>
      <c r="C26" s="23">
        <f>('Financial Statements'!B54+'Financial Statements'!B55+'Financial Statements'!B59)/'Financial Statements'!B48</f>
        <v>0.34037504783773442</v>
      </c>
      <c r="D26" s="23">
        <f>('Financial Statements'!C54+'Financial Statements'!C55+'Financial Statements'!C59)/'Financial Statements'!C48</f>
        <v>0.35532276169366556</v>
      </c>
      <c r="E26" s="23">
        <f>('Financial Statements'!D54+'Financial Statements'!D55+'Financial Statements'!D59)/'Financial Statements'!D48</f>
        <v>0.34714469199229364</v>
      </c>
    </row>
    <row r="27" spans="1:13" x14ac:dyDescent="0.2">
      <c r="A27" s="18">
        <f t="shared" si="2"/>
        <v>3.3000000000000003</v>
      </c>
      <c r="B27" s="1" t="s">
        <v>119</v>
      </c>
      <c r="C27" s="23">
        <f>'Financial Statements'!B59/('Financial Statements'!B54+'Financial Statements'!B55+'Financial Statements'!B59+'Financial Statements'!B68)</f>
        <v>0.57958545399171846</v>
      </c>
      <c r="D27" s="23">
        <f>'Financial Statements'!C59/('Financial Statements'!C54+'Financial Statements'!C55+'Financial Statements'!C59+'Financial Statements'!C68)</f>
        <v>0.58094127544473373</v>
      </c>
      <c r="E27" s="23">
        <f>'Financial Statements'!D59/('Financial Statements'!D54+'Financial Statements'!D55+'Financial Statements'!D59+'Financial Statements'!D68)</f>
        <v>0.55501054703979746</v>
      </c>
    </row>
    <row r="28" spans="1:13" x14ac:dyDescent="0.2">
      <c r="A28" s="18">
        <f t="shared" si="2"/>
        <v>3.4000000000000004</v>
      </c>
      <c r="B28" s="1" t="s">
        <v>120</v>
      </c>
      <c r="C28" s="23">
        <f>('Financial Statements'!B22+'Financial Statements'!B21+'Financial Statements'!B114)/'Financial Statements'!B114</f>
        <v>42.571727748691103</v>
      </c>
      <c r="D28" s="23">
        <f>('Financial Statements'!C22+'Financial Statements'!C21+'Financial Statements'!C114)/'Financial Statements'!C114</f>
        <v>41.642724227763303</v>
      </c>
      <c r="E28" s="23">
        <f>('Financial Statements'!D22+'Financial Statements'!D21+'Financial Statements'!D114)/'Financial Statements'!D114</f>
        <v>23.348767488341107</v>
      </c>
    </row>
    <row r="29" spans="1:13" x14ac:dyDescent="0.2">
      <c r="A29" s="18">
        <f t="shared" si="2"/>
        <v>3.5000000000000004</v>
      </c>
      <c r="B29" s="1" t="s">
        <v>121</v>
      </c>
      <c r="C29" s="23">
        <f>('Financial Statements'!B22+'Financial Statements'!B21+'Financial Statements'!B114+1900)/('Financial Statements'!B114+1900)</f>
        <v>25.995383001049319</v>
      </c>
      <c r="D29" s="23">
        <f>('Financial Statements'!C22+'Financial Statements'!C21+'Financial Statements'!C114+1700)/('Financial Statements'!C114+1700)</f>
        <v>25.893321176202416</v>
      </c>
      <c r="E29" s="23">
        <f>('Financial Statements'!D22+'Financial Statements'!D21+'Financial Statements'!D114+1500)/('Financial Statements'!D114+1500)</f>
        <v>15.902487783207464</v>
      </c>
    </row>
    <row r="30" spans="1:13" x14ac:dyDescent="0.2">
      <c r="A30" s="18">
        <f t="shared" si="2"/>
        <v>3.6000000000000005</v>
      </c>
      <c r="B30" s="1" t="s">
        <v>122</v>
      </c>
      <c r="C30" s="23">
        <f>C31/'Financial Statements'!B28*1000</f>
        <v>6.8186471992614885</v>
      </c>
      <c r="D30" s="23">
        <f>D31/'Financial Statements'!C28*1000</f>
        <v>6.2625856667322273</v>
      </c>
      <c r="E30" s="23">
        <f>E31/'Financial Statements'!D28*1000</f>
        <v>4.3281078152058168</v>
      </c>
    </row>
    <row r="31" spans="1:13" x14ac:dyDescent="0.2">
      <c r="A31" s="18"/>
      <c r="B31" s="3" t="s">
        <v>123</v>
      </c>
      <c r="C31">
        <f>'Financial Statements'!B91+'Financial Statements'!B96+'Financial Statements'!B104+'Financial Statements'!B105+'Financial Statements'!B106</f>
        <v>111320</v>
      </c>
      <c r="D31">
        <f>'Financial Statements'!C91+'Financial Statements'!C96+'Financial Statements'!C104+'Financial Statements'!C105+'Financial Statements'!C106</f>
        <v>105618</v>
      </c>
      <c r="E31">
        <f>'Financial Statements'!D91+'Financial Statements'!D96+'Financial Statements'!D104+'Financial Statements'!D105+'Financial Statements'!D106</f>
        <v>75864</v>
      </c>
    </row>
    <row r="32" spans="1:13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3">
        <f>'Financial Statements'!B8/'Financial Statements'!B48</f>
        <v>1.1178523337727317</v>
      </c>
      <c r="D34" s="23">
        <f>'Financial Statements'!C8/'Financial Statements'!C48</f>
        <v>1.0422077367080529</v>
      </c>
      <c r="E34" s="23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23">
        <f>'Financial Statements'!B45/'Financial Statements'!B8</f>
        <v>0.10680702359457102</v>
      </c>
      <c r="D35" s="23">
        <f>'Financial Statements'!C45/'Financial Statements'!C8</f>
        <v>0.10781346957631821</v>
      </c>
      <c r="E35" s="23">
        <f>'Financial Statements'!D45/'Financial Statements'!D8</f>
        <v>0.13393075059650655</v>
      </c>
    </row>
    <row r="36" spans="1:5" x14ac:dyDescent="0.2">
      <c r="A36" s="18">
        <f t="shared" si="3"/>
        <v>4.2999999999999989</v>
      </c>
      <c r="B36" s="1" t="s">
        <v>127</v>
      </c>
      <c r="C36" s="23">
        <f>'Financial Statements'!B12/'Financial Statements'!B39</f>
        <v>45.197331176708452</v>
      </c>
      <c r="D36" s="23">
        <f>'Financial Statements'!C12/'Financial Statements'!C39</f>
        <v>32.367933130699086</v>
      </c>
      <c r="E36" s="23">
        <f>'Financial Statements'!D12/'Financial Statements'!D39</f>
        <v>41.753016498399411</v>
      </c>
    </row>
    <row r="37" spans="1:5" x14ac:dyDescent="0.2">
      <c r="A37" s="18">
        <f t="shared" si="3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3">
        <f>C52/'Financial Statements'!B25</f>
        <v>24.350245499181668</v>
      </c>
      <c r="D40" s="23">
        <f>D52/'Financial Statements'!C25</f>
        <v>25.757575757575758</v>
      </c>
      <c r="E40" s="23">
        <f>E52/'Financial Statements'!D25</f>
        <v>33.454268292682933</v>
      </c>
    </row>
    <row r="41" spans="1:5" x14ac:dyDescent="0.2">
      <c r="A41" s="18">
        <f t="shared" ref="A41:A44" si="4">+A40+0.1</f>
        <v>5.1999999999999993</v>
      </c>
      <c r="B41" s="3" t="s">
        <v>131</v>
      </c>
      <c r="C41" s="23">
        <f>'Financial Statements'!B22/'Financial Statements'!B28*1000</f>
        <v>6.1132002014722815</v>
      </c>
      <c r="D41" s="23">
        <f>'Financial Statements'!C22/'Financial Statements'!C28*1000</f>
        <v>5.6140204408927188</v>
      </c>
      <c r="E41" s="23">
        <f>'Financial Statements'!D22/'Financial Statements'!D28*1000</f>
        <v>3.2753479618630852</v>
      </c>
    </row>
    <row r="42" spans="1:5" x14ac:dyDescent="0.2">
      <c r="A42" s="18">
        <f t="shared" si="4"/>
        <v>5.2999999999999989</v>
      </c>
      <c r="B42" s="1" t="s">
        <v>132</v>
      </c>
      <c r="C42" s="23">
        <f>C52/C43</f>
        <v>47.934862464872111</v>
      </c>
      <c r="D42" s="23">
        <f t="shared" ref="D42:E42" si="5">D52/D43</f>
        <v>38.627053344428596</v>
      </c>
      <c r="E42" s="23">
        <f t="shared" si="5"/>
        <v>29.436797658672461</v>
      </c>
    </row>
    <row r="43" spans="1:5" x14ac:dyDescent="0.2">
      <c r="A43" s="18">
        <f t="shared" si="4"/>
        <v>5.3999999999999986</v>
      </c>
      <c r="B43" s="3" t="s">
        <v>133</v>
      </c>
      <c r="C43" s="23">
        <f>'Financial Statements'!B68/'Financial Statements'!B28*1000</f>
        <v>3.1037952827971451</v>
      </c>
      <c r="D43" s="23">
        <f>'Financial Statements'!C68/'Financial Statements'!C28*1000</f>
        <v>3.740901453484597</v>
      </c>
      <c r="E43" s="23">
        <f>'Financial Statements'!D68/'Financial Statements'!D28*1000</f>
        <v>3.7276473233382479</v>
      </c>
    </row>
    <row r="44" spans="1:5" x14ac:dyDescent="0.2">
      <c r="A44" s="18">
        <f t="shared" si="4"/>
        <v>5.4999999999999982</v>
      </c>
      <c r="B44" s="1" t="s">
        <v>134</v>
      </c>
      <c r="C44" s="28">
        <v>0.14729999999999999</v>
      </c>
      <c r="D44" s="28">
        <v>0.1515</v>
      </c>
      <c r="E44" s="28">
        <f>(E45*'Financial Statements'!D27)/('Financial Statements'!D22*1000)</f>
        <v>0.2440618712877323</v>
      </c>
    </row>
    <row r="45" spans="1:5" x14ac:dyDescent="0.2">
      <c r="A45" s="18"/>
      <c r="B45" s="3" t="s">
        <v>135</v>
      </c>
      <c r="C45">
        <v>0.91</v>
      </c>
      <c r="D45">
        <v>0.86499999999999999</v>
      </c>
      <c r="E45">
        <v>0.8075</v>
      </c>
    </row>
    <row r="46" spans="1:5" x14ac:dyDescent="0.2">
      <c r="A46" s="18">
        <f>+A44+0.1</f>
        <v>5.5999999999999979</v>
      </c>
      <c r="B46" s="1" t="s">
        <v>136</v>
      </c>
      <c r="C46" s="25">
        <f>C45/C52</f>
        <v>6.1164134964376933E-3</v>
      </c>
      <c r="D46" s="25">
        <f t="shared" ref="D46:E46" si="6">D45/D52</f>
        <v>5.986159169550173E-3</v>
      </c>
      <c r="E46" s="25">
        <f t="shared" si="6"/>
        <v>7.3589720222363977E-3</v>
      </c>
    </row>
    <row r="47" spans="1:5" x14ac:dyDescent="0.2">
      <c r="A47" s="18">
        <f t="shared" ref="A47:A50" si="7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5" x14ac:dyDescent="0.2">
      <c r="A48" s="18">
        <f t="shared" si="7"/>
        <v>5.6999999999999975</v>
      </c>
      <c r="B48" s="1" t="s">
        <v>138</v>
      </c>
      <c r="C48" s="25">
        <f>('Financial Statements'!B22+'Financial Statements'!B21+'Financial Statements'!B114)/('Financial Statements'!B48-'Financial Statements'!B56)</f>
        <v>0.61360446338285379</v>
      </c>
      <c r="D48" s="25">
        <f>('Financial Statements'!C22+'Financial Statements'!C21+'Financial Statements'!C114)/('Financial Statements'!C48-'Financial Statements'!C56)</f>
        <v>0.49615778574944241</v>
      </c>
      <c r="E48" s="25">
        <f>('Financial Statements'!D22+'Financial Statements'!D21+'Financial Statements'!D114)/('Financial Statements'!D48-'Financial Statements'!D56)</f>
        <v>0.32079763473930872</v>
      </c>
    </row>
    <row r="49" spans="1:5" x14ac:dyDescent="0.2">
      <c r="A49" s="18">
        <f t="shared" si="7"/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x14ac:dyDescent="0.2">
      <c r="A50" s="18">
        <f t="shared" si="7"/>
        <v>5.7999999999999972</v>
      </c>
      <c r="B50" s="1" t="s">
        <v>139</v>
      </c>
      <c r="C50" s="23">
        <f>C51/C19</f>
        <v>18.062570380187069</v>
      </c>
      <c r="D50" s="23">
        <f t="shared" ref="D50:E50" si="8">D51/D19</f>
        <v>19.715543985428294</v>
      </c>
      <c r="E50" s="23">
        <f t="shared" si="8"/>
        <v>23.904142532064544</v>
      </c>
    </row>
    <row r="51" spans="1:5" x14ac:dyDescent="0.2">
      <c r="A51" s="18"/>
      <c r="B51" s="3" t="s">
        <v>140</v>
      </c>
      <c r="C51">
        <v>2357906</v>
      </c>
      <c r="D51">
        <v>2370459</v>
      </c>
      <c r="E51">
        <v>1848842</v>
      </c>
    </row>
    <row r="52" spans="1:5" x14ac:dyDescent="0.2">
      <c r="B52" s="1" t="s">
        <v>150</v>
      </c>
      <c r="C52">
        <v>148.78</v>
      </c>
      <c r="D52">
        <v>144.5</v>
      </c>
      <c r="E52">
        <v>109.73</v>
      </c>
    </row>
    <row r="54" spans="1:5" x14ac:dyDescent="0.2">
      <c r="A54" s="18">
        <v>6</v>
      </c>
      <c r="B54" s="7" t="s">
        <v>151</v>
      </c>
    </row>
    <row r="55" spans="1:5" x14ac:dyDescent="0.2">
      <c r="A55">
        <v>6.1</v>
      </c>
      <c r="B55" s="29" t="s">
        <v>153</v>
      </c>
      <c r="C55" s="25">
        <f>('Financial Statements'!B8/'Financial Statements'!C8)-1</f>
        <v>7.7937876041846099E-2</v>
      </c>
      <c r="D55" s="25">
        <f>('Financial Statements'!C8/'Financial Statements'!D8)-1</f>
        <v>0.33259384733074704</v>
      </c>
      <c r="E55" s="25"/>
    </row>
    <row r="56" spans="1:5" x14ac:dyDescent="0.2">
      <c r="A56" s="18">
        <v>6.2</v>
      </c>
      <c r="B56" t="s">
        <v>152</v>
      </c>
      <c r="C56" s="25">
        <f>('Financial Statements'!B6/'Financial Statements'!C6)-1</f>
        <v>6.3239764351428418E-2</v>
      </c>
      <c r="D56" s="25">
        <f>('Financial Statements'!C6/'Financial Statements'!D6)-1</f>
        <v>0.34720743656765429</v>
      </c>
    </row>
    <row r="57" spans="1:5" x14ac:dyDescent="0.2">
      <c r="A57">
        <v>6.3</v>
      </c>
      <c r="B57" t="s">
        <v>154</v>
      </c>
      <c r="C57" s="25">
        <f>('Financial Statements'!B7/'Financial Statements'!C7)-1</f>
        <v>0.14181951041286078</v>
      </c>
      <c r="D57" s="25">
        <f>('Financial Statements'!C7/'Financial Statements'!D7)-1</f>
        <v>0.27259708376729663</v>
      </c>
    </row>
    <row r="58" spans="1:5" x14ac:dyDescent="0.2">
      <c r="A58" s="18">
        <v>6.4</v>
      </c>
      <c r="B58" s="1" t="s">
        <v>89</v>
      </c>
      <c r="C58" s="25">
        <f>('Financial Statements'!B13/'Financial Statements'!C13)-1</f>
        <v>0.1174199795859614</v>
      </c>
      <c r="D58" s="25">
        <f>('Financial Statements'!C13/'Financial Statements'!D13)-1</f>
        <v>0.45619116582186825</v>
      </c>
    </row>
    <row r="59" spans="1:5" x14ac:dyDescent="0.2">
      <c r="A59">
        <v>6.5</v>
      </c>
      <c r="B59" s="1" t="s">
        <v>90</v>
      </c>
    </row>
    <row r="60" spans="1:5" x14ac:dyDescent="0.2">
      <c r="A60" s="18">
        <v>6.6</v>
      </c>
      <c r="B60" s="1" t="s">
        <v>11</v>
      </c>
      <c r="C60" s="25">
        <f>('Financial Statements'!B15/'Financial Statements'!C15)-1</f>
        <v>0.19791001186456136</v>
      </c>
      <c r="D60" s="25">
        <f>('Financial Statements'!C15/'Financial Statements'!D15)-1</f>
        <v>0.16862201365187723</v>
      </c>
    </row>
    <row r="61" spans="1:5" x14ac:dyDescent="0.2">
      <c r="A61">
        <v>6.7</v>
      </c>
      <c r="B61" s="1" t="s">
        <v>12</v>
      </c>
      <c r="C61" s="25">
        <f>('Financial Statements'!B16/'Financial Statements'!C16)-1</f>
        <v>0.14203795567287125</v>
      </c>
      <c r="D61" s="25">
        <f>('Financial Statements'!C16/'Financial Statements'!D16)-1</f>
        <v>0.10328379192608961</v>
      </c>
    </row>
    <row r="62" spans="1:5" x14ac:dyDescent="0.2">
      <c r="A62" s="18">
        <v>6.8</v>
      </c>
      <c r="B62" t="s">
        <v>91</v>
      </c>
    </row>
    <row r="63" spans="1:5" x14ac:dyDescent="0.2">
      <c r="A63">
        <v>6.9</v>
      </c>
      <c r="B63" t="s">
        <v>31</v>
      </c>
      <c r="C63" s="25">
        <f>('Financial Statements'!B42/'Financial Statements'!C42)-1</f>
        <v>4.2199412619774446E-3</v>
      </c>
      <c r="D63" s="25">
        <f>('Financial Statements'!C42/'Financial Statements'!D42)-1</f>
        <v>-6.1768942266879123E-2</v>
      </c>
    </row>
    <row r="64" spans="1:5" x14ac:dyDescent="0.2">
      <c r="A64" s="18">
        <v>7</v>
      </c>
      <c r="B64" t="s">
        <v>50</v>
      </c>
      <c r="C64" s="25">
        <f>('Financial Statements'!B47/'Financial Statements'!C47)-1</f>
        <v>5.477272096444441E-3</v>
      </c>
      <c r="D64" s="25">
        <f>('Financial Statements'!C47/'Financial Statements'!D47)-1</f>
        <v>0.19975579297904811</v>
      </c>
    </row>
    <row r="65" spans="1:5" x14ac:dyDescent="0.2">
      <c r="A65">
        <v>7.1</v>
      </c>
      <c r="B65" t="s">
        <v>33</v>
      </c>
      <c r="C65" s="25">
        <f>('Financial Statements'!B48/'Financial Statements'!C48)-1</f>
        <v>4.994273536902849E-3</v>
      </c>
      <c r="D65" s="25">
        <f>('Financial Statements'!C48/'Financial Statements'!D48)-1</f>
        <v>8.3714123400681739E-2</v>
      </c>
    </row>
    <row r="66" spans="1:5" x14ac:dyDescent="0.2">
      <c r="A66" s="18">
        <v>7.2</v>
      </c>
      <c r="B66" t="s">
        <v>40</v>
      </c>
      <c r="C66" s="25">
        <f>('Financial Statements'!B56/'Financial Statements'!C56)-1</f>
        <v>0.22713398841258825</v>
      </c>
      <c r="D66" s="25">
        <f>('Financial Statements'!C56/'Financial Statements'!D56)-1</f>
        <v>0.19061219067860935</v>
      </c>
    </row>
    <row r="67" spans="1:5" x14ac:dyDescent="0.2">
      <c r="A67">
        <v>7.3</v>
      </c>
      <c r="B67" t="s">
        <v>53</v>
      </c>
      <c r="C67" s="25">
        <f>('Financial Statements'!B61/'Financial Statements'!C61)-1</f>
        <v>-8.8222075835277747E-2</v>
      </c>
      <c r="D67" s="25">
        <f>('Financial Statements'!C61/'Financial Statements'!D61)-1</f>
        <v>6.0552243775994663E-2</v>
      </c>
    </row>
    <row r="68" spans="1:5" x14ac:dyDescent="0.2">
      <c r="A68" s="18">
        <v>7.4</v>
      </c>
      <c r="B68" t="s">
        <v>41</v>
      </c>
      <c r="C68" s="25">
        <f>('Financial Statements'!B62/'Financial Statements'!C62)-1</f>
        <v>4.9219900525160565E-2</v>
      </c>
      <c r="D68" s="25">
        <f>('Financial Statements'!C62/'Financial Statements'!D62)-1</f>
        <v>0.11356841449783217</v>
      </c>
    </row>
    <row r="69" spans="1:5" x14ac:dyDescent="0.2">
      <c r="A69" s="18">
        <v>7.5</v>
      </c>
      <c r="B69" t="s">
        <v>45</v>
      </c>
      <c r="C69" s="25">
        <f>('Financial Statements'!B68/'Financial Statements'!C68)-1</f>
        <v>-0.19682992550324929</v>
      </c>
      <c r="D69" s="25">
        <f>('Financial Statements'!C68/'Financial Statements'!D68)-1</f>
        <v>-3.4420483937617652E-2</v>
      </c>
    </row>
    <row r="71" spans="1:5" x14ac:dyDescent="0.2">
      <c r="A71" s="18">
        <v>8</v>
      </c>
      <c r="B71" s="7" t="s">
        <v>155</v>
      </c>
    </row>
    <row r="72" spans="1:5" x14ac:dyDescent="0.2">
      <c r="A72" s="18">
        <v>8.1</v>
      </c>
      <c r="B72" s="1" t="s">
        <v>94</v>
      </c>
      <c r="C72" s="25">
        <f>'Financial Statements'!B113/'Financial Statements'!B22</f>
        <v>0.19611634920793963</v>
      </c>
      <c r="D72" s="25">
        <f>'Financial Statements'!C113/'Financial Statements'!C22</f>
        <v>0.26811364596535697</v>
      </c>
      <c r="E72" s="25">
        <f>'Financial Statements'!D113/'Financial Statements'!D22</f>
        <v>0.16549093379317553</v>
      </c>
    </row>
    <row r="73" spans="1:5" x14ac:dyDescent="0.2">
      <c r="A73" s="18">
        <v>8.1999999999999993</v>
      </c>
      <c r="B73" s="1" t="s">
        <v>95</v>
      </c>
      <c r="C73" s="25">
        <f>-('Financial Statements'!B96/'Financial Statements'!B8)</f>
        <v>2.7155058732831552E-2</v>
      </c>
      <c r="D73" s="25">
        <f>-('Financial Statements'!C96/'Financial Statements'!C8)</f>
        <v>3.0302036264033657E-2</v>
      </c>
      <c r="E73" s="25">
        <f>-('Financial Statements'!D96/'Financial Statements'!D8)</f>
        <v>2.6625138881299748E-2</v>
      </c>
    </row>
    <row r="74" spans="1:5" x14ac:dyDescent="0.2">
      <c r="A74" s="18">
        <v>8.3000000000000007</v>
      </c>
      <c r="B74" s="1" t="s">
        <v>96</v>
      </c>
      <c r="C74" s="25">
        <f>-('Financial Statements'!B96/'Financial Statements'!B45)</f>
        <v>0.25424412944891611</v>
      </c>
      <c r="D74" s="25">
        <f>-('Financial Statements'!C96/'Financial Statements'!C45)</f>
        <v>0.28105983772819471</v>
      </c>
      <c r="E74" s="25">
        <f>-('Financial Statements'!D96/'Financial Statements'!D45)</f>
        <v>0.19879780231735844</v>
      </c>
    </row>
    <row r="76" spans="1:5" x14ac:dyDescent="0.2">
      <c r="A76" s="18">
        <v>9</v>
      </c>
      <c r="B76" s="17" t="s">
        <v>156</v>
      </c>
    </row>
    <row r="77" spans="1:5" x14ac:dyDescent="0.2">
      <c r="A77" s="18">
        <v>9.1</v>
      </c>
      <c r="B77" s="1" t="s">
        <v>146</v>
      </c>
      <c r="C77" s="25">
        <f>'Financial Statements'!B12/'Financial Statements'!B8</f>
        <v>0.56690369438639909</v>
      </c>
      <c r="D77" s="25">
        <f>'Financial Statements'!C12/'Financial Statements'!C8</f>
        <v>0.58220640374832222</v>
      </c>
      <c r="E77" s="25">
        <f>'Financial Statements'!D12/'Financial Statements'!D8</f>
        <v>0.61766752272189129</v>
      </c>
    </row>
    <row r="78" spans="1:5" x14ac:dyDescent="0.2">
      <c r="A78" s="18">
        <v>9.1999999999999993</v>
      </c>
      <c r="B78" s="1" t="s">
        <v>89</v>
      </c>
      <c r="C78" s="25">
        <f>'Financial Statements'!B13/'Financial Statements'!B8</f>
        <v>0.43309630561360085</v>
      </c>
      <c r="D78" s="25">
        <f>'Financial Statements'!C13/'Financial Statements'!C8</f>
        <v>0.41779359625167778</v>
      </c>
      <c r="E78" s="25">
        <f>'Financial Statements'!D13/'Financial Statements'!D8</f>
        <v>0.38233247727810865</v>
      </c>
    </row>
    <row r="79" spans="1:5" x14ac:dyDescent="0.2">
      <c r="A79" s="18">
        <v>9.3000000000000007</v>
      </c>
      <c r="B79" s="1" t="s">
        <v>11</v>
      </c>
      <c r="C79" s="25">
        <f>'Financial Statements'!B15/'Financial Statements'!B8</f>
        <v>6.657148363798665E-2</v>
      </c>
      <c r="D79" s="25">
        <f>'Financial Statements'!C15/'Financial Statements'!C8</f>
        <v>5.9904269074427925E-2</v>
      </c>
      <c r="E79" s="25">
        <f>'Financial Statements'!D15/'Financial Statements'!D8</f>
        <v>6.8309564140393061E-2</v>
      </c>
    </row>
    <row r="80" spans="1:5" x14ac:dyDescent="0.2">
      <c r="A80" s="18">
        <v>9.4</v>
      </c>
      <c r="B80" s="1" t="s">
        <v>12</v>
      </c>
      <c r="C80" s="25">
        <f>'Financial Statements'!B16/'Financial Statements'!B8</f>
        <v>6.3637378020328261E-2</v>
      </c>
      <c r="D80" s="25">
        <f>'Financial Statements'!C16/'Financial Statements'!C8</f>
        <v>6.006555190163388E-2</v>
      </c>
      <c r="E80" s="25">
        <f>'Financial Statements'!D16/'Financial Statements'!D8</f>
        <v>7.2549769593646979E-2</v>
      </c>
    </row>
    <row r="81" spans="1:5" x14ac:dyDescent="0.2">
      <c r="A81" s="18">
        <v>9.5</v>
      </c>
      <c r="B81" s="1" t="s">
        <v>14</v>
      </c>
      <c r="C81" s="25">
        <f>'Financial Statements'!B18/'Financial Statements'!B8</f>
        <v>0.30288744395528594</v>
      </c>
      <c r="D81" s="25">
        <f>'Financial Statements'!C18/'Financial Statements'!C8</f>
        <v>0.29782377527561593</v>
      </c>
      <c r="E81" s="25">
        <f>'Financial Statements'!D18/'Financial Statements'!D8</f>
        <v>0.24147314354406862</v>
      </c>
    </row>
    <row r="82" spans="1:5" x14ac:dyDescent="0.2">
      <c r="A82" s="18">
        <v>9.6</v>
      </c>
      <c r="B82" s="1" t="s">
        <v>93</v>
      </c>
      <c r="C82" s="25">
        <f>'Financial Statements'!B22/'Financial Statements'!B8</f>
        <v>0.25309640705199732</v>
      </c>
      <c r="D82" s="25">
        <f>'Financial Statements'!C22/'Financial Statements'!C8</f>
        <v>0.25881793355694238</v>
      </c>
      <c r="E82" s="25">
        <f>'Financial Statements'!D22/'Financial Statements'!D8</f>
        <v>0.20913611278072236</v>
      </c>
    </row>
  </sheetData>
  <dataConsolidate/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Raphael Tsuro</cp:lastModifiedBy>
  <dcterms:created xsi:type="dcterms:W3CDTF">2020-05-18T16:32:37Z</dcterms:created>
  <dcterms:modified xsi:type="dcterms:W3CDTF">2024-11-11T12:51:27Z</dcterms:modified>
</cp:coreProperties>
</file>