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\Downloads\"/>
    </mc:Choice>
  </mc:AlternateContent>
  <bookViews>
    <workbookView xWindow="0" yWindow="0" windowWidth="16815" windowHeight="7755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3" l="1"/>
  <c r="E48" i="3"/>
  <c r="C48" i="3"/>
  <c r="D49" i="3"/>
  <c r="E49" i="3"/>
  <c r="C49" i="3"/>
  <c r="D47" i="3"/>
  <c r="E47" i="3"/>
  <c r="C47" i="3"/>
  <c r="D45" i="3"/>
  <c r="E45" i="3"/>
  <c r="C45" i="3"/>
  <c r="D44" i="3"/>
  <c r="E44" i="3"/>
  <c r="C44" i="3"/>
  <c r="D43" i="3"/>
  <c r="E43" i="3"/>
  <c r="C43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1" i="3"/>
  <c r="E21" i="3"/>
  <c r="C21" i="3"/>
  <c r="D20" i="3"/>
  <c r="E20" i="3"/>
  <c r="C20" i="3"/>
  <c r="D19" i="3"/>
  <c r="E19" i="3"/>
  <c r="C19" i="3"/>
  <c r="C18" i="3"/>
  <c r="D18" i="3"/>
  <c r="E18" i="3"/>
  <c r="D22" i="3"/>
  <c r="E22" i="3"/>
  <c r="C22" i="3"/>
  <c r="D17" i="3"/>
  <c r="E17" i="3"/>
  <c r="C17" i="3"/>
  <c r="D14" i="3"/>
  <c r="E14" i="3"/>
  <c r="C14" i="3"/>
  <c r="D13" i="3"/>
  <c r="E13" i="3"/>
  <c r="C13" i="3"/>
  <c r="E12" i="3"/>
  <c r="D12" i="3"/>
  <c r="C12" i="3"/>
  <c r="D11" i="3"/>
  <c r="E11" i="3"/>
  <c r="C11" i="3"/>
  <c r="D10" i="3"/>
  <c r="E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D109" i="1" l="1"/>
  <c r="B10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2" i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<sst xmlns="http://schemas.openxmlformats.org/spreadsheetml/2006/main" count="211" uniqueCount="188">
  <si>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</si>
  <si>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</si>
  <si>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</si>
  <si>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</si>
  <si>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</si>
  <si>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</si>
  <si>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</si>
  <si>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</si>
  <si>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</si>
  <si>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</si>
  <si>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</si>
  <si>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</si>
  <si>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</si>
  <si>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</si>
  <si>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</si>
  <si>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</si>
  <si>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</si>
  <si>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</si>
  <si>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</si>
  <si>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</si>
  <si>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</si>
  <si>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</si>
  <si>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</si>
  <si>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</si>
  <si>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</si>
  <si>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</si>
  <si>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</si>
  <si>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</si>
  <si>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</si>
  <si>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</si>
  <si>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</si>
  <si>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</si>
  <si>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</si>
  <si>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</si>
  <si>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</si>
  <si>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</si>
  <si>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</si>
  <si>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</si>
  <si>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</si>
  <si>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</si>
  <si>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</si>
  <si>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</si>
  <si>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</si>
  <si>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</si>
  <si>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</si>
  <si>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</si>
  <si>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</si>
  <si>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</si>
  <si>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</si>
  <si>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</si>
  <si>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</si>
  <si>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</si>
  <si>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</si>
  <si>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</si>
  <si>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</si>
  <si>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</si>
  <si>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</si>
  <si>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</si>
  <si>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</si>
  <si>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</si>
  <si>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</si>
  <si>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</si>
  <si>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</si>
  <si>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</si>
  <si>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</si>
  <si>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</si>
  <si>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</si>
  <si>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</si>
  <si>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</si>
  <si>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</si>
  <si>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</si>
  <si>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</si>
  <si>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</si>
  <si>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</si>
  <si>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</si>
  <si>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</si>
  <si>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</si>
  <si>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</si>
  <si>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</si>
  <si>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</si>
  <si>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</si>
  <si>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</si>
  <si>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</si>
  <si>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</si>
  <si>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</si>
  <si>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</si>
  <si>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</si>
  <si>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</si>
  <si>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</si>
  <si>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</si>
  <si>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</si>
  <si>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</si>
  <si>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</si>
  <si>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</si>
  <si>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</si>
  <si>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</si>
  <si>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</si>
  <si>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</si>
  <si>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</si>
  <si>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</si>
  <si>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</si>
  <si>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</si>
  <si>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</si>
  <si>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</si>
  <si>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</si>
  <si>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</si>
  <si>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</si>
  <si>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</si>
  <si>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</si>
  <si>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</si>
  <si>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</si>
  <si>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</si>
  <si>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</si>
  <si>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</si>
  <si>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</si>
  <si>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</si>
  <si>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</si>
  <si>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</si>
  <si>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</si>
  <si>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</si>
  <si>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</si>
  <si>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</si>
  <si>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</si>
  <si>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</si>
  <si>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</si>
  <si>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</si>
  <si>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</si>
  <si>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</si>
  <si>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</si>
  <si>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</si>
  <si>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</si>
  <si>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</si>
  <si>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</si>
  <si>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</si>
  <si>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</si>
  <si>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</si>
  <si>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</si>
  <si>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</si>
  <si>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</si>
  <si>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</si>
  <si>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</si>
  <si>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</si>
  <si>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</si>
  <si>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</si>
  <si>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</si>
  <si>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</si>
  <si>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</si>
  <si>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</si>
  <si>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</si>
  <si>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</si>
  <si>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C.A/C.L</t>
  </si>
  <si>
    <t>(C.A-Inv)-C.L</t>
  </si>
  <si>
    <t>Cash &amp; Cash eq./C.A</t>
  </si>
  <si>
    <t>daily operating exp = (Cost of Goods Sold + Operating Expenses - Non-Cash Expenses​)/365</t>
  </si>
  <si>
    <t>C.A/daily operating exp</t>
  </si>
  <si>
    <t>COGS/Av Inv.</t>
  </si>
  <si>
    <t>(Acc payable/COGS)*365</t>
  </si>
  <si>
    <t>(Acc rec/net sales)*365</t>
  </si>
  <si>
    <t>DIO+DSO-DPO</t>
  </si>
  <si>
    <t>DIO = Invetory/COGS *365</t>
  </si>
  <si>
    <t>DPO = payable days</t>
  </si>
  <si>
    <t>DSO = Receivable days</t>
  </si>
  <si>
    <t>(C.A-C.L)/net sales * 100</t>
  </si>
  <si>
    <t>C.A-C.L</t>
  </si>
  <si>
    <t>((net profit+interest+tax+depr+amort)/net sales)*100</t>
  </si>
  <si>
    <t>net profit+interest+tax+depr+amortisation</t>
  </si>
  <si>
    <t>((net profit+interest+tax)/net sales)*100</t>
  </si>
  <si>
    <t xml:space="preserve">net profit+interest+tax </t>
  </si>
  <si>
    <t>G.P/net sales</t>
  </si>
  <si>
    <t>N.P/net sales</t>
  </si>
  <si>
    <t>Total liabilities/shareholders' equity</t>
  </si>
  <si>
    <t>Total liabilities/total assets</t>
  </si>
  <si>
    <t>Terrm debt/(Term debt+shareholders' equity)</t>
  </si>
  <si>
    <t>EBIT/Interest  expense</t>
  </si>
  <si>
    <t>Operating income/principal+interest debt</t>
  </si>
  <si>
    <t>Total net sales/total ave. asset</t>
  </si>
  <si>
    <t>Net sales/Aver fixed assets</t>
  </si>
  <si>
    <t>COGS/ave inventory</t>
  </si>
  <si>
    <t>operating income/total asset</t>
  </si>
  <si>
    <t>Net Income / Weighted Average Basic Shares Outstanding</t>
  </si>
  <si>
    <t>Market Price per Share / Book Value per Share</t>
  </si>
  <si>
    <t>Total Dividends Paid / Net Income</t>
  </si>
  <si>
    <t>PBV=Total Shareholders' Equity / Number of Shares Outstanding *1000</t>
  </si>
  <si>
    <t>Total Dividends Paid /share outstanding</t>
  </si>
  <si>
    <t>Net Income / Shareholders' Equity</t>
  </si>
  <si>
    <t>Net Income /Total assets</t>
  </si>
  <si>
    <t>EBIT/Capital employed</t>
  </si>
  <si>
    <t>Cap Emp= T.A-C.L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</si>
</sst>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2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164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4" sqref="A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40" workbookViewId="0">
      <selection activeCell="G48" sqref="G48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6" t="s">
        <v>1</v>
      </c>
      <c r="B2" s="26"/>
      <c r="C2" s="26"/>
      <c r="D2" s="26"/>
    </row>
    <row r="3" spans="1:10" x14ac:dyDescent="0.25">
      <c r="B3" s="25" t="s">
        <v>23</v>
      </c>
      <c r="C3" s="25"/>
      <c r="D3" s="25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2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6" t="s">
        <v>24</v>
      </c>
      <c r="B31" s="26"/>
      <c r="C31" s="26"/>
      <c r="D31" s="26"/>
    </row>
    <row r="32" spans="1:4" x14ac:dyDescent="0.25">
      <c r="B32" s="25" t="s">
        <v>142</v>
      </c>
      <c r="C32" s="25"/>
      <c r="D32" s="25"/>
    </row>
    <row r="33" spans="1:8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8" x14ac:dyDescent="0.25">
      <c r="A35" t="s">
        <v>25</v>
      </c>
    </row>
    <row r="36" spans="1:8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8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8" x14ac:dyDescent="0.25">
      <c r="A43" t="s">
        <v>48</v>
      </c>
      <c r="B43" s="12"/>
      <c r="C43" s="12"/>
      <c r="D43" s="12"/>
    </row>
    <row r="44" spans="1:8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8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H48" s="34"/>
    </row>
    <row r="49" spans="1:7" ht="15.75" thickTop="1" x14ac:dyDescent="0.25"/>
    <row r="50" spans="1:7" x14ac:dyDescent="0.25">
      <c r="A50" t="s">
        <v>34</v>
      </c>
    </row>
    <row r="51" spans="1:7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G56" s="34"/>
    </row>
    <row r="57" spans="1:7" x14ac:dyDescent="0.25">
      <c r="A57" t="s">
        <v>51</v>
      </c>
      <c r="B57" s="12"/>
      <c r="C57" s="12"/>
      <c r="D57" s="12"/>
    </row>
    <row r="58" spans="1:7" x14ac:dyDescent="0.25">
      <c r="A58" s="1" t="s">
        <v>37</v>
      </c>
      <c r="B58" s="12"/>
      <c r="C58" s="12"/>
      <c r="D58" s="12"/>
    </row>
    <row r="59" spans="1:7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25">
      <c r="A61" s="24" t="s">
        <v>53</v>
      </c>
      <c r="B61" s="23">
        <f>+B59+B60</f>
        <v>148101</v>
      </c>
      <c r="C61" s="23">
        <f t="shared" ref="C61:D61" si="13">+C59+C60</f>
        <v>162431</v>
      </c>
      <c r="D61" s="23">
        <f t="shared" si="13"/>
        <v>153157</v>
      </c>
    </row>
    <row r="62" spans="1:7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25">
      <c r="B63" s="12"/>
      <c r="C63" s="12"/>
      <c r="D63" s="12"/>
    </row>
    <row r="64" spans="1:7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6" t="s">
        <v>55</v>
      </c>
      <c r="B71" s="26"/>
      <c r="C71" s="26"/>
      <c r="D71" s="26"/>
    </row>
    <row r="72" spans="1:4" x14ac:dyDescent="0.25">
      <c r="B72" s="25" t="s">
        <v>23</v>
      </c>
      <c r="C72" s="25"/>
      <c r="D72" s="25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K13" sqref="K13"/>
    </sheetView>
  </sheetViews>
  <sheetFormatPr defaultRowHeight="15" x14ac:dyDescent="0.25"/>
  <cols>
    <col min="1" max="1" width="4.7109375" customWidth="1"/>
    <col min="2" max="2" width="44.85546875" customWidth="1"/>
    <col min="3" max="5" width="11.5703125" bestFit="1" customWidth="1"/>
    <col min="6" max="6" width="11.5703125" customWidth="1"/>
    <col min="7" max="7" width="29.5703125" style="27" customWidth="1"/>
  </cols>
  <sheetData>
    <row r="1" spans="1:11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C2" s="25" t="s">
        <v>23</v>
      </c>
      <c r="D2" s="25"/>
      <c r="E2" s="25"/>
      <c r="F2" s="21"/>
    </row>
    <row r="3" spans="1:11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25">
      <c r="A4" s="18">
        <v>1</v>
      </c>
      <c r="B4" s="7" t="s">
        <v>99</v>
      </c>
    </row>
    <row r="5" spans="1:11" x14ac:dyDescent="0.25">
      <c r="A5" s="18">
        <f>+A4+0.1</f>
        <v>1.1000000000000001</v>
      </c>
      <c r="B5" s="1" t="s">
        <v>100</v>
      </c>
      <c r="C5" s="29">
        <f>'Financial Statements'!B42/'Financial Statements'!B56</f>
        <v>0.87935602862672257</v>
      </c>
      <c r="D5" s="29">
        <f>'Financial Statements'!C42/'Financial Statements'!C56</f>
        <v>1.0745531195957954</v>
      </c>
      <c r="E5" s="29">
        <f>'Financial Statements'!D42/'Financial Statements'!D56</f>
        <v>1.3636044481554577</v>
      </c>
      <c r="F5" s="29"/>
      <c r="G5" s="27" t="s">
        <v>150</v>
      </c>
    </row>
    <row r="6" spans="1:11" x14ac:dyDescent="0.25">
      <c r="A6" s="18">
        <f t="shared" ref="A6:A13" si="0">+A5+0.1</f>
        <v>1.2000000000000002</v>
      </c>
      <c r="B6" s="1" t="s">
        <v>101</v>
      </c>
      <c r="C6" s="29">
        <f>('Financial Statements'!B42-'Financial Statements'!B39)/'Financial Statements'!B56</f>
        <v>0.84723539114961488</v>
      </c>
      <c r="D6" s="29">
        <f>('Financial Statements'!C42-'Financial Statements'!C39)/'Financial Statements'!C56</f>
        <v>1.0221149018576519</v>
      </c>
      <c r="E6" s="29">
        <f>('Financial Statements'!D42-'Financial Statements'!D39)/'Financial Statements'!D56</f>
        <v>1.325072111735236</v>
      </c>
      <c r="F6" s="29"/>
      <c r="G6" s="27" t="s">
        <v>151</v>
      </c>
    </row>
    <row r="7" spans="1:11" x14ac:dyDescent="0.25">
      <c r="A7" s="18">
        <f t="shared" si="0"/>
        <v>1.3000000000000003</v>
      </c>
      <c r="B7" s="1" t="s">
        <v>102</v>
      </c>
      <c r="C7" s="29">
        <f>'Financial Statements'!B36/'Financial Statements'!B56</f>
        <v>0.15356340351469652</v>
      </c>
      <c r="D7" s="29">
        <f>'Financial Statements'!C36/'Financial Statements'!C56</f>
        <v>0.27844853005634318</v>
      </c>
      <c r="E7" s="29">
        <f>'Financial Statements'!D36/'Financial Statements'!D56</f>
        <v>0.36071049035979963</v>
      </c>
      <c r="F7" s="29"/>
      <c r="G7" s="27" t="s">
        <v>152</v>
      </c>
    </row>
    <row r="8" spans="1:11" x14ac:dyDescent="0.25">
      <c r="A8" s="18">
        <f t="shared" si="0"/>
        <v>1.4000000000000004</v>
      </c>
      <c r="B8" s="1" t="s">
        <v>103</v>
      </c>
      <c r="C8" s="28">
        <f>'Financial Statements'!B42/('Financial Statements'!B12+'Financial Statements'!B17)/365</f>
        <v>1.3495261857962831E-3</v>
      </c>
      <c r="D8" s="28">
        <f>'Financial Statements'!C42/('Financial Statements'!C12+'Financial Statements'!C17)/365</f>
        <v>1.4381460463356159E-3</v>
      </c>
      <c r="E8" s="28">
        <f>'Financial Statements'!D42/('Financial Statements'!D12+'Financial Statements'!D17)/365</f>
        <v>1.8908894935591564E-3</v>
      </c>
      <c r="F8" s="28"/>
      <c r="G8" s="27" t="s">
        <v>154</v>
      </c>
      <c r="H8" t="s">
        <v>153</v>
      </c>
    </row>
    <row r="9" spans="1:11" x14ac:dyDescent="0.25">
      <c r="A9" s="18">
        <f t="shared" si="0"/>
        <v>1.5000000000000004</v>
      </c>
      <c r="B9" s="1" t="s">
        <v>104</v>
      </c>
      <c r="C9" s="29">
        <f>'Financial Statements'!B12/(('Financial Statements'!C39+'Financial Statements'!B39)/2)</f>
        <v>38.789866389033492</v>
      </c>
      <c r="D9" s="29">
        <f>'Financial Statements'!C12/(('Financial Statements'!D39+'Financial Statements'!C39)/2)</f>
        <v>40.030260313880277</v>
      </c>
      <c r="E9" s="29">
        <f>'Financial Statements'!D12/('Financial Statements'!D39/2)</f>
        <v>83.506032996798822</v>
      </c>
      <c r="F9" s="29"/>
      <c r="G9" s="27" t="s">
        <v>155</v>
      </c>
    </row>
    <row r="10" spans="1:11" x14ac:dyDescent="0.25">
      <c r="A10" s="18">
        <f t="shared" si="0"/>
        <v>1.6000000000000005</v>
      </c>
      <c r="B10" s="1" t="s">
        <v>105</v>
      </c>
      <c r="C10" s="29">
        <f>('Financial Statements'!B51/'Financial Statements'!B12)*365</f>
        <v>104.68527730310539</v>
      </c>
      <c r="D10" s="29">
        <f>('Financial Statements'!C51/'Financial Statements'!C12)*365</f>
        <v>93.851071222315596</v>
      </c>
      <c r="E10" s="29">
        <f>('Financial Statements'!D51/'Financial Statements'!D12)*365</f>
        <v>91.048189715674198</v>
      </c>
      <c r="F10" s="29"/>
      <c r="G10" s="27" t="s">
        <v>156</v>
      </c>
    </row>
    <row r="11" spans="1:11" x14ac:dyDescent="0.25">
      <c r="A11" s="18">
        <f t="shared" si="0"/>
        <v>1.7000000000000006</v>
      </c>
      <c r="B11" s="1" t="s">
        <v>106</v>
      </c>
      <c r="C11" s="29">
        <f>('Financial Statements'!B38/'Financial Statements'!B8)*365</f>
        <v>26.087825363656648</v>
      </c>
      <c r="D11" s="29">
        <f>('Financial Statements'!C38/'Financial Statements'!C8)*365</f>
        <v>26.219311841713207</v>
      </c>
      <c r="E11" s="29">
        <f>('Financial Statements'!D38/'Financial Statements'!D8)*365</f>
        <v>21.433437152796749</v>
      </c>
      <c r="F11" s="29"/>
      <c r="G11" s="27" t="s">
        <v>157</v>
      </c>
    </row>
    <row r="12" spans="1:11" x14ac:dyDescent="0.25">
      <c r="A12" s="18">
        <f t="shared" si="0"/>
        <v>1.8000000000000007</v>
      </c>
      <c r="B12" s="1" t="s">
        <v>107</v>
      </c>
      <c r="C12" s="29">
        <f>(('Financial Statements'!B39/'Financial Statements'!B12)*365)+26.09-104.69</f>
        <v>-70.524301933382844</v>
      </c>
      <c r="D12" s="29">
        <f>(('Financial Statements'!C39/'Financial Statements'!C12)*365)+26.22-93.86</f>
        <v>-56.363407252290109</v>
      </c>
      <c r="E12" s="29">
        <f>(('Financial Statements'!D39/'Financial Statements'!D12)*365)+21.43-91.05</f>
        <v>-60.878116643764116</v>
      </c>
      <c r="F12" s="29"/>
      <c r="G12" s="30" t="s">
        <v>158</v>
      </c>
      <c r="H12" s="31" t="s">
        <v>159</v>
      </c>
    </row>
    <row r="13" spans="1:11" x14ac:dyDescent="0.25">
      <c r="A13" s="18">
        <f t="shared" si="0"/>
        <v>1.9000000000000008</v>
      </c>
      <c r="B13" s="1" t="s">
        <v>108</v>
      </c>
      <c r="C13" s="29">
        <f>(('Financial Statements'!B42-'Financial Statements'!B56)/'Financial Statements'!B8)*100</f>
        <v>-4.7110527276784806</v>
      </c>
      <c r="D13" s="29">
        <f>(('Financial Statements'!C42-'Financial Statements'!C56)/'Financial Statements'!C8)*100</f>
        <v>2.5572895737486232</v>
      </c>
      <c r="E13" s="29">
        <f>(('Financial Statements'!D42-'Financial Statements'!D56)/'Financial Statements'!D8)*100</f>
        <v>13.959528623208204</v>
      </c>
      <c r="F13" s="29"/>
      <c r="G13" s="27" t="s">
        <v>162</v>
      </c>
      <c r="H13" s="31" t="s">
        <v>161</v>
      </c>
    </row>
    <row r="14" spans="1:11" x14ac:dyDescent="0.25">
      <c r="A14" s="18"/>
      <c r="B14" s="3" t="s">
        <v>109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F14" s="29"/>
      <c r="G14" s="27" t="s">
        <v>163</v>
      </c>
      <c r="H14" s="31" t="s">
        <v>160</v>
      </c>
    </row>
    <row r="15" spans="1:11" x14ac:dyDescent="0.25">
      <c r="A15" s="18"/>
    </row>
    <row r="16" spans="1:11" x14ac:dyDescent="0.25">
      <c r="A16" s="18">
        <f>+A4+1</f>
        <v>2</v>
      </c>
      <c r="B16" s="17" t="s">
        <v>110</v>
      </c>
    </row>
    <row r="17" spans="1:7" x14ac:dyDescent="0.25">
      <c r="A17" s="18">
        <f>+A16+0.1</f>
        <v>2.1</v>
      </c>
      <c r="B17" s="1" t="s">
        <v>9</v>
      </c>
      <c r="C17" s="29">
        <f>'Financial Statements'!B13/'Financial Statements'!B8</f>
        <v>0.43309630561360085</v>
      </c>
      <c r="D17" s="29">
        <f>'Financial Statements'!C13/'Financial Statements'!C8</f>
        <v>0.41779359625167778</v>
      </c>
      <c r="E17" s="29">
        <f>'Financial Statements'!D13/'Financial Statements'!D8</f>
        <v>0.38233247727810865</v>
      </c>
      <c r="F17" s="29"/>
      <c r="G17" s="27" t="s">
        <v>168</v>
      </c>
    </row>
    <row r="18" spans="1:7" x14ac:dyDescent="0.25">
      <c r="A18" s="18">
        <f>+A17+0.1</f>
        <v>2.2000000000000002</v>
      </c>
      <c r="B18" s="1" t="s">
        <v>111</v>
      </c>
      <c r="C18" s="29">
        <f>(('Financial Statements'!B22+'Financial Statements'!B21+'Financial Statements'!B79+'Financial Statements'!B114)/'Financial Statements'!B8)*100</f>
        <v>33.746525734921185</v>
      </c>
      <c r="D18" s="29">
        <f>(('Financial Statements'!C22+'Financial Statements'!C21+'Financial Statements'!C79+'Financial Statements'!C114)/'Financial Statements'!C8)*100</f>
        <v>33.672027270465833</v>
      </c>
      <c r="E18" s="29">
        <f>(('Financial Statements'!D22+'Financial Statements'!D21+'Financial Statements'!D79+'Financial Statements'!D114)/'Financial Statements'!D8)*100</f>
        <v>29.560861883685774</v>
      </c>
      <c r="F18" s="29"/>
      <c r="G18" s="32" t="s">
        <v>164</v>
      </c>
    </row>
    <row r="19" spans="1:7" x14ac:dyDescent="0.25">
      <c r="A19" s="18"/>
      <c r="B19" s="3" t="s">
        <v>112</v>
      </c>
      <c r="C19" s="33">
        <f>'Financial Statements'!B22+'Financial Statements'!B21+'Financial Statements'!B114+'Financial Statements'!B79</f>
        <v>133072</v>
      </c>
      <c r="D19" s="33">
        <f>'Financial Statements'!C22+'Financial Statements'!C21+'Financial Statements'!C114+'Financial Statements'!C79</f>
        <v>123178</v>
      </c>
      <c r="E19" s="33">
        <f>'Financial Statements'!D22+'Financial Statements'!D21+'Financial Statements'!D114+'Financial Statements'!D79</f>
        <v>81149</v>
      </c>
      <c r="F19" s="33"/>
      <c r="G19" s="32" t="s">
        <v>165</v>
      </c>
    </row>
    <row r="20" spans="1:7" x14ac:dyDescent="0.25">
      <c r="A20" s="18">
        <f>+A18+0.1</f>
        <v>2.3000000000000003</v>
      </c>
      <c r="B20" s="1" t="s">
        <v>113</v>
      </c>
      <c r="C20" s="29">
        <f>(('Financial Statements'!B22+'Financial Statements'!B21+'Financial Statements'!B114)/'Financial Statements'!B8)*100</f>
        <v>30.930595849140818</v>
      </c>
      <c r="D20" s="29">
        <f>(('Financial Statements'!C22+'Financial Statements'!C21+'Financial Statements'!C114)/'Financial Statements'!C8)*100</f>
        <v>30.587424859970969</v>
      </c>
      <c r="E20" s="29">
        <f>(('Financial Statements'!D22+'Financial Statements'!D21+'Financial Statements'!D114)/'Financial Statements'!D8)*100</f>
        <v>25.533395260732565</v>
      </c>
      <c r="F20" s="29"/>
      <c r="G20" s="32" t="s">
        <v>166</v>
      </c>
    </row>
    <row r="21" spans="1:7" x14ac:dyDescent="0.25">
      <c r="A21" s="18"/>
      <c r="B21" s="3" t="s">
        <v>114</v>
      </c>
      <c r="C21" s="33">
        <f>'Financial Statements'!B22+'Financial Statements'!B21+'Financial Statements'!B114</f>
        <v>121968</v>
      </c>
      <c r="D21" s="33">
        <f>'Financial Statements'!C22+'Financial Statements'!C21+'Financial Statements'!C114</f>
        <v>111894</v>
      </c>
      <c r="E21" s="33">
        <f>'Financial Statements'!D22+'Financial Statements'!D21+'Financial Statements'!D114</f>
        <v>70093</v>
      </c>
      <c r="F21" s="33"/>
      <c r="G21" s="27" t="s">
        <v>167</v>
      </c>
    </row>
    <row r="22" spans="1:7" x14ac:dyDescent="0.25">
      <c r="A22" s="18">
        <f>+A20+0.1</f>
        <v>2.4000000000000004</v>
      </c>
      <c r="B22" s="1" t="s">
        <v>115</v>
      </c>
      <c r="C22" s="29">
        <f>'Financial Statements'!B22/'Financial Statements'!B8</f>
        <v>0.25309640705199732</v>
      </c>
      <c r="D22" s="29">
        <f>'Financial Statements'!C22/'Financial Statements'!C8</f>
        <v>0.25881793355694238</v>
      </c>
      <c r="E22" s="29">
        <f>'Financial Statements'!D22/'Financial Statements'!D8</f>
        <v>0.20913611278072236</v>
      </c>
      <c r="F22" s="29"/>
      <c r="G22" s="27" t="s">
        <v>169</v>
      </c>
    </row>
    <row r="23" spans="1:7" x14ac:dyDescent="0.25">
      <c r="A23" s="18"/>
    </row>
    <row r="24" spans="1:7" x14ac:dyDescent="0.25">
      <c r="A24" s="18">
        <f>+A16+1</f>
        <v>3</v>
      </c>
      <c r="B24" s="7" t="s">
        <v>116</v>
      </c>
    </row>
    <row r="25" spans="1:7" x14ac:dyDescent="0.25">
      <c r="A25" s="18">
        <f>+A24+0.1</f>
        <v>3.1</v>
      </c>
      <c r="B25" s="1" t="s">
        <v>117</v>
      </c>
      <c r="C25" s="29">
        <f>'Financial Statements'!B62/'Financial Statements'!B68</f>
        <v>5.9615369434796337</v>
      </c>
      <c r="D25" s="29">
        <f>'Financial Statements'!C62/'Financial Statements'!C68</f>
        <v>4.5635124425423994</v>
      </c>
      <c r="E25" s="29">
        <f>'Financial Statements'!D62/'Financial Statements'!D68</f>
        <v>3.9570394404566951</v>
      </c>
      <c r="F25" s="29"/>
      <c r="G25" s="32" t="s">
        <v>170</v>
      </c>
    </row>
    <row r="26" spans="1:7" x14ac:dyDescent="0.25">
      <c r="A26" s="18">
        <f t="shared" ref="A26:A30" si="1">+A25+0.1</f>
        <v>3.2</v>
      </c>
      <c r="B26" s="1" t="s">
        <v>118</v>
      </c>
      <c r="C26" s="29">
        <f>'Financial Statements'!B62/'Financial Statements'!B48</f>
        <v>0.85635355983614692</v>
      </c>
      <c r="D26" s="29">
        <f>'Financial Statements'!C62/'Financial Statements'!C48</f>
        <v>0.82025743443057308</v>
      </c>
      <c r="E26" s="29">
        <f>'Financial Statements'!D62/'Financial Statements'!D48</f>
        <v>0.79826668477992391</v>
      </c>
      <c r="F26" s="29"/>
      <c r="G26" s="27" t="s">
        <v>171</v>
      </c>
    </row>
    <row r="27" spans="1:7" x14ac:dyDescent="0.25">
      <c r="A27" s="18">
        <f t="shared" si="1"/>
        <v>3.3000000000000003</v>
      </c>
      <c r="B27" s="1" t="s">
        <v>119</v>
      </c>
      <c r="C27" s="29">
        <f>'Financial Statements'!B59/('Financial Statements'!B59+'Financial Statements'!B68)</f>
        <v>0.66135359651409131</v>
      </c>
      <c r="D27" s="29">
        <f>'Financial Statements'!C59/('Financial Statements'!C59+'Financial Statements'!C68)</f>
        <v>0.63361518269878514</v>
      </c>
      <c r="E27" s="29">
        <f>'Financial Statements'!D59/('Financial Statements'!D59+'Financial Statements'!D68)</f>
        <v>0.60160603880345842</v>
      </c>
      <c r="F27" s="29"/>
      <c r="G27" s="32" t="s">
        <v>172</v>
      </c>
    </row>
    <row r="28" spans="1:7" x14ac:dyDescent="0.25">
      <c r="A28" s="18">
        <f t="shared" si="1"/>
        <v>3.4000000000000004</v>
      </c>
      <c r="B28" s="1" t="s">
        <v>120</v>
      </c>
      <c r="C28" s="29">
        <f>'Financial Statements'!B18/'Financial Statements'!B114</f>
        <v>41.68830715532286</v>
      </c>
      <c r="D28" s="29">
        <f>'Financial Statements'!C18/'Financial Statements'!C114</f>
        <v>40.546706363974693</v>
      </c>
      <c r="E28" s="29">
        <f>'Financial Statements'!D18/'Financial Statements'!D114</f>
        <v>22.081279147235175</v>
      </c>
      <c r="F28" s="29"/>
      <c r="G28" s="27" t="s">
        <v>173</v>
      </c>
    </row>
    <row r="29" spans="1:7" x14ac:dyDescent="0.25">
      <c r="A29" s="18">
        <f t="shared" si="1"/>
        <v>3.5000000000000004</v>
      </c>
      <c r="B29" s="1" t="s">
        <v>121</v>
      </c>
      <c r="C29" s="29">
        <f>'Financial Statements'!B18/('Financial Statements'!B114+-'Financial Statements'!B105)</f>
        <v>9.6258059316569948</v>
      </c>
      <c r="D29" s="29">
        <f>'Financial Statements'!C18/('Financial Statements'!C114+-'Financial Statements'!C105)</f>
        <v>9.5260120661012504</v>
      </c>
      <c r="E29" s="29">
        <f>'Financial Statements'!D18/('Financial Statements'!D114+-'Financial Statements'!D105)</f>
        <v>4.2408035314439259</v>
      </c>
      <c r="F29" s="29"/>
      <c r="G29" s="32" t="s">
        <v>174</v>
      </c>
    </row>
    <row r="30" spans="1:7" x14ac:dyDescent="0.25">
      <c r="A30" s="18">
        <f t="shared" si="1"/>
        <v>3.6000000000000005</v>
      </c>
      <c r="B30" s="1" t="s">
        <v>122</v>
      </c>
    </row>
    <row r="31" spans="1:7" x14ac:dyDescent="0.25">
      <c r="A31" s="18"/>
      <c r="B31" s="3" t="s">
        <v>123</v>
      </c>
    </row>
    <row r="32" spans="1:7" x14ac:dyDescent="0.25">
      <c r="A32" s="18"/>
    </row>
    <row r="33" spans="1:8" x14ac:dyDescent="0.25">
      <c r="A33" s="18">
        <f>+A24+1</f>
        <v>4</v>
      </c>
      <c r="B33" s="17" t="s">
        <v>124</v>
      </c>
    </row>
    <row r="34" spans="1:8" x14ac:dyDescent="0.25">
      <c r="A34" s="18">
        <f>+A33+0.1</f>
        <v>4.0999999999999996</v>
      </c>
      <c r="B34" s="1" t="s">
        <v>125</v>
      </c>
      <c r="C34" s="29">
        <f>'Financial Statements'!B8/(('Financial Statements'!B48+'Financial Statements'!C48)/2)</f>
        <v>1.1206368107173357</v>
      </c>
      <c r="D34" s="29">
        <f>'Financial Statements'!C8/(('Financial Statements'!C48+'Financial Statements'!D48)/2)</f>
        <v>1.084078886929722</v>
      </c>
      <c r="E34" s="29">
        <f>'Financial Statements'!D8/(('Financial Statements'!D48+'Financial Statements'!E48)/2)</f>
        <v>1.695123005483377</v>
      </c>
      <c r="F34" s="29"/>
      <c r="G34" s="27" t="s">
        <v>175</v>
      </c>
    </row>
    <row r="35" spans="1:8" x14ac:dyDescent="0.25">
      <c r="A35" s="18">
        <f t="shared" ref="A35:A37" si="2">+A34+0.1</f>
        <v>4.1999999999999993</v>
      </c>
      <c r="B35" s="1" t="s">
        <v>126</v>
      </c>
      <c r="C35" s="29">
        <f>'Financial Statements'!B8/(('Financial Statements'!B47+'Financial Statements'!C47)/2)</f>
        <v>1.8192085182553817</v>
      </c>
      <c r="D35" s="29">
        <f>'Financial Statements'!C8/(('Financial Statements'!C47+'Financial Statements'!D47)/2)</f>
        <v>1.8459710199045771</v>
      </c>
      <c r="E35" s="29">
        <f>'Financial Statements'!D8/(('Financial Statements'!D47+'Financial Statements'!E47)/2)</f>
        <v>3.0472041071180795</v>
      </c>
      <c r="F35" s="29"/>
      <c r="G35" s="27" t="s">
        <v>176</v>
      </c>
    </row>
    <row r="36" spans="1:8" x14ac:dyDescent="0.25">
      <c r="A36" s="18">
        <f t="shared" si="2"/>
        <v>4.2999999999999989</v>
      </c>
      <c r="B36" s="1" t="s">
        <v>127</v>
      </c>
      <c r="C36" s="29">
        <f>'Financial Statements'!B12/(('Financial Statements'!B39+'Financial Statements'!C39)/2)</f>
        <v>38.789866389033492</v>
      </c>
      <c r="D36" s="29">
        <f>'Financial Statements'!C12/(('Financial Statements'!C39+'Financial Statements'!D39)/2)</f>
        <v>40.030260313880277</v>
      </c>
      <c r="E36" s="29">
        <f>'Financial Statements'!D12/(('Financial Statements'!D39+'Financial Statements'!E39)/2)</f>
        <v>83.506032996798822</v>
      </c>
      <c r="F36" s="29"/>
      <c r="G36" s="27" t="s">
        <v>177</v>
      </c>
    </row>
    <row r="37" spans="1:8" x14ac:dyDescent="0.25">
      <c r="A37" s="18">
        <f t="shared" si="2"/>
        <v>4.3999999999999986</v>
      </c>
      <c r="B37" s="1" t="s">
        <v>128</v>
      </c>
      <c r="C37" s="29">
        <f>'Financial Statements'!B18/'Financial Statements'!B48</f>
        <v>0.33858343609587388</v>
      </c>
      <c r="D37" s="29">
        <f>'Financial Statements'!C18/'Financial Statements'!C48</f>
        <v>0.31039424276784749</v>
      </c>
      <c r="E37" s="29">
        <f>'Financial Statements'!D18/'Financial Statements'!D48</f>
        <v>0.20466334041397027</v>
      </c>
      <c r="F37" s="29"/>
      <c r="G37" s="27" t="s">
        <v>178</v>
      </c>
    </row>
    <row r="38" spans="1:8" x14ac:dyDescent="0.25">
      <c r="A38" s="18"/>
    </row>
    <row r="39" spans="1:8" x14ac:dyDescent="0.25">
      <c r="A39" s="18">
        <f>+A33+1</f>
        <v>5</v>
      </c>
      <c r="B39" s="17" t="s">
        <v>129</v>
      </c>
    </row>
    <row r="40" spans="1:8" x14ac:dyDescent="0.25">
      <c r="A40" s="18">
        <f>+A39+0.1</f>
        <v>5.0999999999999996</v>
      </c>
      <c r="B40" s="1" t="s">
        <v>130</v>
      </c>
    </row>
    <row r="41" spans="1:8" x14ac:dyDescent="0.25">
      <c r="A41" s="18">
        <f t="shared" ref="A41:A44" si="3">+A40+0.1</f>
        <v>5.1999999999999993</v>
      </c>
      <c r="B41" s="3" t="s">
        <v>131</v>
      </c>
      <c r="C41" s="29">
        <f>('Financial Statements'!B22/'Financial Statements'!B27)*1000</f>
        <v>6.1546144376377772</v>
      </c>
      <c r="D41" s="29">
        <f>('Financial Statements'!C22/'Financial Statements'!C27)*1000</f>
        <v>5.6690292811230192</v>
      </c>
      <c r="E41" s="29">
        <f>('Financial Statements'!D22/'Financial Statements'!D27)*1000</f>
        <v>3.3085872682177895</v>
      </c>
      <c r="F41" s="29"/>
      <c r="G41" t="s">
        <v>179</v>
      </c>
    </row>
    <row r="42" spans="1:8" x14ac:dyDescent="0.25">
      <c r="A42" s="18">
        <f t="shared" si="3"/>
        <v>5.2999999999999989</v>
      </c>
      <c r="B42" s="1" t="s">
        <v>132</v>
      </c>
      <c r="G42" t="s">
        <v>180</v>
      </c>
    </row>
    <row r="43" spans="1:8" x14ac:dyDescent="0.25">
      <c r="A43" s="18">
        <f t="shared" si="3"/>
        <v>5.3999999999999986</v>
      </c>
      <c r="B43" s="3" t="s">
        <v>133</v>
      </c>
      <c r="C43" s="29">
        <f>('Financial Statements'!B68/'Financial Statements'!B27)*1000</f>
        <v>3.124822127430853</v>
      </c>
      <c r="D43" s="29">
        <f>('Financial Statements'!C68/'Financial Statements'!C27)*1000</f>
        <v>3.7775565837141025</v>
      </c>
      <c r="E43" s="29">
        <f>('Financial Statements'!D68/'Financial Statements'!D27)*1000</f>
        <v>3.765476712094932</v>
      </c>
      <c r="F43" s="29"/>
      <c r="G43" t="s">
        <v>182</v>
      </c>
    </row>
    <row r="44" spans="1:8" x14ac:dyDescent="0.25">
      <c r="A44" s="18">
        <f t="shared" si="3"/>
        <v>5.4999999999999982</v>
      </c>
      <c r="B44" s="1" t="s">
        <v>134</v>
      </c>
      <c r="C44" s="29">
        <f>-'Financial Statements'!B102/'Financial Statements'!B22</f>
        <v>0.14870294480125848</v>
      </c>
      <c r="D44" s="29">
        <f>-'Financial Statements'!C102/'Financial Statements'!C22</f>
        <v>0.15279890156316012</v>
      </c>
      <c r="E44" s="29">
        <f>-'Financial Statements'!D102/'Financial Statements'!D22</f>
        <v>0.24526658654264863</v>
      </c>
      <c r="F44" s="29"/>
      <c r="G44" t="s">
        <v>181</v>
      </c>
    </row>
    <row r="45" spans="1:8" x14ac:dyDescent="0.25">
      <c r="A45" s="18"/>
      <c r="B45" s="3" t="s">
        <v>135</v>
      </c>
      <c r="C45" s="29">
        <f>(-'Financial Statements'!B102/'Financial Statements'!B27)*1000</f>
        <v>0.91520929099307891</v>
      </c>
      <c r="D45" s="29">
        <f>(-'Financial Statements'!C102/'Financial Statements'!C27)*1000</f>
        <v>0.86622144708498849</v>
      </c>
      <c r="E45" s="29">
        <f>(-'Financial Statements'!D102/'Financial Statements'!D27)*1000</f>
        <v>0.81148590555424382</v>
      </c>
      <c r="F45" s="29"/>
      <c r="G45" t="s">
        <v>183</v>
      </c>
    </row>
    <row r="46" spans="1:8" x14ac:dyDescent="0.25">
      <c r="A46" s="18">
        <f>+A44+0.1</f>
        <v>5.5999999999999979</v>
      </c>
      <c r="B46" s="1" t="s">
        <v>136</v>
      </c>
    </row>
    <row r="47" spans="1:8" x14ac:dyDescent="0.25">
      <c r="A47" s="18">
        <f t="shared" ref="A47:A50" si="4">+A45+0.1</f>
        <v>0.1</v>
      </c>
      <c r="B47" s="1" t="s">
        <v>137</v>
      </c>
      <c r="C47" s="29">
        <f>'Financial Statements'!B22/'Financial Statements'!B68</f>
        <v>1.9695887275023682</v>
      </c>
      <c r="D47" s="29">
        <f>'Financial Statements'!C22/'Financial Statements'!C68</f>
        <v>1.5007132667617689</v>
      </c>
      <c r="E47" s="29">
        <f>'Financial Statements'!D22/'Financial Statements'!D68</f>
        <v>0.87866358530127486</v>
      </c>
      <c r="F47" s="29"/>
      <c r="G47" t="s">
        <v>184</v>
      </c>
    </row>
    <row r="48" spans="1:8" x14ac:dyDescent="0.25">
      <c r="A48" s="18">
        <f t="shared" si="4"/>
        <v>5.6999999999999975</v>
      </c>
      <c r="B48" s="1" t="s">
        <v>138</v>
      </c>
      <c r="C48" s="29">
        <f>'Financial Statements'!B18/('Financial Statements'!B48-'Financial Statements'!B56)</f>
        <v>0.60087134570590572</v>
      </c>
      <c r="D48" s="29">
        <f>'Financial Statements'!C18/('Financial Statements'!C48-'Financial Statements'!C56)</f>
        <v>0.48309913489209433</v>
      </c>
      <c r="E48" s="29">
        <f>'Financial Statements'!D18/('Financial Statements'!D48-'Financial Statements'!D56)</f>
        <v>0.30338312829525482</v>
      </c>
      <c r="F48" s="29"/>
      <c r="G48" s="27" t="s">
        <v>186</v>
      </c>
      <c r="H48" t="s">
        <v>187</v>
      </c>
    </row>
    <row r="49" spans="1:7" x14ac:dyDescent="0.25">
      <c r="A49" s="18">
        <f t="shared" si="4"/>
        <v>0.2</v>
      </c>
      <c r="B49" s="1" t="s">
        <v>128</v>
      </c>
      <c r="C49" s="29">
        <f>'Financial Statements'!B22/'Financial Statements'!B48</f>
        <v>0.28292440929256851</v>
      </c>
      <c r="D49" s="29">
        <f>'Financial Statements'!C22/'Financial Statements'!C48</f>
        <v>0.26974205275183616</v>
      </c>
      <c r="E49" s="29">
        <f>'Financial Statements'!D22/'Financial Statements'!D48</f>
        <v>0.1772557180259843</v>
      </c>
      <c r="F49" s="29"/>
      <c r="G49" t="s">
        <v>185</v>
      </c>
    </row>
    <row r="50" spans="1:7" x14ac:dyDescent="0.25">
      <c r="A50" s="18">
        <f t="shared" si="4"/>
        <v>5.7999999999999972</v>
      </c>
      <c r="B50" s="1" t="s">
        <v>139</v>
      </c>
    </row>
    <row r="51" spans="1:7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cg</cp:lastModifiedBy>
  <dcterms:created xsi:type="dcterms:W3CDTF">2020-05-18T16:32:37Z</dcterms:created>
  <dcterms:modified xsi:type="dcterms:W3CDTF">2024-10-31T11:38:45Z</dcterms:modified>
</cp:coreProperties>
</file>