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th\Desktop\Quill mentorship\"/>
    </mc:Choice>
  </mc:AlternateContent>
  <bookViews>
    <workbookView xWindow="0" yWindow="0" windowWidth="23040" windowHeight="9252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1" i="3" l="1"/>
  <c r="D91" i="3"/>
  <c r="C91" i="3"/>
  <c r="C90" i="3"/>
  <c r="D90" i="3"/>
  <c r="E90" i="3"/>
  <c r="C82" i="3"/>
  <c r="E86" i="3"/>
  <c r="E85" i="3"/>
  <c r="E84" i="3"/>
  <c r="E83" i="3"/>
  <c r="E82" i="3"/>
  <c r="E80" i="3"/>
  <c r="E79" i="3"/>
  <c r="D86" i="3"/>
  <c r="D85" i="3"/>
  <c r="D84" i="3"/>
  <c r="D83" i="3"/>
  <c r="D82" i="3"/>
  <c r="D80" i="3"/>
  <c r="D79" i="3"/>
  <c r="C86" i="3"/>
  <c r="C85" i="3"/>
  <c r="C84" i="3"/>
  <c r="C83" i="3"/>
  <c r="C80" i="3"/>
  <c r="C79" i="3"/>
  <c r="E89" i="3"/>
  <c r="D89" i="3"/>
  <c r="C89" i="3"/>
  <c r="B22" i="1"/>
  <c r="B18" i="1"/>
  <c r="B13" i="1"/>
  <c r="B83" i="3"/>
  <c r="B84" i="3"/>
  <c r="B82" i="3"/>
  <c r="D61" i="3"/>
  <c r="C61" i="3"/>
  <c r="B17" i="1"/>
  <c r="B12" i="1"/>
  <c r="B8" i="1"/>
  <c r="D78" i="3"/>
  <c r="E78" i="3"/>
  <c r="C78" i="3"/>
  <c r="C74" i="3"/>
  <c r="D74" i="3"/>
  <c r="D73" i="3"/>
  <c r="C73" i="3"/>
  <c r="C72" i="3"/>
  <c r="D72" i="3"/>
  <c r="D71" i="3"/>
  <c r="C71" i="3"/>
  <c r="D70" i="3"/>
  <c r="C70" i="3"/>
  <c r="C69" i="3"/>
  <c r="D69" i="3"/>
  <c r="D68" i="3"/>
  <c r="C68" i="3"/>
  <c r="D67" i="3"/>
  <c r="C67" i="3"/>
  <c r="B74" i="3"/>
  <c r="B73" i="3"/>
  <c r="B72" i="3"/>
  <c r="B71" i="3"/>
  <c r="B70" i="3"/>
  <c r="B69" i="3"/>
  <c r="B68" i="3"/>
  <c r="B67" i="3"/>
  <c r="D65" i="3"/>
  <c r="D64" i="3"/>
  <c r="D63" i="3"/>
  <c r="C64" i="3"/>
  <c r="C65" i="3"/>
  <c r="C63" i="3"/>
  <c r="B65" i="3"/>
  <c r="B64" i="3"/>
  <c r="B63" i="3"/>
  <c r="B20" i="1"/>
  <c r="B58" i="3"/>
  <c r="B91" i="1"/>
  <c r="C31" i="3" s="1"/>
  <c r="C30" i="3" s="1"/>
  <c r="C58" i="3"/>
  <c r="D58" i="3"/>
  <c r="C59" i="3"/>
  <c r="D59" i="3"/>
  <c r="B59" i="3"/>
  <c r="D60" i="3"/>
  <c r="C60" i="3"/>
  <c r="C51" i="3"/>
  <c r="D47" i="3"/>
  <c r="E47" i="3"/>
  <c r="C47" i="3"/>
  <c r="D45" i="3"/>
  <c r="D46" i="3" s="1"/>
  <c r="E45" i="3"/>
  <c r="E46" i="3" s="1"/>
  <c r="C45" i="3"/>
  <c r="C46" i="3" s="1"/>
  <c r="D44" i="3"/>
  <c r="E44" i="3"/>
  <c r="C44" i="3"/>
  <c r="D43" i="3"/>
  <c r="D42" i="3" s="1"/>
  <c r="E43" i="3"/>
  <c r="C43" i="3"/>
  <c r="C42" i="3" s="1"/>
  <c r="E42" i="3"/>
  <c r="D41" i="3"/>
  <c r="D40" i="3" s="1"/>
  <c r="E41" i="3"/>
  <c r="C41" i="3"/>
  <c r="C40" i="3" s="1"/>
  <c r="D37" i="3"/>
  <c r="E37" i="3"/>
  <c r="C37" i="3"/>
  <c r="E36" i="3"/>
  <c r="D36" i="3"/>
  <c r="C36" i="3"/>
  <c r="D17" i="3"/>
  <c r="E17" i="3"/>
  <c r="D19" i="3"/>
  <c r="D18" i="3" s="1"/>
  <c r="E19" i="3"/>
  <c r="E18" i="3" s="1"/>
  <c r="D20" i="3"/>
  <c r="E20" i="3"/>
  <c r="D21" i="3"/>
  <c r="D28" i="3" s="1"/>
  <c r="E21" i="3"/>
  <c r="E28" i="3" s="1"/>
  <c r="D22" i="3"/>
  <c r="E22" i="3"/>
  <c r="C22" i="3"/>
  <c r="C20" i="3"/>
  <c r="C17" i="3"/>
  <c r="D13" i="3"/>
  <c r="E13" i="3"/>
  <c r="C13" i="3"/>
  <c r="C49" i="3"/>
  <c r="C48" i="3"/>
  <c r="D31" i="3"/>
  <c r="D30" i="3" s="1"/>
  <c r="E31" i="3"/>
  <c r="E30" i="3" s="1"/>
  <c r="E29" i="3"/>
  <c r="D29" i="3"/>
  <c r="D27" i="3"/>
  <c r="E27" i="3"/>
  <c r="C27" i="3"/>
  <c r="D26" i="3"/>
  <c r="E26" i="3"/>
  <c r="C26" i="3"/>
  <c r="D25" i="3"/>
  <c r="E25" i="3"/>
  <c r="C25" i="3"/>
  <c r="C21" i="3"/>
  <c r="C28" i="3" s="1"/>
  <c r="C19" i="3"/>
  <c r="C18" i="3" s="1"/>
  <c r="D11" i="3"/>
  <c r="E11" i="3"/>
  <c r="C11" i="3"/>
  <c r="D10" i="3"/>
  <c r="E10" i="3"/>
  <c r="C10" i="3"/>
  <c r="D9" i="3"/>
  <c r="D12" i="3" s="1"/>
  <c r="E9" i="3"/>
  <c r="C9" i="3"/>
  <c r="D8" i="3"/>
  <c r="E8" i="3"/>
  <c r="C8" i="3"/>
  <c r="D5" i="3"/>
  <c r="E5" i="3"/>
  <c r="D6" i="3"/>
  <c r="E6" i="3"/>
  <c r="D7" i="3"/>
  <c r="E7" i="3"/>
  <c r="D14" i="3"/>
  <c r="E14" i="3"/>
  <c r="D34" i="3"/>
  <c r="E34" i="3"/>
  <c r="D35" i="3"/>
  <c r="E35" i="3"/>
  <c r="D48" i="3"/>
  <c r="E48" i="3"/>
  <c r="D49" i="3"/>
  <c r="E49" i="3"/>
  <c r="D51" i="3"/>
  <c r="E51" i="3"/>
  <c r="C35" i="3"/>
  <c r="C34" i="3"/>
  <c r="C14" i="3"/>
  <c r="C7" i="3"/>
  <c r="C6" i="3"/>
  <c r="C5" i="3"/>
  <c r="C29" i="3" l="1"/>
  <c r="C12" i="3"/>
  <c r="E12" i="3"/>
  <c r="E40" i="3"/>
  <c r="E50" i="3"/>
  <c r="D50" i="3"/>
  <c r="C50" i="3"/>
  <c r="D109" i="1"/>
  <c r="B109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D13" i="1"/>
  <c r="D18" i="1" s="1"/>
  <c r="D20" i="1" s="1"/>
  <c r="D22" i="1" s="1"/>
  <c r="D76" i="1" s="1"/>
  <c r="D91" i="1" s="1"/>
  <c r="D12" i="1"/>
  <c r="C12" i="1"/>
  <c r="D8" i="1"/>
  <c r="C8" i="1"/>
  <c r="C13" i="1" s="1"/>
  <c r="C18" i="1" s="1"/>
  <c r="C20" i="1" s="1"/>
  <c r="C22" i="1" s="1"/>
  <c r="C76" i="1" s="1"/>
  <c r="C91" i="1" s="1"/>
  <c r="C109" i="1" s="1"/>
  <c r="E3" i="3"/>
  <c r="D3" i="3"/>
  <c r="C3" i="3"/>
  <c r="D33" i="1"/>
  <c r="D73" i="1" s="1"/>
  <c r="C33" i="1"/>
  <c r="C73" i="1" s="1"/>
  <c r="B33" i="1"/>
  <c r="B73" i="1" s="1"/>
  <c r="B76" i="1" l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<sst xmlns="http://schemas.openxmlformats.org/spreadsheetml/2006/main" count="196" uniqueCount="162">
  <si>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</si>
  <si>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</si>
  <si>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</si>
  <si>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</si>
  <si>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</si>
  <si>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</si>
  <si>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</si>
  <si>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</si>
  <si>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</si>
  <si>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</si>
  <si>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</si>
  <si>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</si>
  <si>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</si>
  <si>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</si>
  <si>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</si>
  <si>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</si>
  <si>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</si>
  <si>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</si>
  <si>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</si>
  <si>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</si>
  <si>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</si>
  <si>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</si>
  <si>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</si>
  <si>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</si>
  <si>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</si>
  <si>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</si>
  <si>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</si>
  <si>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</si>
  <si>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</si>
  <si>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</si>
  <si>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</si>
  <si>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</si>
  <si>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</si>
  <si>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</si>
  <si>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</si>
  <si>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</si>
  <si>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</si>
  <si>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</si>
  <si>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</si>
  <si>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</si>
  <si>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</si>
  <si>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</si>
  <si>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</si>
  <si>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</si>
  <si>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</si>
  <si>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</si>
  <si>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</si>
  <si>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</si>
  <si>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</si>
  <si>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</si>
  <si>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</si>
  <si>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</si>
  <si>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</si>
  <si>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</si>
  <si>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</si>
  <si>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</si>
  <si>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</si>
  <si>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</si>
  <si>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</si>
  <si>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</si>
  <si>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</si>
  <si>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</si>
  <si>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</si>
  <si>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</si>
  <si>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</si>
  <si>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</si>
  <si>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</si>
  <si>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</si>
  <si>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</si>
  <si>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</si>
  <si>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</si>
  <si>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</si>
  <si>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</si>
  <si>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</si>
  <si>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</si>
  <si>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</si>
  <si>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</si>
  <si>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</si>
  <si>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</si>
  <si>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</si>
  <si>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</si>
  <si>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</si>
  <si>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</si>
  <si>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</si>
  <si>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</si>
  <si>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</si>
  <si>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</si>
  <si>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</si>
  <si>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</si>
  <si>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</si>
  <si>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</si>
  <si>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</si>
  <si>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</si>
  <si>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</si>
  <si>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</si>
  <si>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</si>
  <si>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</si>
  <si>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</si>
  <si>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</si>
  <si>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</si>
  <si>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</si>
  <si>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</si>
  <si>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</si>
  <si>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</si>
  <si>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</si>
  <si>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</si>
  <si>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</si>
  <si>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</si>
  <si>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</si>
  <si>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</si>
  <si>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</si>
  <si>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</si>
  <si>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</si>
  <si>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</si>
  <si>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</si>
  <si>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</si>
  <si>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</si>
  <si>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</si>
  <si>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</si>
  <si>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</si>
  <si>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</si>
  <si>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</si>
  <si>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</si>
  <si>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</si>
  <si>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</si>
  <si>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</si>
  <si>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</si>
  <si>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</si>
  <si>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</si>
  <si>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</si>
  <si>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</si>
  <si>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</si>
  <si>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</si>
  <si>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</si>
  <si>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</si>
  <si>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</si>
  <si>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</si>
  <si>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</si>
  <si>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</si>
  <si>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</si>
  <si>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</si>
  <si>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</si>
  <si>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</si>
  <si>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</si>
  <si>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</si>
  <si>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</si>
  <si>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</si>
  <si>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</si>
  <si>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</si>
  <si>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</si>
  <si>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price per share 7/11</t>
  </si>
  <si>
    <t>OK</t>
  </si>
  <si>
    <t>Growth rates (2022 - 2020)</t>
  </si>
  <si>
    <t>Margins/ as a % of net sales</t>
  </si>
  <si>
    <t>Additional</t>
  </si>
  <si>
    <t>Total Net Sales</t>
  </si>
  <si>
    <t>Sales</t>
  </si>
  <si>
    <t>2022-2021</t>
  </si>
  <si>
    <t>2021-2020</t>
  </si>
  <si>
    <t>Operating Expenses</t>
  </si>
  <si>
    <t>Main Balance Sheet Line Items</t>
  </si>
  <si>
    <t>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</si>
</sst>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70" formatCode="0.00000"/>
    <numFmt numFmtId="172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indent="1"/>
    </xf>
    <xf numFmtId="0" fontId="2" fillId="0" borderId="1" xfId="0" applyFont="1" applyFill="1" applyBorder="1"/>
    <xf numFmtId="0" fontId="0" fillId="0" borderId="0" xfId="0" applyFill="1"/>
    <xf numFmtId="0" fontId="2" fillId="3" borderId="0" xfId="0" applyFont="1" applyFill="1" applyAlignment="1"/>
    <xf numFmtId="0" fontId="2" fillId="0" borderId="0" xfId="0" applyFont="1" applyFill="1"/>
    <xf numFmtId="165" fontId="0" fillId="0" borderId="0" xfId="0" applyNumberFormat="1"/>
    <xf numFmtId="0" fontId="8" fillId="0" borderId="0" xfId="0" applyFont="1" applyAlignment="1">
      <alignment horizontal="left" indent="1"/>
    </xf>
    <xf numFmtId="0" fontId="8" fillId="0" borderId="0" xfId="0" applyFont="1"/>
    <xf numFmtId="2" fontId="0" fillId="0" borderId="0" xfId="0" applyNumberFormat="1"/>
    <xf numFmtId="2" fontId="0" fillId="0" borderId="0" xfId="0" applyNumberFormat="1" applyFill="1"/>
    <xf numFmtId="170" fontId="0" fillId="0" borderId="0" xfId="0" applyNumberFormat="1" applyFill="1"/>
    <xf numFmtId="172" fontId="0" fillId="0" borderId="0" xfId="0" applyNumberFormat="1" applyFill="1"/>
    <xf numFmtId="0" fontId="2" fillId="4" borderId="0" xfId="0" applyFont="1" applyFill="1"/>
    <xf numFmtId="10" fontId="0" fillId="0" borderId="0" xfId="0" applyNumberFormat="1"/>
    <xf numFmtId="0" fontId="2" fillId="0" borderId="0" xfId="0" applyFont="1" applyAlignment="1">
      <alignment horizontal="right"/>
    </xf>
    <xf numFmtId="10" fontId="0" fillId="0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zoomScale="115" zoomScaleNormal="115" workbookViewId="0">
      <selection activeCell="B24" sqref="B24"/>
    </sheetView>
  </sheetViews>
  <sheetFormatPr defaultRowHeight="14.4" x14ac:dyDescent="0.3"/>
  <cols>
    <col min="1" max="1" width="104.5546875" customWidth="1"/>
  </cols>
  <sheetData>
    <row r="1" spans="1:2" ht="23.4" x14ac:dyDescent="0.45">
      <c r="A1" s="5" t="s">
        <v>87</v>
      </c>
    </row>
    <row r="3" spans="1:2" x14ac:dyDescent="0.3">
      <c r="A3" s="7" t="s">
        <v>141</v>
      </c>
    </row>
    <row r="4" spans="1:2" x14ac:dyDescent="0.3">
      <c r="A4" s="16" t="s">
        <v>88</v>
      </c>
    </row>
    <row r="5" spans="1:2" x14ac:dyDescent="0.3">
      <c r="A5" s="7" t="s">
        <v>97</v>
      </c>
      <c r="B5" s="37" t="s">
        <v>151</v>
      </c>
    </row>
    <row r="6" spans="1:2" x14ac:dyDescent="0.3">
      <c r="A6" s="1" t="s">
        <v>148</v>
      </c>
    </row>
    <row r="7" spans="1:2" x14ac:dyDescent="0.3">
      <c r="A7" s="1"/>
    </row>
    <row r="8" spans="1:2" x14ac:dyDescent="0.3">
      <c r="A8" s="17" t="s">
        <v>149</v>
      </c>
      <c r="B8" s="37" t="s">
        <v>151</v>
      </c>
    </row>
    <row r="9" spans="1:2" x14ac:dyDescent="0.3">
      <c r="A9" s="1" t="s">
        <v>145</v>
      </c>
    </row>
    <row r="10" spans="1:2" x14ac:dyDescent="0.3">
      <c r="A10" s="1" t="s">
        <v>89</v>
      </c>
    </row>
    <row r="11" spans="1:2" x14ac:dyDescent="0.3">
      <c r="A11" s="1" t="s">
        <v>90</v>
      </c>
    </row>
    <row r="12" spans="1:2" x14ac:dyDescent="0.3">
      <c r="A12" s="1" t="s">
        <v>91</v>
      </c>
    </row>
    <row r="13" spans="1:2" x14ac:dyDescent="0.3">
      <c r="A13" s="1"/>
    </row>
    <row r="14" spans="1:2" x14ac:dyDescent="0.3">
      <c r="A14" s="17" t="s">
        <v>92</v>
      </c>
      <c r="B14" s="37" t="s">
        <v>151</v>
      </c>
    </row>
    <row r="15" spans="1:2" x14ac:dyDescent="0.3">
      <c r="A15" s="1" t="s">
        <v>146</v>
      </c>
    </row>
    <row r="16" spans="1:2" x14ac:dyDescent="0.3">
      <c r="A16" s="1" t="s">
        <v>89</v>
      </c>
    </row>
    <row r="17" spans="1:2" x14ac:dyDescent="0.3">
      <c r="A17" s="1" t="s">
        <v>90</v>
      </c>
    </row>
    <row r="18" spans="1:2" x14ac:dyDescent="0.3">
      <c r="A18" s="1" t="s">
        <v>14</v>
      </c>
    </row>
    <row r="19" spans="1:2" x14ac:dyDescent="0.3">
      <c r="A19" s="1" t="s">
        <v>93</v>
      </c>
    </row>
    <row r="20" spans="1:2" x14ac:dyDescent="0.3">
      <c r="A20" s="1"/>
    </row>
    <row r="21" spans="1:2" x14ac:dyDescent="0.3">
      <c r="A21" s="17" t="s">
        <v>98</v>
      </c>
      <c r="B21" s="37" t="s">
        <v>151</v>
      </c>
    </row>
    <row r="22" spans="1:2" x14ac:dyDescent="0.3">
      <c r="A22" s="1" t="s">
        <v>94</v>
      </c>
    </row>
    <row r="23" spans="1:2" x14ac:dyDescent="0.3">
      <c r="A23" s="1" t="s">
        <v>95</v>
      </c>
    </row>
    <row r="24" spans="1:2" x14ac:dyDescent="0.3">
      <c r="A24" s="1" t="s">
        <v>96</v>
      </c>
    </row>
    <row r="25" spans="1:2" x14ac:dyDescent="0.3">
      <c r="A25" s="1"/>
    </row>
    <row r="26" spans="1:2" x14ac:dyDescent="0.3">
      <c r="A26" s="17" t="s">
        <v>144</v>
      </c>
    </row>
    <row r="27" spans="1:2" x14ac:dyDescent="0.3">
      <c r="A27" s="16" t="s">
        <v>143</v>
      </c>
    </row>
    <row r="29" spans="1:2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28" workbookViewId="0">
      <selection activeCell="A96" sqref="A9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8" t="s">
        <v>1</v>
      </c>
      <c r="B2" s="28"/>
      <c r="C2" s="28"/>
      <c r="D2" s="28"/>
    </row>
    <row r="3" spans="1:10" x14ac:dyDescent="0.3">
      <c r="B3" s="24" t="s">
        <v>23</v>
      </c>
      <c r="C3" s="24"/>
      <c r="D3" s="2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8" t="s">
        <v>24</v>
      </c>
      <c r="B31" s="28"/>
      <c r="C31" s="28"/>
      <c r="D31" s="28"/>
    </row>
    <row r="32" spans="1:4" x14ac:dyDescent="0.3">
      <c r="B32" s="24" t="s">
        <v>142</v>
      </c>
      <c r="C32" s="24"/>
      <c r="D32" s="24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25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25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25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25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25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26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s="27" t="s">
        <v>51</v>
      </c>
      <c r="B57" s="12"/>
      <c r="C57" s="12"/>
      <c r="D57" s="12"/>
    </row>
    <row r="58" spans="1:4" x14ac:dyDescent="0.3">
      <c r="A58" s="25" t="s">
        <v>37</v>
      </c>
      <c r="B58" s="12"/>
      <c r="C58" s="12"/>
      <c r="D58" s="12"/>
    </row>
    <row r="59" spans="1:4" x14ac:dyDescent="0.3">
      <c r="A59" s="25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25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8" t="s">
        <v>55</v>
      </c>
      <c r="B71" s="28"/>
      <c r="C71" s="28"/>
      <c r="D71" s="28"/>
    </row>
    <row r="72" spans="1:4" x14ac:dyDescent="0.3">
      <c r="B72" s="24" t="s">
        <v>23</v>
      </c>
      <c r="C72" s="24"/>
      <c r="D72" s="24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25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25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26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29" t="s">
        <v>64</v>
      </c>
      <c r="B92" s="12"/>
      <c r="C92" s="12"/>
      <c r="D92" s="12"/>
    </row>
    <row r="93" spans="1:4" x14ac:dyDescent="0.3">
      <c r="A93" s="25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25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25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25" t="s">
        <v>68</v>
      </c>
      <c r="B96" s="12">
        <v>-10708</v>
      </c>
      <c r="C96" s="12">
        <v>-11085</v>
      </c>
      <c r="D96" s="12">
        <v>-7309</v>
      </c>
    </row>
    <row r="97" spans="1:6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6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6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6" x14ac:dyDescent="0.3">
      <c r="A100" s="7" t="s">
        <v>71</v>
      </c>
      <c r="B100" s="12"/>
      <c r="C100" s="12"/>
      <c r="D100" s="12"/>
    </row>
    <row r="101" spans="1:6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6" x14ac:dyDescent="0.3">
      <c r="A102" s="25" t="s">
        <v>72</v>
      </c>
      <c r="B102" s="12">
        <v>-14841</v>
      </c>
      <c r="C102" s="12">
        <v>-14467</v>
      </c>
      <c r="D102" s="12">
        <v>-14081</v>
      </c>
    </row>
    <row r="103" spans="1:6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6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6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6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6" x14ac:dyDescent="0.3">
      <c r="A107" s="1" t="s">
        <v>61</v>
      </c>
      <c r="B107" s="12">
        <v>-160</v>
      </c>
      <c r="C107" s="12">
        <v>976</v>
      </c>
      <c r="D107" s="12">
        <v>754</v>
      </c>
      <c r="F107" s="30"/>
    </row>
    <row r="108" spans="1:6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6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6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6" ht="15" thickTop="1" x14ac:dyDescent="0.3">
      <c r="B111" s="12"/>
      <c r="C111" s="12"/>
      <c r="D111" s="12"/>
    </row>
    <row r="112" spans="1:6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3">
    <mergeCell ref="B3:D3"/>
    <mergeCell ref="B32:D32"/>
    <mergeCell ref="B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64" workbookViewId="0">
      <selection activeCell="D87" sqref="D87"/>
    </sheetView>
  </sheetViews>
  <sheetFormatPr defaultRowHeight="14.4" x14ac:dyDescent="0.3"/>
  <cols>
    <col min="1" max="1" width="4.6640625" customWidth="1"/>
    <col min="2" max="2" width="44.88671875" customWidth="1"/>
    <col min="3" max="5" width="12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4" t="s">
        <v>23</v>
      </c>
      <c r="D2" s="24"/>
      <c r="E2" s="2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3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33">
        <f>('Financial Statements'!B42-'Financial Statements'!B39)/'Financial Statements'!B56</f>
        <v>0.84723539114961488</v>
      </c>
      <c r="D6" s="33">
        <f>('Financial Statements'!C42-'Financial Statements'!C39)/'Financial Statements'!C56</f>
        <v>1.0221149018576519</v>
      </c>
      <c r="E6" s="33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33">
        <f>'Financial Statements'!B36/'Financial Statements'!B56</f>
        <v>0.15356340351469652</v>
      </c>
      <c r="D7" s="33">
        <f>'Financial Statements'!C36/'Financial Statements'!C56</f>
        <v>0.27844853005634318</v>
      </c>
      <c r="E7" s="33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34">
        <f>('Financial Statements'!B42-'Financial Statements'!B39)/('Financial Statements'!B17/365)</f>
        <v>927.40354464894335</v>
      </c>
      <c r="D8" s="34">
        <f>('Financial Statements'!C42-'Financial Statements'!C39)/('Financial Statements'!C17/365)</f>
        <v>1066.6812495727663</v>
      </c>
      <c r="E8" s="34">
        <f>('Financial Statements'!D42-'Financial Statements'!D39)/('Financial Statements'!D17/365)</f>
        <v>1318.2212682321299</v>
      </c>
    </row>
    <row r="9" spans="1:10" x14ac:dyDescent="0.3">
      <c r="A9" s="18">
        <f t="shared" si="0"/>
        <v>1.5000000000000004</v>
      </c>
      <c r="B9" s="1" t="s">
        <v>104</v>
      </c>
      <c r="C9" s="34">
        <f>('Financial Statements'!B39/'Financial Statements'!B12)*365</f>
        <v>8.0756980666171607</v>
      </c>
      <c r="D9" s="34">
        <f>('Financial Statements'!C39/'Financial Statements'!C12)*365</f>
        <v>11.27659274770989</v>
      </c>
      <c r="E9" s="34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34">
        <f>('Financial Statements'!B51/'Financial Statements'!B12)*365</f>
        <v>104.68527730310539</v>
      </c>
      <c r="D10" s="34">
        <f>('Financial Statements'!C51/'Financial Statements'!C12)*365</f>
        <v>93.851071222315596</v>
      </c>
      <c r="E10" s="34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34">
        <f>('Financial Statements'!B38/'Financial Statements'!B8)*365</f>
        <v>26.087825363656648</v>
      </c>
      <c r="D11" s="34">
        <f>('Financial Statements'!C38/'Financial Statements'!C8)*365</f>
        <v>26.219311841713207</v>
      </c>
      <c r="E11" s="34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34">
        <f>C9+C11-C10</f>
        <v>-70.521753872831582</v>
      </c>
      <c r="D12" s="34">
        <f t="shared" ref="D12:E12" si="1">D9+D11-D10</f>
        <v>-56.355166632892498</v>
      </c>
      <c r="E12" s="34">
        <f t="shared" si="1"/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33">
        <f>(('Financial Statements'!B42-'Financial Statements'!B56)/'Financial Statements'!B8)</f>
        <v>-4.711052727678481E-2</v>
      </c>
      <c r="D13" s="33">
        <f>(('Financial Statements'!C42-'Financial Statements'!C56)/'Financial Statements'!C8)</f>
        <v>2.557289573748623E-2</v>
      </c>
      <c r="E13" s="33">
        <f>(('Financial Statements'!D42-'Financial Statements'!D56)/'Financial Statements'!D8)</f>
        <v>0.13959528623208203</v>
      </c>
    </row>
    <row r="14" spans="1:10" x14ac:dyDescent="0.3">
      <c r="A14" s="18"/>
      <c r="B14" s="3" t="s">
        <v>109</v>
      </c>
      <c r="C14" s="33">
        <f>'Financial Statements'!B42-'Financial Statements'!B56</f>
        <v>-18577</v>
      </c>
      <c r="D14" s="33">
        <f>'Financial Statements'!C42-'Financial Statements'!C56</f>
        <v>9355</v>
      </c>
      <c r="E14" s="33">
        <f>'Financial Statements'!D42-'Financial Statements'!D56</f>
        <v>38321</v>
      </c>
    </row>
    <row r="15" spans="1:10" x14ac:dyDescent="0.3">
      <c r="A15" s="18"/>
      <c r="C15" s="33"/>
      <c r="D15" s="33"/>
      <c r="E15" s="33"/>
    </row>
    <row r="16" spans="1:10" x14ac:dyDescent="0.3">
      <c r="A16" s="18">
        <f>+A4+1</f>
        <v>2</v>
      </c>
      <c r="B16" s="17" t="s">
        <v>110</v>
      </c>
      <c r="C16" s="33"/>
      <c r="D16" s="33"/>
      <c r="E16" s="33"/>
    </row>
    <row r="17" spans="1:5" x14ac:dyDescent="0.3">
      <c r="A17" s="18">
        <f>+A16+0.1</f>
        <v>2.1</v>
      </c>
      <c r="B17" s="1" t="s">
        <v>9</v>
      </c>
      <c r="C17" s="33">
        <f>('Financial Statements'!B13/'Financial Statements'!B8)</f>
        <v>0.43309630561360085</v>
      </c>
      <c r="D17" s="33">
        <f>('Financial Statements'!C13/'Financial Statements'!C8)</f>
        <v>0.41779359625167778</v>
      </c>
      <c r="E17" s="33">
        <f>('Financial Statements'!D13/'Financial Statements'!D8)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33">
        <f>(C19/'Financial Statements'!B8)</f>
        <v>0.3310467428130896</v>
      </c>
      <c r="D18" s="33">
        <f>(D19/'Financial Statements'!C8)</f>
        <v>0.32866979938056462</v>
      </c>
      <c r="E18" s="33">
        <f>(E19/'Financial Statements'!D8)</f>
        <v>0.2817478097736007</v>
      </c>
    </row>
    <row r="19" spans="1:5" x14ac:dyDescent="0.3">
      <c r="A19" s="18"/>
      <c r="B19" s="3" t="s">
        <v>112</v>
      </c>
      <c r="C19" s="33">
        <f>('Financial Statements'!B18+'Financial Statements'!B79)</f>
        <v>130541</v>
      </c>
      <c r="D19" s="33">
        <f>('Financial Statements'!C18+'Financial Statements'!C79)</f>
        <v>120233</v>
      </c>
      <c r="E19" s="33">
        <f>('Financial Statements'!D18+'Financial Statements'!D79)</f>
        <v>77344</v>
      </c>
    </row>
    <row r="20" spans="1:5" x14ac:dyDescent="0.3">
      <c r="A20" s="18">
        <f>+A18+0.1</f>
        <v>2.3000000000000003</v>
      </c>
      <c r="B20" s="1" t="s">
        <v>113</v>
      </c>
      <c r="C20" s="33">
        <f>('Financial Statements'!B18/'Financial Statements'!B8)</f>
        <v>0.30288744395528594</v>
      </c>
      <c r="D20" s="33">
        <f>('Financial Statements'!C18/'Financial Statements'!C8)</f>
        <v>0.29782377527561593</v>
      </c>
      <c r="E20" s="33">
        <f>('Financial Statements'!D18/'Financial Statements'!D8)</f>
        <v>0.24147314354406862</v>
      </c>
    </row>
    <row r="21" spans="1:5" x14ac:dyDescent="0.3">
      <c r="A21" s="18"/>
      <c r="B21" s="3" t="s">
        <v>114</v>
      </c>
      <c r="C21" s="33">
        <f>'Financial Statements'!B18</f>
        <v>119437</v>
      </c>
      <c r="D21" s="33">
        <f>'Financial Statements'!C18</f>
        <v>108949</v>
      </c>
      <c r="E21" s="33">
        <f>'Financial Statements'!D18</f>
        <v>66288</v>
      </c>
    </row>
    <row r="22" spans="1:5" x14ac:dyDescent="0.3">
      <c r="A22" s="18">
        <f>+A20+0.1</f>
        <v>2.4000000000000004</v>
      </c>
      <c r="B22" s="1" t="s">
        <v>115</v>
      </c>
      <c r="C22" s="33">
        <f>('Financial Statements'!B22/'Financial Statements'!B8)</f>
        <v>0.25309640705199732</v>
      </c>
      <c r="D22" s="33">
        <f>('Financial Statements'!C22/'Financial Statements'!C8)</f>
        <v>0.25881793355694238</v>
      </c>
      <c r="E22" s="33">
        <f>('Financial Statements'!D22/'Financial Statements'!D8)</f>
        <v>0.20913611278072236</v>
      </c>
    </row>
    <row r="23" spans="1:5" x14ac:dyDescent="0.3">
      <c r="A23" s="18"/>
      <c r="C23" s="33"/>
      <c r="D23" s="33"/>
      <c r="E23" s="33"/>
    </row>
    <row r="24" spans="1:5" x14ac:dyDescent="0.3">
      <c r="A24" s="18">
        <f>+A16+1</f>
        <v>3</v>
      </c>
      <c r="B24" s="7" t="s">
        <v>116</v>
      </c>
      <c r="C24" s="33"/>
      <c r="D24" s="33"/>
      <c r="E24" s="33"/>
    </row>
    <row r="25" spans="1:5" x14ac:dyDescent="0.3">
      <c r="A25" s="18">
        <f>+A24+0.1</f>
        <v>3.1</v>
      </c>
      <c r="B25" s="1" t="s">
        <v>117</v>
      </c>
      <c r="C25" s="33">
        <f>'Financial Statements'!B62/'Financial Statements'!B68</f>
        <v>5.9615369434796337</v>
      </c>
      <c r="D25" s="33">
        <f>'Financial Statements'!C62/'Financial Statements'!C68</f>
        <v>4.5635124425423994</v>
      </c>
      <c r="E25" s="33">
        <f>'Financial Statements'!D62/'Financial Statements'!D68</f>
        <v>3.9570394404566951</v>
      </c>
    </row>
    <row r="26" spans="1:5" x14ac:dyDescent="0.3">
      <c r="A26" s="18">
        <f t="shared" ref="A26:A30" si="2">+A25+0.1</f>
        <v>3.2</v>
      </c>
      <c r="B26" s="1" t="s">
        <v>118</v>
      </c>
      <c r="C26" s="33">
        <f>'Financial Statements'!B62/'Financial Statements'!B48</f>
        <v>0.85635355983614692</v>
      </c>
      <c r="D26" s="33">
        <f>'Financial Statements'!C62/'Financial Statements'!C48</f>
        <v>0.82025743443057308</v>
      </c>
      <c r="E26" s="33">
        <f>'Financial Statements'!D62/'Financial Statements'!D48</f>
        <v>0.79826668477992391</v>
      </c>
    </row>
    <row r="27" spans="1:5" x14ac:dyDescent="0.3">
      <c r="A27" s="18">
        <f t="shared" si="2"/>
        <v>3.3000000000000003</v>
      </c>
      <c r="B27" s="1" t="s">
        <v>119</v>
      </c>
      <c r="C27" s="33">
        <f>'Financial Statements'!B59/('Financial Statements'!B62+'Financial Statements'!B68)</f>
        <v>0.28053181386514719</v>
      </c>
      <c r="D27" s="33">
        <f>'Financial Statements'!C59/('Financial Statements'!C62+'Financial Statements'!C68)</f>
        <v>0.31084153366647482</v>
      </c>
      <c r="E27" s="33">
        <f>'Financial Statements'!D59/('Financial Statements'!D62+'Financial Statements'!D68)</f>
        <v>0.30463308304105124</v>
      </c>
    </row>
    <row r="28" spans="1:5" x14ac:dyDescent="0.3">
      <c r="A28" s="18">
        <f t="shared" si="2"/>
        <v>3.4000000000000004</v>
      </c>
      <c r="B28" s="1" t="s">
        <v>120</v>
      </c>
      <c r="C28" s="33">
        <f>C21/'Financial Statements'!B114</f>
        <v>41.68830715532286</v>
      </c>
      <c r="D28" s="33">
        <f>D21/'Financial Statements'!C114</f>
        <v>40.546706363974693</v>
      </c>
      <c r="E28" s="33">
        <f>E21/'Financial Statements'!D114</f>
        <v>22.081279147235175</v>
      </c>
    </row>
    <row r="29" spans="1:5" x14ac:dyDescent="0.3">
      <c r="A29" s="18">
        <f t="shared" si="2"/>
        <v>3.5000000000000004</v>
      </c>
      <c r="B29" s="1" t="s">
        <v>121</v>
      </c>
      <c r="C29" s="33">
        <f>'Financial Statements'!B91/'Financial Statements'!B62</f>
        <v>0.40436237722745072</v>
      </c>
      <c r="D29" s="33">
        <f>'Financial Statements'!C91/'Financial Statements'!C62</f>
        <v>0.3613534691155631</v>
      </c>
      <c r="E29" s="33">
        <f>'Financial Statements'!D91/'Financial Statements'!D62</f>
        <v>0.31202596026285151</v>
      </c>
    </row>
    <row r="30" spans="1:5" x14ac:dyDescent="0.3">
      <c r="A30" s="18">
        <f t="shared" si="2"/>
        <v>3.6000000000000005</v>
      </c>
      <c r="B30" s="1" t="s">
        <v>122</v>
      </c>
      <c r="C30" s="33">
        <f>C31/'Financial Statements'!B27</f>
        <v>2.7540023370798267E-2</v>
      </c>
      <c r="D30" s="33">
        <f>D31/'Financial Statements'!C27</f>
        <v>2.4339164106781806E-2</v>
      </c>
      <c r="E30" s="33">
        <f>E31/'Financial Statements'!D27</f>
        <v>1.9796544733239784E-2</v>
      </c>
    </row>
    <row r="31" spans="1:5" x14ac:dyDescent="0.3">
      <c r="A31" s="18"/>
      <c r="B31" s="3" t="s">
        <v>123</v>
      </c>
      <c r="C31" s="33">
        <f>'Financial Statements'!B91-'Financial Statements'!B99+'Financial Statements'!B62</f>
        <v>446588</v>
      </c>
      <c r="D31" s="33">
        <f>'Financial Statements'!C91-'Financial Statements'!C99+'Financial Statements'!C62</f>
        <v>406495</v>
      </c>
      <c r="E31" s="33">
        <f>'Financial Statements'!D91-'Financial Statements'!D99+'Financial Statements'!D62</f>
        <v>343512</v>
      </c>
    </row>
    <row r="32" spans="1:5" x14ac:dyDescent="0.3">
      <c r="A32" s="18"/>
      <c r="C32" s="33"/>
      <c r="D32" s="33"/>
      <c r="E32" s="33"/>
    </row>
    <row r="33" spans="1:5" x14ac:dyDescent="0.3">
      <c r="A33" s="18">
        <f>+A24+1</f>
        <v>4</v>
      </c>
      <c r="B33" s="17" t="s">
        <v>124</v>
      </c>
      <c r="C33" s="33"/>
      <c r="D33" s="33"/>
      <c r="E33" s="33"/>
    </row>
    <row r="34" spans="1:5" x14ac:dyDescent="0.3">
      <c r="A34" s="18">
        <f>+A33+0.1</f>
        <v>4.0999999999999996</v>
      </c>
      <c r="B34" s="1" t="s">
        <v>125</v>
      </c>
      <c r="C34" s="33">
        <f>'Financial Statements'!B8/'Financial Statements'!B48</f>
        <v>1.1178523337727317</v>
      </c>
      <c r="D34" s="33">
        <f>'Financial Statements'!C8/'Financial Statements'!C48</f>
        <v>1.0422077367080529</v>
      </c>
      <c r="E34" s="33">
        <f>'Financial Statements'!D8/'Financial Statements'!D48</f>
        <v>0.84756150274168851</v>
      </c>
    </row>
    <row r="35" spans="1:5" x14ac:dyDescent="0.3">
      <c r="A35" s="18">
        <f t="shared" ref="A35:A37" si="3">+A34+0.1</f>
        <v>4.1999999999999993</v>
      </c>
      <c r="B35" s="1" t="s">
        <v>126</v>
      </c>
      <c r="C35" s="33">
        <f>'Financial Statements'!B8/'Financial Statements'!B45</f>
        <v>9.3626801529073767</v>
      </c>
      <c r="D35" s="33">
        <f>'Financial Statements'!C8/'Financial Statements'!C45</f>
        <v>9.2752789046653152</v>
      </c>
      <c r="E35" s="33">
        <f>'Financial Statements'!D8/'Financial Statements'!D45</f>
        <v>7.4665451776097482</v>
      </c>
    </row>
    <row r="36" spans="1:5" x14ac:dyDescent="0.3">
      <c r="A36" s="18">
        <f t="shared" si="3"/>
        <v>4.2999999999999989</v>
      </c>
      <c r="B36" s="1" t="s">
        <v>127</v>
      </c>
      <c r="C36" s="34">
        <f>'Financial Statements'!B12/(('Financial Statements'!B39+'Financial Statements'!C39+'Financial Statements'!D39)/2)</f>
        <v>28.683646628600759</v>
      </c>
      <c r="D36" s="33">
        <f>'Financial Statements'!C12/(('Financial Statements'!B39+'Financial Statements'!C39+'Financial Statements'!D39)/2)</f>
        <v>27.328029768396743</v>
      </c>
      <c r="E36" s="33">
        <f>'Financial Statements'!D12/(('Financial Statements'!B39+'Financial Statements'!C39+'Financial Statements'!D39)/2)</f>
        <v>21.756463719766472</v>
      </c>
    </row>
    <row r="37" spans="1:5" x14ac:dyDescent="0.3">
      <c r="A37" s="18">
        <f t="shared" si="3"/>
        <v>4.3999999999999986</v>
      </c>
      <c r="B37" s="1" t="s">
        <v>128</v>
      </c>
      <c r="C37" s="34">
        <f>'Financial Statements'!B22/'Financial Statements'!B48</f>
        <v>0.28292440929256851</v>
      </c>
      <c r="D37" s="34">
        <f>'Financial Statements'!C22/'Financial Statements'!C48</f>
        <v>0.26974205275183616</v>
      </c>
      <c r="E37" s="34">
        <f>'Financial Statements'!D22/'Financial Statements'!D48</f>
        <v>0.1772557180259843</v>
      </c>
    </row>
    <row r="38" spans="1:5" x14ac:dyDescent="0.3">
      <c r="A38" s="18"/>
      <c r="C38" s="33"/>
      <c r="D38" s="33"/>
      <c r="E38" s="33"/>
    </row>
    <row r="39" spans="1:5" x14ac:dyDescent="0.3">
      <c r="A39" s="18">
        <f>+A33+1</f>
        <v>5</v>
      </c>
      <c r="B39" s="17" t="s">
        <v>129</v>
      </c>
      <c r="C39" s="33"/>
      <c r="D39" s="33"/>
      <c r="E39" s="33"/>
    </row>
    <row r="40" spans="1:5" x14ac:dyDescent="0.3">
      <c r="A40" s="18">
        <f>+A39+0.1</f>
        <v>5.0999999999999996</v>
      </c>
      <c r="B40" s="1" t="s">
        <v>130</v>
      </c>
      <c r="C40" s="33">
        <f>C53/C41</f>
        <v>36.959349593495936</v>
      </c>
      <c r="D40" s="33">
        <f>C53/D41</f>
        <v>40.08818342151676</v>
      </c>
      <c r="E40" s="33">
        <f>C53/E41</f>
        <v>68.670694864048343</v>
      </c>
    </row>
    <row r="41" spans="1:5" x14ac:dyDescent="0.3">
      <c r="A41" s="18">
        <f t="shared" ref="A41:A44" si="4">+A40+0.1</f>
        <v>5.1999999999999993</v>
      </c>
      <c r="B41" s="3" t="s">
        <v>131</v>
      </c>
      <c r="C41" s="33">
        <f>'Financial Statements'!B24</f>
        <v>6.15</v>
      </c>
      <c r="D41" s="33">
        <f>'Financial Statements'!C24</f>
        <v>5.67</v>
      </c>
      <c r="E41" s="33">
        <f>'Financial Statements'!D24</f>
        <v>3.31</v>
      </c>
    </row>
    <row r="42" spans="1:5" x14ac:dyDescent="0.3">
      <c r="A42" s="18">
        <f t="shared" si="4"/>
        <v>5.2999999999999989</v>
      </c>
      <c r="B42" s="1" t="s">
        <v>132</v>
      </c>
      <c r="C42" s="33">
        <f>C53/C43</f>
        <v>72740.140312203992</v>
      </c>
      <c r="D42" s="33">
        <f>C53/D43</f>
        <v>60171.170163258837</v>
      </c>
      <c r="E42" s="33">
        <f>C53/E43</f>
        <v>60364.2028298566</v>
      </c>
    </row>
    <row r="43" spans="1:5" x14ac:dyDescent="0.3">
      <c r="A43" s="18">
        <f t="shared" si="4"/>
        <v>5.3999999999999986</v>
      </c>
      <c r="B43" s="3" t="s">
        <v>133</v>
      </c>
      <c r="C43" s="35">
        <f>'Financial Statements'!B68/'Financial Statements'!B27</f>
        <v>3.124822127430853E-3</v>
      </c>
      <c r="D43" s="35">
        <f>'Financial Statements'!C68/'Financial Statements'!C27</f>
        <v>3.7775565837141027E-3</v>
      </c>
      <c r="E43" s="35">
        <f>'Financial Statements'!D68/'Financial Statements'!D27</f>
        <v>3.7654767120949319E-3</v>
      </c>
    </row>
    <row r="44" spans="1:5" x14ac:dyDescent="0.3">
      <c r="A44" s="18">
        <f t="shared" si="4"/>
        <v>5.4999999999999982</v>
      </c>
      <c r="B44" s="1" t="s">
        <v>134</v>
      </c>
      <c r="C44" s="34">
        <f>'Financial Statements'!B102/'Financial Statements'!B22</f>
        <v>-0.14870294480125848</v>
      </c>
      <c r="D44" s="34">
        <f>'Financial Statements'!C102/'Financial Statements'!C22</f>
        <v>-0.15279890156316012</v>
      </c>
      <c r="E44" s="34">
        <f>'Financial Statements'!D102/'Financial Statements'!D22</f>
        <v>-0.24526658654264863</v>
      </c>
    </row>
    <row r="45" spans="1:5" x14ac:dyDescent="0.3">
      <c r="A45" s="18"/>
      <c r="B45" s="3" t="s">
        <v>135</v>
      </c>
      <c r="C45" s="36">
        <f>'Financial Statements'!B102/'Financial Statements'!B27</f>
        <v>-9.1520929099307886E-4</v>
      </c>
      <c r="D45" s="36">
        <f>'Financial Statements'!C102/'Financial Statements'!C27</f>
        <v>-8.6622144708498852E-4</v>
      </c>
      <c r="E45" s="36">
        <f>'Financial Statements'!D102/'Financial Statements'!D27</f>
        <v>-8.1148590555424381E-4</v>
      </c>
    </row>
    <row r="46" spans="1:5" x14ac:dyDescent="0.3">
      <c r="A46" s="18">
        <f>+A44+0.1</f>
        <v>5.5999999999999979</v>
      </c>
      <c r="B46" s="1" t="s">
        <v>136</v>
      </c>
      <c r="C46" s="33">
        <f>C45/C53</f>
        <v>-4.0264377078446051E-6</v>
      </c>
      <c r="D46" s="33">
        <f>D45/C53</f>
        <v>-3.8109170571270941E-6</v>
      </c>
      <c r="E46" s="33">
        <f>E45/C53</f>
        <v>-3.5701095712901177E-6</v>
      </c>
    </row>
    <row r="47" spans="1:5" x14ac:dyDescent="0.3">
      <c r="A47" s="18">
        <f t="shared" ref="A47:A50" si="5">+A45+0.1</f>
        <v>0.1</v>
      </c>
      <c r="B47" s="1" t="s">
        <v>137</v>
      </c>
      <c r="C47" s="33">
        <f>'Financial Statements'!B22/'Financial Statements'!B68</f>
        <v>1.9695887275023682</v>
      </c>
      <c r="D47" s="33">
        <f>'Financial Statements'!C22/'Financial Statements'!C68</f>
        <v>1.5007132667617689</v>
      </c>
      <c r="E47" s="33">
        <f>'Financial Statements'!D22/'Financial Statements'!D68</f>
        <v>0.87866358530127486</v>
      </c>
    </row>
    <row r="48" spans="1:5" x14ac:dyDescent="0.3">
      <c r="A48" s="18">
        <f t="shared" si="5"/>
        <v>5.6999999999999975</v>
      </c>
      <c r="B48" s="1" t="s">
        <v>138</v>
      </c>
      <c r="C48" s="33">
        <f>('Financial Statements'!B18/('Financial Statements'!B48-'Financial Statements'!B56))*100</f>
        <v>60.087134570590571</v>
      </c>
      <c r="D48" s="33">
        <f>'Financial Statements'!C18/('Financial Statements'!C48-'Financial Statements'!C56)</f>
        <v>0.48309913489209433</v>
      </c>
      <c r="E48" s="33">
        <f>'Financial Statements'!D18/('Financial Statements'!D48-'Financial Statements'!D56)</f>
        <v>0.30338312829525482</v>
      </c>
    </row>
    <row r="49" spans="1:5" x14ac:dyDescent="0.3">
      <c r="A49" s="18">
        <f t="shared" si="5"/>
        <v>0.2</v>
      </c>
      <c r="B49" s="1" t="s">
        <v>128</v>
      </c>
      <c r="C49" s="33">
        <f>('Financial Statements'!B22/'Financial Statements'!B48)*100</f>
        <v>28.292440929256852</v>
      </c>
      <c r="D49" s="33">
        <f>'Financial Statements'!C22/'Financial Statements'!C48</f>
        <v>0.26974205275183616</v>
      </c>
      <c r="E49" s="33">
        <f>'Financial Statements'!D22/'Financial Statements'!D48</f>
        <v>0.1772557180259843</v>
      </c>
    </row>
    <row r="50" spans="1:5" x14ac:dyDescent="0.3">
      <c r="A50" s="18">
        <f t="shared" si="5"/>
        <v>5.7999999999999972</v>
      </c>
      <c r="B50" s="1" t="s">
        <v>139</v>
      </c>
      <c r="C50" s="33">
        <f>C51/C19</f>
        <v>2.1346879524440596</v>
      </c>
      <c r="D50" s="33">
        <f t="shared" ref="D50:E50" si="6">D51/D19</f>
        <v>2.104014704781549</v>
      </c>
      <c r="E50" s="33">
        <f t="shared" si="6"/>
        <v>2.8513265411667357</v>
      </c>
    </row>
    <row r="51" spans="1:5" x14ac:dyDescent="0.3">
      <c r="A51" s="18"/>
      <c r="B51" s="3" t="s">
        <v>140</v>
      </c>
      <c r="C51" s="33">
        <f>C53+'Financial Statements'!B56+'Financial Statements'!B61-'Financial Statements'!B36</f>
        <v>278664.3</v>
      </c>
      <c r="D51" s="33">
        <f>D53+'Financial Statements'!C56+'Financial Statements'!C61-'Financial Statements'!C36</f>
        <v>252972</v>
      </c>
      <c r="E51" s="33">
        <f>E53+'Financial Statements'!D56+'Financial Statements'!D61-'Financial Statements'!D36</f>
        <v>220533</v>
      </c>
    </row>
    <row r="53" spans="1:5" x14ac:dyDescent="0.3">
      <c r="B53" s="31" t="s">
        <v>150</v>
      </c>
      <c r="C53" s="32">
        <v>227.3</v>
      </c>
    </row>
    <row r="54" spans="1:5" x14ac:dyDescent="0.3">
      <c r="B54" s="31"/>
      <c r="C54" s="32"/>
    </row>
    <row r="55" spans="1:5" x14ac:dyDescent="0.3">
      <c r="B55" s="17" t="s">
        <v>152</v>
      </c>
    </row>
    <row r="56" spans="1:5" x14ac:dyDescent="0.3">
      <c r="C56" s="39" t="s">
        <v>157</v>
      </c>
      <c r="D56" s="39" t="s">
        <v>158</v>
      </c>
    </row>
    <row r="57" spans="1:5" x14ac:dyDescent="0.3">
      <c r="B57" t="s">
        <v>156</v>
      </c>
    </row>
    <row r="58" spans="1:5" x14ac:dyDescent="0.3">
      <c r="B58" s="1" t="str">
        <f>'Financial Statements'!A6</f>
        <v>Products</v>
      </c>
      <c r="C58" s="38">
        <f>'Financial Statements'!B6/'Financial Statements'!C6-1</f>
        <v>6.3239764351428418E-2</v>
      </c>
      <c r="D58" s="38">
        <f>'Financial Statements'!C6/'Financial Statements'!D6-1</f>
        <v>0.34720743656765429</v>
      </c>
    </row>
    <row r="59" spans="1:5" x14ac:dyDescent="0.3">
      <c r="B59" s="1" t="str">
        <f>'Financial Statements'!A7</f>
        <v>Services</v>
      </c>
      <c r="C59" s="38">
        <f>'Financial Statements'!B7/'Financial Statements'!C7-1</f>
        <v>0.14181951041286078</v>
      </c>
      <c r="D59" s="38">
        <f>'Financial Statements'!C7/'Financial Statements'!D7-1</f>
        <v>0.27259708376729663</v>
      </c>
    </row>
    <row r="60" spans="1:5" x14ac:dyDescent="0.3">
      <c r="B60" s="1" t="s">
        <v>155</v>
      </c>
      <c r="C60" s="38">
        <f>'Financial Statements'!B8/'Financial Statements'!C8-1</f>
        <v>7.7937876041846099E-2</v>
      </c>
      <c r="D60" s="38">
        <f>'Financial Statements'!C8/'Financial Statements'!D8-1</f>
        <v>0.33259384733074704</v>
      </c>
    </row>
    <row r="61" spans="1:5" x14ac:dyDescent="0.3">
      <c r="B61" t="s">
        <v>89</v>
      </c>
      <c r="C61" s="40">
        <f>'Financial Statements'!B13/'Financial Statements'!C13-1</f>
        <v>0.1174199795859614</v>
      </c>
      <c r="D61" s="40">
        <f>'Financial Statements'!C13/'Financial Statements'!D13-1</f>
        <v>0.45619116582186825</v>
      </c>
    </row>
    <row r="62" spans="1:5" x14ac:dyDescent="0.3">
      <c r="B62" t="s">
        <v>159</v>
      </c>
    </row>
    <row r="63" spans="1:5" x14ac:dyDescent="0.3">
      <c r="B63" s="1" t="str">
        <f>'Financial Statements'!A15</f>
        <v>Research and development</v>
      </c>
      <c r="C63" s="38">
        <f>'Financial Statements'!B15/'Financial Statements'!C15-1</f>
        <v>0.19791001186456136</v>
      </c>
      <c r="D63" s="38">
        <f>'Financial Statements'!C15/'Financial Statements'!D15-1</f>
        <v>0.16862201365187723</v>
      </c>
    </row>
    <row r="64" spans="1:5" x14ac:dyDescent="0.3">
      <c r="B64" s="1" t="str">
        <f>'Financial Statements'!A16</f>
        <v>Selling, general and administrative</v>
      </c>
      <c r="C64" s="38">
        <f>'Financial Statements'!B16/'Financial Statements'!C16-1</f>
        <v>0.14203795567287125</v>
      </c>
      <c r="D64" s="38">
        <f>'Financial Statements'!C16/'Financial Statements'!D16-1</f>
        <v>0.10328379192608961</v>
      </c>
    </row>
    <row r="65" spans="2:5" x14ac:dyDescent="0.3">
      <c r="B65" s="1" t="str">
        <f>'Financial Statements'!A17</f>
        <v>Total operating expenses</v>
      </c>
      <c r="C65" s="38">
        <f>'Financial Statements'!B17/'Financial Statements'!C17-1</f>
        <v>0.16993642764372141</v>
      </c>
      <c r="D65" s="38">
        <f>'Financial Statements'!C17/'Financial Statements'!D17-1</f>
        <v>0.13496948381090301</v>
      </c>
    </row>
    <row r="66" spans="2:5" x14ac:dyDescent="0.3">
      <c r="B66" t="s">
        <v>160</v>
      </c>
    </row>
    <row r="67" spans="2:5" x14ac:dyDescent="0.3">
      <c r="B67" s="1" t="str">
        <f>'Financial Statements'!A42</f>
        <v>Total current assets</v>
      </c>
      <c r="C67" s="38">
        <f>'Financial Statements'!B42/'Financial Statements'!C42-1</f>
        <v>4.2199412619774446E-3</v>
      </c>
      <c r="D67" s="38">
        <f>'Financial Statements'!C42/'Financial Statements'!D42-1</f>
        <v>-6.1768942266879123E-2</v>
      </c>
    </row>
    <row r="68" spans="2:5" x14ac:dyDescent="0.3">
      <c r="B68" s="1" t="str">
        <f>'Financial Statements'!A47</f>
        <v>Total non current assets</v>
      </c>
      <c r="C68" s="38">
        <f>'Financial Statements'!B47/'Financial Statements'!C47-1</f>
        <v>5.477272096444441E-3</v>
      </c>
      <c r="D68" s="38">
        <f>'Financial Statements'!C47/'Financial Statements'!D47-1</f>
        <v>0.19975579297904811</v>
      </c>
    </row>
    <row r="69" spans="2:5" x14ac:dyDescent="0.3">
      <c r="B69" s="1" t="str">
        <f>'Financial Statements'!A48</f>
        <v>Total assets</v>
      </c>
      <c r="C69" s="38">
        <f>'Financial Statements'!B48/'Financial Statements'!C48-1</f>
        <v>4.994273536902849E-3</v>
      </c>
      <c r="D69" s="38">
        <f>'Financial Statements'!C48/'Financial Statements'!D48-1</f>
        <v>8.3714123400681739E-2</v>
      </c>
    </row>
    <row r="70" spans="2:5" x14ac:dyDescent="0.3">
      <c r="B70" s="1" t="str">
        <f>'Financial Statements'!A56</f>
        <v>Total current liabilities</v>
      </c>
      <c r="C70" s="38">
        <f>'Financial Statements'!B56/'Financial Statements'!C56-1</f>
        <v>0.22713398841258825</v>
      </c>
      <c r="D70" s="38">
        <f>'Financial Statements'!C56/'Financial Statements'!D56-1</f>
        <v>0.19061219067860935</v>
      </c>
    </row>
    <row r="71" spans="2:5" x14ac:dyDescent="0.3">
      <c r="B71" s="1" t="str">
        <f>'Financial Statements'!A61</f>
        <v>Total non current liabilities</v>
      </c>
      <c r="C71" s="38">
        <f>'Financial Statements'!B61/'Financial Statements'!C61-1</f>
        <v>-8.8222075835277747E-2</v>
      </c>
      <c r="D71" s="38">
        <f>'Financial Statements'!C61/'Financial Statements'!D61-1</f>
        <v>6.0552243775994663E-2</v>
      </c>
    </row>
    <row r="72" spans="2:5" x14ac:dyDescent="0.3">
      <c r="B72" s="1" t="str">
        <f>'Financial Statements'!A62</f>
        <v>Total liabilities</v>
      </c>
      <c r="C72" s="38">
        <f>'Financial Statements'!B62/'Financial Statements'!C62-1</f>
        <v>4.9219900525160565E-2</v>
      </c>
      <c r="D72" s="38">
        <f>'Financial Statements'!C62/'Financial Statements'!D62-1</f>
        <v>0.11356841449783217</v>
      </c>
    </row>
    <row r="73" spans="2:5" x14ac:dyDescent="0.3">
      <c r="B73" s="1" t="str">
        <f>'Financial Statements'!A68</f>
        <v>Total shareholders’ equity</v>
      </c>
      <c r="C73" s="38">
        <f>'Financial Statements'!B68/'Financial Statements'!C68-1</f>
        <v>-0.19682992550324929</v>
      </c>
      <c r="D73" s="38">
        <f>'Financial Statements'!C68/'Financial Statements'!D68-1</f>
        <v>-3.4420483937617652E-2</v>
      </c>
    </row>
    <row r="74" spans="2:5" x14ac:dyDescent="0.3">
      <c r="B74" s="1" t="str">
        <f>'Financial Statements'!A69</f>
        <v>Total liabilities and shareholders’ equity</v>
      </c>
      <c r="C74" s="38">
        <f>'Financial Statements'!B69/'Financial Statements'!C69-1</f>
        <v>4.994273536902849E-3</v>
      </c>
      <c r="D74" s="38">
        <f>'Financial Statements'!C69/'Financial Statements'!D69-1</f>
        <v>8.3714123400681739E-2</v>
      </c>
    </row>
    <row r="75" spans="2:5" x14ac:dyDescent="0.3">
      <c r="C75" s="38"/>
      <c r="D75" s="38"/>
    </row>
    <row r="78" spans="2:5" x14ac:dyDescent="0.3">
      <c r="B78" s="17" t="s">
        <v>153</v>
      </c>
      <c r="C78" s="7">
        <f>C3</f>
        <v>2022</v>
      </c>
      <c r="D78" s="7">
        <f t="shared" ref="D78:E78" si="7">D3</f>
        <v>2021</v>
      </c>
      <c r="E78" s="7">
        <f t="shared" si="7"/>
        <v>2020</v>
      </c>
    </row>
    <row r="79" spans="2:5" x14ac:dyDescent="0.3">
      <c r="B79" t="s">
        <v>146</v>
      </c>
      <c r="C79" s="38">
        <f>'Financial Statements'!B10/'Financial Statements'!$B$8</f>
        <v>0.5109223793390274</v>
      </c>
      <c r="D79" s="38">
        <f>'Financial Statements'!C10/'Financial Statements'!$C$8</f>
        <v>0.5255797297555882</v>
      </c>
      <c r="E79" s="38">
        <f>'Financial Statements'!D10/'Financial Statements'!$D$8</f>
        <v>0.55110285412454696</v>
      </c>
    </row>
    <row r="80" spans="2:5" x14ac:dyDescent="0.3">
      <c r="B80" t="s">
        <v>89</v>
      </c>
      <c r="C80" s="40">
        <f>'Financial Statements'!B13/'Financial Statements'!$B$8</f>
        <v>0.43309630561360085</v>
      </c>
      <c r="D80" s="40">
        <f>'Financial Statements'!C13/'Financial Statements'!$C$8</f>
        <v>0.41779359625167778</v>
      </c>
      <c r="E80" s="40">
        <f>'Financial Statements'!D13/'Financial Statements'!$D$8</f>
        <v>0.38233247727810865</v>
      </c>
    </row>
    <row r="81" spans="2:5" x14ac:dyDescent="0.3">
      <c r="B81" t="s">
        <v>161</v>
      </c>
      <c r="C81" s="27"/>
      <c r="D81" s="27"/>
      <c r="E81" s="27"/>
    </row>
    <row r="82" spans="2:5" x14ac:dyDescent="0.3">
      <c r="B82" s="1" t="str">
        <f>'Financial Statements'!A15</f>
        <v>Research and development</v>
      </c>
      <c r="C82" s="40">
        <f>'Financial Statements'!B15/'Financial Statements'!B$8</f>
        <v>6.657148363798665E-2</v>
      </c>
      <c r="D82" s="40">
        <f>'Financial Statements'!C15/'Financial Statements'!C$8</f>
        <v>5.9904269074427925E-2</v>
      </c>
      <c r="E82" s="40">
        <f>'Financial Statements'!D15/'Financial Statements'!D$8</f>
        <v>6.8309564140393061E-2</v>
      </c>
    </row>
    <row r="83" spans="2:5" x14ac:dyDescent="0.3">
      <c r="B83" s="1" t="str">
        <f>'Financial Statements'!A16</f>
        <v>Selling, general and administrative</v>
      </c>
      <c r="C83" s="40">
        <f>'Financial Statements'!B16/'Financial Statements'!B$8</f>
        <v>6.3637378020328261E-2</v>
      </c>
      <c r="D83" s="40">
        <f>'Financial Statements'!C16/'Financial Statements'!C$8</f>
        <v>6.006555190163388E-2</v>
      </c>
      <c r="E83" s="40">
        <f>'Financial Statements'!D16/'Financial Statements'!D$8</f>
        <v>7.2549769593646979E-2</v>
      </c>
    </row>
    <row r="84" spans="2:5" x14ac:dyDescent="0.3">
      <c r="B84" s="1" t="str">
        <f>'Financial Statements'!A17</f>
        <v>Total operating expenses</v>
      </c>
      <c r="C84" s="40">
        <f>'Financial Statements'!B17/'Financial Statements'!B$8</f>
        <v>0.13020886165831491</v>
      </c>
      <c r="D84" s="40">
        <f>'Financial Statements'!C17/'Financial Statements'!C$8</f>
        <v>0.11996982097606181</v>
      </c>
      <c r="E84" s="40">
        <f>'Financial Statements'!D17/'Financial Statements'!D$8</f>
        <v>0.14085933373404003</v>
      </c>
    </row>
    <row r="85" spans="2:5" x14ac:dyDescent="0.3">
      <c r="B85" t="s">
        <v>14</v>
      </c>
      <c r="C85" s="40">
        <f>'Financial Statements'!B18/'Financial Statements'!B$8</f>
        <v>0.30288744395528594</v>
      </c>
      <c r="D85" s="40">
        <f>'Financial Statements'!C18/'Financial Statements'!C$8</f>
        <v>0.29782377527561593</v>
      </c>
      <c r="E85" s="40">
        <f>'Financial Statements'!D18/'Financial Statements'!D$8</f>
        <v>0.24147314354406862</v>
      </c>
    </row>
    <row r="86" spans="2:5" x14ac:dyDescent="0.3">
      <c r="B86" t="s">
        <v>93</v>
      </c>
      <c r="C86" s="40">
        <f>'Financial Statements'!B22/'Financial Statements'!B$8</f>
        <v>0.25309640705199732</v>
      </c>
      <c r="D86" s="40">
        <f>'Financial Statements'!C22/'Financial Statements'!C$8</f>
        <v>0.25881793355694238</v>
      </c>
      <c r="E86" s="40">
        <f>'Financial Statements'!D22/'Financial Statements'!D$8</f>
        <v>0.20913611278072236</v>
      </c>
    </row>
    <row r="87" spans="2:5" x14ac:dyDescent="0.3">
      <c r="B87" s="1"/>
    </row>
    <row r="88" spans="2:5" x14ac:dyDescent="0.3">
      <c r="B88" s="17" t="s">
        <v>154</v>
      </c>
    </row>
    <row r="89" spans="2:5" x14ac:dyDescent="0.3">
      <c r="B89" s="1" t="s">
        <v>94</v>
      </c>
      <c r="C89" s="40">
        <f>'Financial Statements'!B21/'Financial Statements'!B20</f>
        <v>0.16204461684424407</v>
      </c>
      <c r="D89" s="40">
        <f>'Financial Statements'!C21/'Financial Statements'!C20</f>
        <v>0.13302260844085087</v>
      </c>
      <c r="E89" s="40">
        <f>'Financial Statements'!D21/'Financial Statements'!D20</f>
        <v>0.14428164731484103</v>
      </c>
    </row>
    <row r="90" spans="2:5" x14ac:dyDescent="0.3">
      <c r="B90" s="1" t="s">
        <v>95</v>
      </c>
      <c r="C90" s="40">
        <f>-'Financial Statements'!B$96/'Financial Statements'!B$8</f>
        <v>2.7155058732831552E-2</v>
      </c>
      <c r="D90" s="40">
        <f>-'Financial Statements'!C$96/'Financial Statements'!C$8</f>
        <v>3.0302036264033657E-2</v>
      </c>
      <c r="E90" s="40">
        <f>-'Financial Statements'!D$96/'Financial Statements'!D$8</f>
        <v>2.6625138881299748E-2</v>
      </c>
    </row>
    <row r="91" spans="2:5" x14ac:dyDescent="0.3">
      <c r="B91" s="1" t="s">
        <v>96</v>
      </c>
      <c r="C91" s="40">
        <f>-'Financial Statements'!B$96/'Financial Statements'!B$45</f>
        <v>0.25424412944891611</v>
      </c>
      <c r="D91" s="40">
        <f>-'Financial Statements'!C$96/'Financial Statements'!C$45</f>
        <v>0.28105983772819471</v>
      </c>
      <c r="E91" s="40">
        <f>-'Financial Statements'!D$96/'Financial Statements'!D$45</f>
        <v>0.19879780231735844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Martha Ntouna</cp:lastModifiedBy>
  <dcterms:created xsi:type="dcterms:W3CDTF">2020-05-18T16:32:37Z</dcterms:created>
  <dcterms:modified xsi:type="dcterms:W3CDTF">2024-11-07T22:24:54Z</dcterms:modified>
</cp:coreProperties>
</file>