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wksi\Documents\"/>
    </mc:Choice>
  </mc:AlternateContent>
  <xr:revisionPtr revIDLastSave="0" documentId="8_{0C1CF3A1-38C8-46A7-8A63-3FC5C58571F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0" i="3" l="1"/>
  <c r="G121" i="3"/>
  <c r="F120" i="3"/>
  <c r="F121" i="3"/>
  <c r="F119" i="3"/>
  <c r="G113" i="3"/>
  <c r="G114" i="3"/>
  <c r="F113" i="3"/>
  <c r="F114" i="3"/>
  <c r="G100" i="3"/>
  <c r="F100" i="3"/>
  <c r="G99" i="3"/>
  <c r="F99" i="3"/>
  <c r="G94" i="3"/>
  <c r="F94" i="3"/>
  <c r="F93" i="3"/>
  <c r="F90" i="3"/>
  <c r="F91" i="3"/>
  <c r="F92" i="3"/>
  <c r="F89" i="3"/>
  <c r="G88" i="3"/>
  <c r="F88" i="3"/>
  <c r="G80" i="3"/>
  <c r="G81" i="3"/>
  <c r="G82" i="3"/>
  <c r="G83" i="3"/>
  <c r="G84" i="3"/>
  <c r="G85" i="3"/>
  <c r="F83" i="3"/>
  <c r="F84" i="3"/>
  <c r="F85" i="3"/>
  <c r="F81" i="3"/>
  <c r="F82" i="3"/>
  <c r="F80" i="3"/>
  <c r="G11" i="3"/>
  <c r="H11" i="3"/>
  <c r="F11" i="3"/>
  <c r="G10" i="3"/>
  <c r="G9" i="3" s="1"/>
  <c r="H10" i="3"/>
  <c r="H9" i="3" s="1"/>
  <c r="F10" i="3"/>
  <c r="F9" i="3" s="1"/>
  <c r="H133" i="3"/>
  <c r="H130" i="3"/>
  <c r="H129" i="3"/>
  <c r="H128" i="3"/>
  <c r="H127" i="3"/>
  <c r="H126" i="3"/>
  <c r="H125" i="3"/>
  <c r="G23" i="3"/>
  <c r="H23" i="3"/>
  <c r="F23" i="3"/>
  <c r="F13" i="3"/>
  <c r="G43" i="3"/>
  <c r="H43" i="3"/>
  <c r="F43" i="3"/>
  <c r="F42" i="3"/>
  <c r="G41" i="3"/>
  <c r="H41" i="3"/>
  <c r="F41" i="3"/>
  <c r="G40" i="3"/>
  <c r="H40" i="3"/>
  <c r="F40" i="3"/>
  <c r="H8" i="1"/>
  <c r="H37" i="3"/>
  <c r="G34" i="3"/>
  <c r="H34" i="3"/>
  <c r="F34" i="3"/>
  <c r="G33" i="3"/>
  <c r="H33" i="3"/>
  <c r="F33" i="3"/>
  <c r="G32" i="3"/>
  <c r="H32" i="3"/>
  <c r="F32" i="3"/>
  <c r="G31" i="3"/>
  <c r="H31" i="3"/>
  <c r="F31" i="3"/>
  <c r="G28" i="3"/>
  <c r="H28" i="3"/>
  <c r="F28" i="3"/>
  <c r="G27" i="3"/>
  <c r="H27" i="3"/>
  <c r="F27" i="3"/>
  <c r="G26" i="3"/>
  <c r="H26" i="3"/>
  <c r="F26" i="3"/>
  <c r="G25" i="3"/>
  <c r="H25" i="3"/>
  <c r="F25" i="3"/>
  <c r="G24" i="3"/>
  <c r="H24" i="3"/>
  <c r="F24" i="3"/>
  <c r="G18" i="3"/>
  <c r="G17" i="3" s="1"/>
  <c r="H18" i="3"/>
  <c r="H17" i="3" s="1"/>
  <c r="F18" i="3"/>
  <c r="F17" i="3" s="1"/>
  <c r="G14" i="3"/>
  <c r="H14" i="3"/>
  <c r="F14" i="3"/>
  <c r="G15" i="3"/>
  <c r="H15" i="3"/>
  <c r="F15" i="3"/>
  <c r="G66" i="3"/>
  <c r="H66" i="3"/>
  <c r="F66" i="3"/>
  <c r="G64" i="3"/>
  <c r="G65" i="3" s="1"/>
  <c r="H64" i="3"/>
  <c r="H65" i="3" s="1"/>
  <c r="F64" i="3"/>
  <c r="F65" i="3" s="1"/>
  <c r="G63" i="3"/>
  <c r="H63" i="3"/>
  <c r="F63" i="3"/>
  <c r="G60" i="3"/>
  <c r="H60" i="3"/>
  <c r="F60" i="3"/>
  <c r="D52" i="3"/>
  <c r="G59" i="3" s="1"/>
  <c r="G58" i="3" s="1"/>
  <c r="E52" i="3"/>
  <c r="H59" i="3" s="1"/>
  <c r="H58" i="3" s="1"/>
  <c r="D51" i="3"/>
  <c r="G67" i="3" s="1"/>
  <c r="G68" i="3" s="1"/>
  <c r="G69" i="3" s="1"/>
  <c r="E51" i="3"/>
  <c r="H67" i="3" s="1"/>
  <c r="H68" i="3" s="1"/>
  <c r="H69" i="3" s="1"/>
  <c r="C52" i="3"/>
  <c r="F59" i="3" s="1"/>
  <c r="F58" i="3" s="1"/>
  <c r="C51" i="3"/>
  <c r="F67" i="3" s="1"/>
  <c r="F68" i="3" s="1"/>
  <c r="F69" i="3" s="1"/>
  <c r="G56" i="3"/>
  <c r="H56" i="3"/>
  <c r="F56" i="3"/>
  <c r="G134" i="3"/>
  <c r="G135" i="3"/>
  <c r="F134" i="3"/>
  <c r="F37" i="3" s="1"/>
  <c r="F36" i="3" s="1"/>
  <c r="G133" i="3"/>
  <c r="F133" i="3"/>
  <c r="G130" i="3"/>
  <c r="G129" i="3"/>
  <c r="G128" i="3"/>
  <c r="G127" i="3"/>
  <c r="G126" i="3"/>
  <c r="G125" i="3"/>
  <c r="F130" i="3"/>
  <c r="F129" i="3"/>
  <c r="F128" i="3"/>
  <c r="F127" i="3"/>
  <c r="F126" i="3"/>
  <c r="F125" i="3"/>
  <c r="F118" i="3"/>
  <c r="G119" i="3"/>
  <c r="G118" i="3"/>
  <c r="G117" i="3"/>
  <c r="F117" i="3"/>
  <c r="G110" i="3"/>
  <c r="G111" i="3"/>
  <c r="G112" i="3"/>
  <c r="F110" i="3"/>
  <c r="F111" i="3"/>
  <c r="F112" i="3"/>
  <c r="F104" i="3"/>
  <c r="G104" i="3"/>
  <c r="F105" i="3"/>
  <c r="G105" i="3"/>
  <c r="F106" i="3"/>
  <c r="G106" i="3"/>
  <c r="F107" i="3"/>
  <c r="G107" i="3"/>
  <c r="G103" i="3"/>
  <c r="F103" i="3"/>
  <c r="G98" i="3"/>
  <c r="F98" i="3"/>
  <c r="F97" i="3"/>
  <c r="G97" i="3"/>
  <c r="G96" i="3"/>
  <c r="F96" i="3"/>
  <c r="G89" i="3"/>
  <c r="G90" i="3"/>
  <c r="G91" i="3"/>
  <c r="G92" i="3"/>
  <c r="G93" i="3"/>
  <c r="G79" i="3"/>
  <c r="F79" i="3"/>
  <c r="G78" i="3"/>
  <c r="F78" i="3"/>
  <c r="G77" i="3"/>
  <c r="F77" i="3"/>
  <c r="G76" i="3"/>
  <c r="F76" i="3"/>
  <c r="G75" i="3"/>
  <c r="F75" i="3"/>
  <c r="G42" i="3"/>
  <c r="H42" i="3"/>
  <c r="F16" i="3"/>
  <c r="G13" i="3"/>
  <c r="G16" i="3" s="1"/>
  <c r="H13" i="3"/>
  <c r="H16" i="3" s="1"/>
  <c r="G8" i="3"/>
  <c r="H8" i="3"/>
  <c r="F8" i="3"/>
  <c r="G7" i="3"/>
  <c r="H7" i="3"/>
  <c r="F7" i="3"/>
  <c r="G6" i="3"/>
  <c r="H6" i="3"/>
  <c r="F6" i="3"/>
  <c r="D108" i="1"/>
  <c r="C108" i="1"/>
  <c r="B108" i="1"/>
  <c r="D99" i="1"/>
  <c r="C99" i="1"/>
  <c r="B99" i="1"/>
  <c r="G136" i="3" l="1"/>
  <c r="G37" i="3"/>
  <c r="G36" i="3" s="1"/>
  <c r="H36" i="3"/>
  <c r="F61" i="3"/>
  <c r="F62" i="3" s="1"/>
  <c r="F57" i="3"/>
  <c r="H61" i="3"/>
  <c r="H62" i="3" s="1"/>
  <c r="H57" i="3"/>
  <c r="G61" i="3"/>
  <c r="G62" i="3" s="1"/>
  <c r="G57" i="3"/>
  <c r="F136" i="3"/>
  <c r="F135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H4" i="3"/>
  <c r="G4" i="3"/>
  <c r="F4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63" i="3"/>
  <c r="A66" i="3" s="1"/>
  <c r="A22" i="3"/>
  <c r="A6" i="3"/>
  <c r="A7" i="3" s="1"/>
  <c r="A8" i="3" s="1"/>
  <c r="A9" i="3" s="1"/>
  <c r="A13" i="3" s="1"/>
  <c r="A14" i="3" s="1"/>
  <c r="A15" i="3" s="1"/>
  <c r="A16" i="3" s="1"/>
  <c r="A17" i="3" s="1"/>
  <c r="A23" i="3" l="1"/>
  <c r="A24" i="3" s="1"/>
  <c r="A26" i="3" s="1"/>
  <c r="A28" i="3" s="1"/>
  <c r="A30" i="3"/>
  <c r="A31" i="3" s="1"/>
  <c r="A32" i="3" s="1"/>
  <c r="A33" i="3" s="1"/>
  <c r="A34" i="3" s="1"/>
  <c r="A35" i="3" s="1"/>
  <c r="A36" i="3" s="1"/>
  <c r="A39" i="3"/>
  <c r="A46" i="3" l="1"/>
  <c r="A56" i="3" s="1"/>
  <c r="A57" i="3" s="1"/>
  <c r="A58" i="3" s="1"/>
  <c r="A59" i="3" s="1"/>
  <c r="A60" i="3" s="1"/>
  <c r="A62" i="3" s="1"/>
  <c r="A65" i="3" s="1"/>
  <c r="A69" i="3" s="1"/>
  <c r="A40" i="3"/>
  <c r="A41" i="3" s="1"/>
  <c r="A42" i="3" s="1"/>
  <c r="A43" i="3" s="1"/>
</calcChain>
</file>

<file path=xl/sharedStrings.xml><?xml version="1.0" encoding="utf-8"?>
<sst xmlns="http://schemas.openxmlformats.org/spreadsheetml/2006/main" count="330" uniqueCount="212">
  <si>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</si>
  <si>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</si>
  <si>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</si>
  <si>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</si>
  <si>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</si>
  <si>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</si>
  <si>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</si>
  <si>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</si>
  <si>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</si>
  <si>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</si>
  <si>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</si>
  <si>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</si>
  <si>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</si>
  <si>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</si>
  <si>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</si>
  <si>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</si>
  <si>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</si>
  <si>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</si>
  <si>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</si>
  <si>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</si>
  <si>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</si>
  <si>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</si>
  <si>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</si>
  <si>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</si>
  <si>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</si>
  <si>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</si>
  <si>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</si>
  <si>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</si>
  <si>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</si>
  <si>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</si>
  <si>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</si>
  <si>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</si>
  <si>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</si>
  <si>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</si>
  <si>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</si>
  <si>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</si>
  <si>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</si>
  <si>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</si>
  <si>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</si>
  <si>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</si>
  <si>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</si>
  <si>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</si>
  <si>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</si>
  <si>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</si>
  <si>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</si>
  <si>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</si>
  <si>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</si>
  <si>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</si>
  <si>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</si>
  <si>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</si>
  <si>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</si>
  <si>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</si>
  <si>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</si>
  <si>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</si>
  <si>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</si>
  <si>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</si>
  <si>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</si>
  <si>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</si>
  <si>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</si>
  <si>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</si>
  <si>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</si>
  <si>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</si>
  <si>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</si>
  <si>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</si>
  <si>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</si>
  <si>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</si>
  <si>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</si>
  <si>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</si>
  <si>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</si>
  <si>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</si>
  <si>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</si>
  <si>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</si>
  <si>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</si>
  <si>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</si>
  <si>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</si>
  <si>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</si>
  <si>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</si>
  <si>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</si>
  <si>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</si>
  <si>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</si>
  <si>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</si>
  <si>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</si>
  <si>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</si>
  <si>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</si>
  <si>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</si>
  <si>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</si>
  <si>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</si>
  <si>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</si>
  <si>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</si>
  <si>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</si>
  <si>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</si>
  <si>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</si>
  <si>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</si>
  <si>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</si>
  <si>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</si>
  <si>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</si>
  <si>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</si>
  <si>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</si>
  <si>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</si>
  <si>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</si>
  <si>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</si>
  <si>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</si>
  <si>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</si>
  <si>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</si>
  <si>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</si>
  <si>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</si>
  <si>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</si>
  <si>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</si>
  <si>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</si>
  <si>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</si>
  <si>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</si>
  <si>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</si>
  <si>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</si>
  <si>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</si>
  <si>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</si>
  <si>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</si>
  <si>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</si>
  <si>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</si>
  <si>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</si>
  <si>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</si>
  <si>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</si>
  <si>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</si>
  <si>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</si>
  <si>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</si>
  <si>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</si>
  <si>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</si>
  <si>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</si>
  <si>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</si>
  <si>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</si>
  <si>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</si>
  <si>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</si>
  <si>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</si>
  <si>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</si>
  <si>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</si>
  <si>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</si>
  <si>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</si>
  <si>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</si>
  <si>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</si>
  <si>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</si>
  <si>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</si>
  <si>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</si>
  <si>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</si>
  <si>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</si>
  <si>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</si>
  <si>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</si>
  <si>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Daily operational expenses</t>
  </si>
  <si>
    <t>Current assets</t>
  </si>
  <si>
    <t>Growth Rates</t>
  </si>
  <si>
    <t>Selling,general and administrative</t>
  </si>
  <si>
    <t>Margins as a percentage of net sales</t>
  </si>
  <si>
    <t>Capex</t>
  </si>
  <si>
    <t>Formula</t>
  </si>
  <si>
    <t xml:space="preserve">Current ratio </t>
  </si>
  <si>
    <t xml:space="preserve">Quick Ratio </t>
  </si>
  <si>
    <t>Current Assets/Current Liabilities</t>
  </si>
  <si>
    <t>Current assets-inventory/current liability</t>
  </si>
  <si>
    <t>Cash Ratio</t>
  </si>
  <si>
    <t xml:space="preserve"> Cash and Cash Equivalents / Current Liabilities</t>
  </si>
  <si>
    <t xml:space="preserve">Defensive Interval </t>
  </si>
  <si>
    <t>current assets / daily operational expenses</t>
  </si>
  <si>
    <t xml:space="preserve">Inventory Days </t>
  </si>
  <si>
    <t>Market price per share/book value per share</t>
  </si>
  <si>
    <t>Shareholders equity/total number of shares outstanding</t>
  </si>
  <si>
    <t xml:space="preserve">Shares used in computing earnings per share </t>
  </si>
  <si>
    <t>Dividends paid/Net income</t>
  </si>
  <si>
    <t>Dividends paid/Outstanding number of shares</t>
  </si>
  <si>
    <t>Dividend per share/Market price per share</t>
  </si>
  <si>
    <t>Net income/Shareholders equity</t>
  </si>
  <si>
    <t>Earnings before interest and tax/Capital employed</t>
  </si>
  <si>
    <t>Capital employed</t>
  </si>
  <si>
    <t>Total assets-Current liabilities</t>
  </si>
  <si>
    <t>Net income/Total assets</t>
  </si>
  <si>
    <t>Market capitalization+Total debts-Cash and cash equivalents</t>
  </si>
  <si>
    <t>Market capitalization</t>
  </si>
  <si>
    <t>Current stock price*Number of outstanding shares</t>
  </si>
  <si>
    <t>Market Share price (from Bloomberg)</t>
  </si>
  <si>
    <t>Enterprise value/EBITDA</t>
  </si>
  <si>
    <t>Average inventory/Cost of goods sold *365 days</t>
  </si>
  <si>
    <t>Accounts payable/Cost of goods sold * 365 days</t>
  </si>
  <si>
    <t>Accounts receivable/Sales * 365 days</t>
  </si>
  <si>
    <t>Inventory days+Receivable days-Payable days</t>
  </si>
  <si>
    <t>Current assets-Current liabilities</t>
  </si>
  <si>
    <t>Gross profit/Sales *100%</t>
  </si>
  <si>
    <t>Earnings before interest, tax,depreciation and amortization/ Sales</t>
  </si>
  <si>
    <t>Earnings before interest and tax / Sales</t>
  </si>
  <si>
    <t xml:space="preserve">Earnings before interest and tax </t>
  </si>
  <si>
    <t>Net income/Sales *100%</t>
  </si>
  <si>
    <t>Total liabilities/Shareholders Equity</t>
  </si>
  <si>
    <t>Total liabilities/Total assets</t>
  </si>
  <si>
    <t>Long term debt/Long term debt + Shareholders equity</t>
  </si>
  <si>
    <t>Earnings before interest and tax/total interest payable on debts</t>
  </si>
  <si>
    <t>Cash from operations-Capex+ Net debt issued</t>
  </si>
  <si>
    <t>FCFE/outstanding number of shares</t>
  </si>
  <si>
    <t>Total sales/Total assets</t>
  </si>
  <si>
    <t>Total sales/Total fixed assets</t>
  </si>
  <si>
    <t>Cost of sales/inventory</t>
  </si>
  <si>
    <t>Net income/Total Assets</t>
  </si>
  <si>
    <t>Figures in   days</t>
  </si>
  <si>
    <t>Figures in percentage</t>
  </si>
  <si>
    <t xml:space="preserve">Figures in percentage </t>
  </si>
  <si>
    <t>Figures in millions</t>
  </si>
  <si>
    <t>Current year/Previous year minus 1</t>
  </si>
  <si>
    <t>Cost of goods sold/Net sales</t>
  </si>
  <si>
    <t>Gross profit/Net sales</t>
  </si>
  <si>
    <t>Net profit/Net sales</t>
  </si>
  <si>
    <t>Operating income/Net sales</t>
  </si>
  <si>
    <t>Selling, general and administrative expenses/Net sales</t>
  </si>
  <si>
    <t>Research and development expenses/Net sales</t>
  </si>
  <si>
    <t>Annual operating expenses-non cash charges/365 days</t>
  </si>
  <si>
    <t>cash + marketable securities + net receivables</t>
  </si>
  <si>
    <t>Main line items in the balance sheet</t>
  </si>
  <si>
    <t>Shares used in computing earnings per share (in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</si>
</sst>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8" formatCode="_(* #,##0.0000_);_(* \(#,##0.0000\);_(* &quot;-&quot;??_);_(@_)"/>
    <numFmt numFmtId="177" formatCode="#,##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2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8" fontId="0" fillId="0" borderId="0" xfId="1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Border="1"/>
    <xf numFmtId="0" fontId="10" fillId="0" borderId="0" xfId="0" applyFont="1" applyBorder="1" applyAlignment="1">
      <alignment wrapText="1"/>
    </xf>
    <xf numFmtId="165" fontId="0" fillId="0" borderId="0" xfId="0" applyNumberFormat="1"/>
    <xf numFmtId="0" fontId="9" fillId="2" borderId="0" xfId="0" applyFont="1" applyFill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177" fontId="2" fillId="0" borderId="0" xfId="0" applyNumberFormat="1" applyFont="1"/>
    <xf numFmtId="164" fontId="3" fillId="2" borderId="0" xfId="1" applyFont="1" applyFill="1" applyAlignment="1">
      <alignment horizontal="center"/>
    </xf>
    <xf numFmtId="164" fontId="2" fillId="0" borderId="0" xfId="1" applyFont="1" applyAlignment="1">
      <alignment horizontal="center"/>
    </xf>
    <xf numFmtId="164" fontId="2" fillId="0" borderId="0" xfId="1" applyFont="1"/>
    <xf numFmtId="164" fontId="0" fillId="0" borderId="0" xfId="1" applyFont="1"/>
    <xf numFmtId="164" fontId="0" fillId="5" borderId="0" xfId="1" applyFont="1" applyFill="1"/>
    <xf numFmtId="164" fontId="2" fillId="0" borderId="0" xfId="1" applyFont="1" applyBorder="1"/>
    <xf numFmtId="0" fontId="2" fillId="0" borderId="0" xfId="1" applyNumberFormat="1" applyFont="1"/>
    <xf numFmtId="0" fontId="11" fillId="2" borderId="0" xfId="0" applyFont="1" applyFill="1" applyBorder="1" applyAlignment="1">
      <alignment horizontal="left" wrapText="1"/>
    </xf>
    <xf numFmtId="164" fontId="3" fillId="2" borderId="0" xfId="1" applyFont="1" applyFill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wrapText="1"/>
    </xf>
    <xf numFmtId="3" fontId="3" fillId="2" borderId="0" xfId="0" applyNumberFormat="1" applyFont="1" applyFill="1" applyAlignment="1">
      <alignment horizontal="center"/>
    </xf>
    <xf numFmtId="0" fontId="11" fillId="2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left" indent="1"/>
    </xf>
    <xf numFmtId="164" fontId="0" fillId="0" borderId="0" xfId="1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164" fontId="2" fillId="0" borderId="0" xfId="1" applyFont="1" applyAlignment="1"/>
    <xf numFmtId="0" fontId="0" fillId="0" borderId="0" xfId="0" applyFont="1" applyAlignment="1">
      <alignment horizontal="left" indent="1"/>
    </xf>
    <xf numFmtId="164" fontId="1" fillId="0" borderId="0" xfId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9" workbookViewId="0">
      <selection activeCell="A4" sqref="A4"/>
    </sheetView>
  </sheetViews>
  <sheetFormatPr defaultRowHeight="15" x14ac:dyDescent="0.25"/>
  <cols>
    <col min="1" max="1" width="104.5703125" customWidth="1"/>
  </cols>
  <sheetData>
    <row r="1" spans="1:1" ht="23.25" x14ac:dyDescent="0.35">
      <c r="A1" s="5" t="s">
        <v>87</v>
      </c>
    </row>
    <row r="3" spans="1:1" x14ac:dyDescent="0.25">
      <c r="A3" s="7" t="s">
        <v>136</v>
      </c>
    </row>
    <row r="4" spans="1:1" x14ac:dyDescent="0.25">
      <c r="A4" s="16" t="s">
        <v>88</v>
      </c>
    </row>
    <row r="5" spans="1:1" x14ac:dyDescent="0.25">
      <c r="A5" s="7" t="s">
        <v>97</v>
      </c>
    </row>
    <row r="6" spans="1:1" x14ac:dyDescent="0.25">
      <c r="A6" s="1" t="s">
        <v>143</v>
      </c>
    </row>
    <row r="7" spans="1:1" x14ac:dyDescent="0.25">
      <c r="A7" s="1"/>
    </row>
    <row r="8" spans="1:1" x14ac:dyDescent="0.25">
      <c r="A8" s="17" t="s">
        <v>144</v>
      </c>
    </row>
    <row r="9" spans="1:1" x14ac:dyDescent="0.25">
      <c r="A9" s="1" t="s">
        <v>140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91</v>
      </c>
    </row>
    <row r="13" spans="1:1" x14ac:dyDescent="0.25">
      <c r="A13" s="1"/>
    </row>
    <row r="14" spans="1:1" x14ac:dyDescent="0.25">
      <c r="A14" s="17" t="s">
        <v>92</v>
      </c>
    </row>
    <row r="15" spans="1:1" x14ac:dyDescent="0.25">
      <c r="A15" s="1" t="s">
        <v>141</v>
      </c>
    </row>
    <row r="16" spans="1:1" x14ac:dyDescent="0.25">
      <c r="A16" s="1" t="s">
        <v>89</v>
      </c>
    </row>
    <row r="17" spans="1:1" x14ac:dyDescent="0.25">
      <c r="A17" s="1" t="s">
        <v>90</v>
      </c>
    </row>
    <row r="18" spans="1:1" x14ac:dyDescent="0.25">
      <c r="A18" s="1" t="s">
        <v>14</v>
      </c>
    </row>
    <row r="19" spans="1:1" x14ac:dyDescent="0.25">
      <c r="A19" s="1" t="s">
        <v>93</v>
      </c>
    </row>
    <row r="20" spans="1:1" x14ac:dyDescent="0.25">
      <c r="A20" s="1"/>
    </row>
    <row r="21" spans="1:1" x14ac:dyDescent="0.25">
      <c r="A21" s="17" t="s">
        <v>98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/>
    </row>
    <row r="26" spans="1:1" x14ac:dyDescent="0.25">
      <c r="A26" s="17" t="s">
        <v>139</v>
      </c>
    </row>
    <row r="27" spans="1:1" x14ac:dyDescent="0.25">
      <c r="A27" s="16" t="s">
        <v>138</v>
      </c>
    </row>
    <row r="29" spans="1:1" x14ac:dyDescent="0.25">
      <c r="A29" s="7" t="s">
        <v>142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96" workbookViewId="0">
      <selection activeCell="A104" sqref="A104:D104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  <col min="8" max="8" width="12" bestFit="1" customWidth="1"/>
  </cols>
  <sheetData>
    <row r="1" spans="1:10" ht="60" customHeight="1" x14ac:dyDescent="0.25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25" t="s">
        <v>1</v>
      </c>
      <c r="B2" s="25"/>
      <c r="C2" s="25"/>
      <c r="D2" s="25"/>
    </row>
    <row r="3" spans="1:10" x14ac:dyDescent="0.25">
      <c r="B3" s="24" t="s">
        <v>23</v>
      </c>
      <c r="C3" s="24"/>
      <c r="D3" s="24"/>
    </row>
    <row r="4" spans="1:10" x14ac:dyDescent="0.25">
      <c r="B4" s="7">
        <v>2022</v>
      </c>
      <c r="C4" s="7">
        <v>2021</v>
      </c>
      <c r="D4" s="7">
        <v>2020</v>
      </c>
    </row>
    <row r="5" spans="1:10" x14ac:dyDescent="0.25">
      <c r="A5" t="s">
        <v>3</v>
      </c>
    </row>
    <row r="6" spans="1:10" x14ac:dyDescent="0.25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5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5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  <c r="H8">
        <f>C8/C48</f>
        <v>1.0422077367080529</v>
      </c>
    </row>
    <row r="9" spans="1:10" x14ac:dyDescent="0.25">
      <c r="A9" t="s">
        <v>7</v>
      </c>
      <c r="B9" s="12"/>
      <c r="C9" s="12"/>
      <c r="D9" s="12"/>
    </row>
    <row r="10" spans="1:10" x14ac:dyDescent="0.25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5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5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5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5">
      <c r="A14" t="s">
        <v>10</v>
      </c>
      <c r="B14" s="12"/>
      <c r="C14" s="12"/>
      <c r="D14" s="12"/>
    </row>
    <row r="15" spans="1:10" x14ac:dyDescent="0.25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5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5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5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5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5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5">
      <c r="A21" t="s">
        <v>17</v>
      </c>
      <c r="B21" s="12">
        <v>19300</v>
      </c>
      <c r="C21" s="12">
        <v>14527</v>
      </c>
      <c r="D21" s="12">
        <v>9680</v>
      </c>
    </row>
    <row r="22" spans="1:4" ht="15.75" thickBot="1" x14ac:dyDescent="0.3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5.75" thickTop="1" x14ac:dyDescent="0.25">
      <c r="A23" t="s">
        <v>19</v>
      </c>
    </row>
    <row r="24" spans="1:4" x14ac:dyDescent="0.25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5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5">
      <c r="A26" t="s">
        <v>22</v>
      </c>
    </row>
    <row r="27" spans="1:4" x14ac:dyDescent="0.25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5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5">
      <c r="A31" s="25" t="s">
        <v>24</v>
      </c>
      <c r="B31" s="25"/>
      <c r="C31" s="25"/>
      <c r="D31" s="25"/>
    </row>
    <row r="32" spans="1:4" x14ac:dyDescent="0.25">
      <c r="B32" s="24" t="s">
        <v>137</v>
      </c>
      <c r="C32" s="24"/>
      <c r="D32" s="24"/>
    </row>
    <row r="33" spans="1:8" x14ac:dyDescent="0.25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8" x14ac:dyDescent="0.25">
      <c r="A35" t="s">
        <v>25</v>
      </c>
    </row>
    <row r="36" spans="1:8" x14ac:dyDescent="0.25">
      <c r="A36" s="1" t="s">
        <v>26</v>
      </c>
      <c r="B36" s="12">
        <v>23646</v>
      </c>
      <c r="C36" s="12">
        <v>34940</v>
      </c>
      <c r="D36" s="12">
        <v>38016</v>
      </c>
    </row>
    <row r="37" spans="1:8" x14ac:dyDescent="0.25">
      <c r="A37" s="1" t="s">
        <v>27</v>
      </c>
      <c r="B37" s="12">
        <v>24658</v>
      </c>
      <c r="C37" s="12">
        <v>27699</v>
      </c>
      <c r="D37" s="12">
        <v>52927</v>
      </c>
    </row>
    <row r="38" spans="1:8" x14ac:dyDescent="0.25">
      <c r="A38" s="1" t="s">
        <v>28</v>
      </c>
      <c r="B38" s="12">
        <v>28184</v>
      </c>
      <c r="C38" s="12">
        <v>26278</v>
      </c>
      <c r="D38" s="12">
        <v>16120</v>
      </c>
    </row>
    <row r="39" spans="1:8" x14ac:dyDescent="0.25">
      <c r="A39" s="1" t="s">
        <v>29</v>
      </c>
      <c r="B39" s="12">
        <v>4946</v>
      </c>
      <c r="C39" s="12">
        <v>6580</v>
      </c>
      <c r="D39" s="12">
        <v>4061</v>
      </c>
    </row>
    <row r="40" spans="1:8" x14ac:dyDescent="0.25">
      <c r="A40" s="1" t="s">
        <v>47</v>
      </c>
      <c r="B40" s="12">
        <v>32748</v>
      </c>
      <c r="C40" s="12">
        <v>25228</v>
      </c>
      <c r="D40" s="12">
        <v>21325</v>
      </c>
    </row>
    <row r="41" spans="1:8" x14ac:dyDescent="0.25">
      <c r="A41" s="1" t="s">
        <v>30</v>
      </c>
      <c r="B41" s="12">
        <v>21223</v>
      </c>
      <c r="C41" s="12">
        <v>14111</v>
      </c>
      <c r="D41" s="12">
        <v>11264</v>
      </c>
    </row>
    <row r="42" spans="1:8" x14ac:dyDescent="0.25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8" x14ac:dyDescent="0.25">
      <c r="A43" t="s">
        <v>48</v>
      </c>
      <c r="B43" s="12"/>
      <c r="C43" s="12"/>
      <c r="D43" s="12"/>
    </row>
    <row r="44" spans="1:8" x14ac:dyDescent="0.25">
      <c r="A44" s="1" t="s">
        <v>27</v>
      </c>
      <c r="B44" s="12">
        <v>120805</v>
      </c>
      <c r="C44" s="12">
        <v>127877</v>
      </c>
      <c r="D44" s="12">
        <v>100887</v>
      </c>
    </row>
    <row r="45" spans="1:8" x14ac:dyDescent="0.25">
      <c r="A45" s="1" t="s">
        <v>32</v>
      </c>
      <c r="B45" s="12">
        <v>42117</v>
      </c>
      <c r="C45" s="12">
        <v>39440</v>
      </c>
      <c r="D45" s="12">
        <v>36766</v>
      </c>
    </row>
    <row r="46" spans="1:8" x14ac:dyDescent="0.25">
      <c r="A46" s="1" t="s">
        <v>49</v>
      </c>
      <c r="B46" s="12">
        <v>54428</v>
      </c>
      <c r="C46" s="12">
        <v>48849</v>
      </c>
      <c r="D46" s="12">
        <v>42522</v>
      </c>
    </row>
    <row r="47" spans="1:8" x14ac:dyDescent="0.25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8" ht="15.75" thickBot="1" x14ac:dyDescent="0.3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  <c r="H48" s="28"/>
    </row>
    <row r="49" spans="1:4" ht="15.75" thickTop="1" x14ac:dyDescent="0.25"/>
    <row r="50" spans="1:4" x14ac:dyDescent="0.25">
      <c r="A50" t="s">
        <v>34</v>
      </c>
    </row>
    <row r="51" spans="1:4" x14ac:dyDescent="0.25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5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5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5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5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5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5">
      <c r="A57" t="s">
        <v>51</v>
      </c>
      <c r="B57" s="12"/>
      <c r="C57" s="12"/>
      <c r="D57" s="12"/>
    </row>
    <row r="58" spans="1:4" x14ac:dyDescent="0.25">
      <c r="A58" s="1" t="s">
        <v>37</v>
      </c>
      <c r="B58" s="12"/>
      <c r="C58" s="12"/>
      <c r="D58" s="12"/>
    </row>
    <row r="59" spans="1:4" x14ac:dyDescent="0.25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5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5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5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5">
      <c r="B63" s="12"/>
      <c r="C63" s="12"/>
      <c r="D63" s="12"/>
    </row>
    <row r="64" spans="1:4" x14ac:dyDescent="0.25">
      <c r="A64" t="s">
        <v>42</v>
      </c>
      <c r="B64" s="12"/>
      <c r="C64" s="12"/>
      <c r="D64" s="12"/>
    </row>
    <row r="65" spans="1:4" x14ac:dyDescent="0.25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5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5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5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5.75" thickBot="1" x14ac:dyDescent="0.3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5.75" thickTop="1" x14ac:dyDescent="0.25"/>
    <row r="71" spans="1:4" x14ac:dyDescent="0.25">
      <c r="A71" s="25" t="s">
        <v>55</v>
      </c>
      <c r="B71" s="25"/>
      <c r="C71" s="25"/>
      <c r="D71" s="25"/>
    </row>
    <row r="72" spans="1:4" x14ac:dyDescent="0.25">
      <c r="B72" s="24" t="s">
        <v>23</v>
      </c>
      <c r="C72" s="24"/>
      <c r="D72" s="24"/>
    </row>
    <row r="73" spans="1:4" x14ac:dyDescent="0.25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5">
      <c r="A75" s="7" t="s">
        <v>56</v>
      </c>
      <c r="B75" s="15"/>
      <c r="C75" s="15"/>
      <c r="D75" s="15"/>
    </row>
    <row r="76" spans="1:4" x14ac:dyDescent="0.25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5">
      <c r="A77" s="11" t="s">
        <v>18</v>
      </c>
      <c r="B77" s="15"/>
      <c r="C77" s="15"/>
      <c r="D77" s="15"/>
    </row>
    <row r="78" spans="1:4" x14ac:dyDescent="0.25">
      <c r="A78" s="1" t="s">
        <v>58</v>
      </c>
      <c r="B78" s="12"/>
      <c r="C78" s="12"/>
      <c r="D78" s="12"/>
    </row>
    <row r="79" spans="1:4" x14ac:dyDescent="0.25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5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5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5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5">
      <c r="A83" t="s">
        <v>62</v>
      </c>
      <c r="B83" s="12"/>
      <c r="C83" s="12"/>
      <c r="D83" s="12"/>
    </row>
    <row r="84" spans="1:4" x14ac:dyDescent="0.25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5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5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5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5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5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5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5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5">
      <c r="A92" s="7" t="s">
        <v>64</v>
      </c>
      <c r="B92" s="12"/>
      <c r="C92" s="12"/>
      <c r="D92" s="12"/>
    </row>
    <row r="93" spans="1:4" x14ac:dyDescent="0.25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5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5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5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5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5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5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5">
      <c r="A100" s="7" t="s">
        <v>71</v>
      </c>
      <c r="B100" s="12"/>
      <c r="C100" s="12"/>
      <c r="D100" s="12"/>
    </row>
    <row r="101" spans="1:4" x14ac:dyDescent="0.25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5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5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5">
      <c r="A104" s="52" t="s">
        <v>74</v>
      </c>
      <c r="B104" s="12">
        <v>5465</v>
      </c>
      <c r="C104" s="12">
        <v>20393</v>
      </c>
      <c r="D104" s="12">
        <v>16091</v>
      </c>
    </row>
    <row r="105" spans="1:4" x14ac:dyDescent="0.25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5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5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5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5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5.75" thickBot="1" x14ac:dyDescent="0.3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.75" thickTop="1" x14ac:dyDescent="0.25">
      <c r="B111" s="12"/>
      <c r="C111" s="12"/>
      <c r="D111" s="12"/>
    </row>
    <row r="112" spans="1:4" x14ac:dyDescent="0.25">
      <c r="A112" t="s">
        <v>80</v>
      </c>
      <c r="B112" s="12"/>
      <c r="C112" s="12"/>
      <c r="D112" s="12"/>
    </row>
    <row r="113" spans="1:4" x14ac:dyDescent="0.25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5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6"/>
  <sheetViews>
    <sheetView tabSelected="1" topLeftCell="A117" workbookViewId="0">
      <selection activeCell="F6" sqref="F6"/>
    </sheetView>
  </sheetViews>
  <sheetFormatPr defaultRowHeight="15" x14ac:dyDescent="0.25"/>
  <cols>
    <col min="1" max="1" width="4.7109375" customWidth="1"/>
    <col min="2" max="2" width="60" bestFit="1" customWidth="1"/>
    <col min="3" max="3" width="34.28515625" style="30" bestFit="1" customWidth="1"/>
    <col min="4" max="5" width="13.85546875" style="30" bestFit="1" customWidth="1"/>
    <col min="6" max="8" width="13.7109375" style="37" bestFit="1" customWidth="1"/>
  </cols>
  <sheetData>
    <row r="1" spans="1:13" ht="60" customHeight="1" x14ac:dyDescent="0.4">
      <c r="A1" s="6"/>
      <c r="B1" s="20" t="s">
        <v>0</v>
      </c>
      <c r="C1" s="29"/>
      <c r="D1" s="29"/>
      <c r="E1" s="29"/>
      <c r="F1" s="34"/>
      <c r="G1" s="34"/>
      <c r="H1" s="34"/>
      <c r="I1" s="19"/>
      <c r="J1" s="19"/>
      <c r="K1" s="19"/>
      <c r="L1" s="19"/>
      <c r="M1" s="19"/>
    </row>
    <row r="2" spans="1:13" x14ac:dyDescent="0.25">
      <c r="F2" s="35" t="s">
        <v>23</v>
      </c>
      <c r="G2" s="35"/>
      <c r="H2" s="35"/>
    </row>
    <row r="3" spans="1:13" x14ac:dyDescent="0.25">
      <c r="F3" s="35"/>
      <c r="G3" s="35"/>
      <c r="H3" s="35"/>
    </row>
    <row r="4" spans="1:13" x14ac:dyDescent="0.25">
      <c r="F4" s="40">
        <f>+'Financial Statements'!B4</f>
        <v>2022</v>
      </c>
      <c r="G4" s="40">
        <f>+'Financial Statements'!C4</f>
        <v>2021</v>
      </c>
      <c r="H4" s="40">
        <f>+'Financial Statements'!D4</f>
        <v>2020</v>
      </c>
    </row>
    <row r="5" spans="1:13" x14ac:dyDescent="0.25">
      <c r="A5" s="18">
        <v>1</v>
      </c>
      <c r="B5" s="7" t="s">
        <v>99</v>
      </c>
      <c r="C5" s="27" t="s">
        <v>151</v>
      </c>
      <c r="D5" s="27"/>
      <c r="E5" s="27"/>
    </row>
    <row r="6" spans="1:13" x14ac:dyDescent="0.25">
      <c r="A6" s="18">
        <f>+A5+0.1</f>
        <v>1.1000000000000001</v>
      </c>
      <c r="B6" s="1" t="s">
        <v>152</v>
      </c>
      <c r="C6" s="31" t="s">
        <v>154</v>
      </c>
      <c r="D6" s="31"/>
      <c r="E6" s="31"/>
      <c r="F6" s="37">
        <f>'Financial Statements'!B42/'Financial Statements'!B56</f>
        <v>0.87935602862672257</v>
      </c>
      <c r="G6" s="37">
        <f>'Financial Statements'!C42/'Financial Statements'!C56</f>
        <v>1.0745531195957954</v>
      </c>
      <c r="H6" s="37">
        <f>'Financial Statements'!D42/'Financial Statements'!D56</f>
        <v>1.3636044481554577</v>
      </c>
    </row>
    <row r="7" spans="1:13" ht="30" x14ac:dyDescent="0.25">
      <c r="A7" s="18">
        <f t="shared" ref="A7:A17" si="0">+A6+0.1</f>
        <v>1.2000000000000002</v>
      </c>
      <c r="B7" s="1" t="s">
        <v>153</v>
      </c>
      <c r="C7" s="31" t="s">
        <v>155</v>
      </c>
      <c r="D7" s="31"/>
      <c r="E7" s="31"/>
      <c r="F7" s="37">
        <f>('Financial Statements'!B42-'Financial Statements'!B39)/'Financial Statements'!B56</f>
        <v>0.84723539114961488</v>
      </c>
      <c r="G7" s="37">
        <f>('Financial Statements'!C42-'Financial Statements'!C39)/'Financial Statements'!C56</f>
        <v>1.0221149018576519</v>
      </c>
      <c r="H7" s="37">
        <f>('Financial Statements'!D42-'Financial Statements'!D39)/'Financial Statements'!D56</f>
        <v>1.325072111735236</v>
      </c>
    </row>
    <row r="8" spans="1:13" ht="30" x14ac:dyDescent="0.25">
      <c r="A8" s="18">
        <f t="shared" si="0"/>
        <v>1.3000000000000003</v>
      </c>
      <c r="B8" s="1" t="s">
        <v>156</v>
      </c>
      <c r="C8" s="31" t="s">
        <v>157</v>
      </c>
      <c r="D8" s="31"/>
      <c r="E8" s="31"/>
      <c r="F8" s="37">
        <f>'Financial Statements'!B36/'Financial Statements'!B56</f>
        <v>0.15356340351469652</v>
      </c>
      <c r="G8" s="37">
        <f>'Financial Statements'!C36/'Financial Statements'!C56</f>
        <v>0.27844853005634318</v>
      </c>
      <c r="H8" s="37">
        <f>'Financial Statements'!D36/'Financial Statements'!D56</f>
        <v>0.36071049035979963</v>
      </c>
    </row>
    <row r="9" spans="1:13" ht="30" x14ac:dyDescent="0.25">
      <c r="A9" s="18">
        <f t="shared" si="0"/>
        <v>1.4000000000000004</v>
      </c>
      <c r="B9" s="1" t="s">
        <v>158</v>
      </c>
      <c r="C9" s="31" t="s">
        <v>159</v>
      </c>
      <c r="D9" s="31"/>
      <c r="E9" s="31"/>
      <c r="F9" s="37">
        <f>F10/F11</f>
        <v>693.77301756914596</v>
      </c>
      <c r="G9" s="37">
        <f t="shared" ref="G9:H9" si="1">G10/G11</f>
        <v>995.4514921939699</v>
      </c>
      <c r="H9" s="37">
        <f t="shared" si="1"/>
        <v>1415.254056207446</v>
      </c>
    </row>
    <row r="10" spans="1:13" ht="30" x14ac:dyDescent="0.25">
      <c r="A10" s="18"/>
      <c r="B10" s="1" t="s">
        <v>146</v>
      </c>
      <c r="C10" s="31" t="s">
        <v>209</v>
      </c>
      <c r="D10" s="31"/>
      <c r="E10" s="31"/>
      <c r="F10" s="37">
        <f>'Financial Statements'!B36+'Financial Statements'!B37+'Financial Statements'!B38</f>
        <v>76488</v>
      </c>
      <c r="G10" s="37">
        <f>'Financial Statements'!C36+'Financial Statements'!C37+'Financial Statements'!C38</f>
        <v>88917</v>
      </c>
      <c r="H10" s="37">
        <f>'Financial Statements'!D36+'Financial Statements'!D37+'Financial Statements'!D38</f>
        <v>107063</v>
      </c>
    </row>
    <row r="11" spans="1:13" ht="30" x14ac:dyDescent="0.25">
      <c r="A11" s="18"/>
      <c r="B11" s="1" t="s">
        <v>145</v>
      </c>
      <c r="C11" s="31" t="s">
        <v>208</v>
      </c>
      <c r="D11" s="31"/>
      <c r="E11" s="31"/>
      <c r="F11" s="37">
        <f>('Financial Statements'!B17-'Financial Statements'!B79)/365</f>
        <v>110.24931506849315</v>
      </c>
      <c r="G11" s="37">
        <f>('Financial Statements'!C17-'Financial Statements'!C79)/365</f>
        <v>89.323287671232876</v>
      </c>
      <c r="H11" s="37">
        <f>('Financial Statements'!D17-'Financial Statements'!D79)/365</f>
        <v>75.649315068493152</v>
      </c>
    </row>
    <row r="12" spans="1:13" x14ac:dyDescent="0.25">
      <c r="A12" s="18"/>
      <c r="B12" s="1"/>
      <c r="C12" s="31"/>
      <c r="D12" s="43"/>
      <c r="E12" s="41"/>
      <c r="F12" s="42" t="s">
        <v>197</v>
      </c>
      <c r="G12" s="42"/>
      <c r="H12" s="42"/>
    </row>
    <row r="13" spans="1:13" ht="30" x14ac:dyDescent="0.25">
      <c r="A13" s="18">
        <f>+A9+0.1</f>
        <v>1.5000000000000004</v>
      </c>
      <c r="B13" s="1" t="s">
        <v>160</v>
      </c>
      <c r="C13" s="31" t="s">
        <v>177</v>
      </c>
      <c r="D13" s="31"/>
      <c r="E13" s="31"/>
      <c r="F13" s="37">
        <f>('Financial Statements'!B39/'Financial Statements'!B12)*365</f>
        <v>8.0756980666171607</v>
      </c>
      <c r="G13" s="37">
        <f>('Financial Statements'!C39/'Financial Statements'!C12)*365</f>
        <v>11.27659274770989</v>
      </c>
      <c r="H13" s="37">
        <f>('Financial Statements'!D39/'Financial Statements'!D12)*365</f>
        <v>8.7418833562358831</v>
      </c>
    </row>
    <row r="14" spans="1:13" ht="30" x14ac:dyDescent="0.25">
      <c r="A14" s="18">
        <f t="shared" si="0"/>
        <v>1.6000000000000005</v>
      </c>
      <c r="B14" s="1" t="s">
        <v>100</v>
      </c>
      <c r="C14" s="31" t="s">
        <v>178</v>
      </c>
      <c r="D14" s="31"/>
      <c r="E14" s="31"/>
      <c r="F14" s="37">
        <f>('Financial Statements'!B51/'Financial Statements'!B12)*365</f>
        <v>104.68527730310539</v>
      </c>
      <c r="G14" s="37">
        <f>('Financial Statements'!C51/'Financial Statements'!C12)*365</f>
        <v>93.851071222315596</v>
      </c>
      <c r="H14" s="37">
        <f>('Financial Statements'!D51/'Financial Statements'!D12)*365</f>
        <v>91.048189715674198</v>
      </c>
    </row>
    <row r="15" spans="1:13" x14ac:dyDescent="0.25">
      <c r="A15" s="18">
        <f t="shared" si="0"/>
        <v>1.7000000000000006</v>
      </c>
      <c r="B15" s="1" t="s">
        <v>101</v>
      </c>
      <c r="C15" s="31" t="s">
        <v>179</v>
      </c>
      <c r="D15" s="31"/>
      <c r="E15" s="31"/>
      <c r="F15" s="37">
        <f>('Financial Statements'!B38/'Financial Statements'!B8)*365</f>
        <v>26.087825363656648</v>
      </c>
      <c r="G15" s="37">
        <f>('Financial Statements'!C38/'Financial Statements'!C8)*365</f>
        <v>26.219311841713207</v>
      </c>
      <c r="H15" s="37">
        <f>('Financial Statements'!D38/'Financial Statements'!D8)*365</f>
        <v>21.433437152796749</v>
      </c>
    </row>
    <row r="16" spans="1:13" ht="30" x14ac:dyDescent="0.25">
      <c r="A16" s="18">
        <f t="shared" si="0"/>
        <v>1.8000000000000007</v>
      </c>
      <c r="B16" s="1" t="s">
        <v>102</v>
      </c>
      <c r="C16" s="31" t="s">
        <v>180</v>
      </c>
      <c r="D16" s="31"/>
      <c r="E16" s="31"/>
      <c r="F16" s="37">
        <f>F13+F15-F14</f>
        <v>-70.521753872831582</v>
      </c>
      <c r="G16" s="37">
        <f t="shared" ref="G16:H16" si="2">G13+G15-G14</f>
        <v>-56.355166632892498</v>
      </c>
      <c r="H16" s="37">
        <f t="shared" si="2"/>
        <v>-60.872869206641568</v>
      </c>
    </row>
    <row r="17" spans="1:8" x14ac:dyDescent="0.25">
      <c r="A17" s="18">
        <f t="shared" si="0"/>
        <v>1.9000000000000008</v>
      </c>
      <c r="B17" s="1" t="s">
        <v>103</v>
      </c>
      <c r="C17" s="31"/>
      <c r="D17" s="31"/>
      <c r="E17" s="31"/>
      <c r="F17" s="37">
        <f>'List of Ratios'!F18/'Financial Statements'!B8</f>
        <v>-4.711052727678481E-2</v>
      </c>
      <c r="G17" s="37">
        <f>'List of Ratios'!G18/'Financial Statements'!C8</f>
        <v>2.557289573748623E-2</v>
      </c>
      <c r="H17" s="37">
        <f>'List of Ratios'!H18/'Financial Statements'!D8</f>
        <v>0.13959528623208203</v>
      </c>
    </row>
    <row r="18" spans="1:8" x14ac:dyDescent="0.25">
      <c r="A18" s="18"/>
      <c r="B18" s="3" t="s">
        <v>104</v>
      </c>
      <c r="C18" s="31" t="s">
        <v>181</v>
      </c>
      <c r="D18" s="31"/>
      <c r="E18" s="31"/>
      <c r="F18" s="37">
        <f>'Financial Statements'!B42-'Financial Statements'!B56</f>
        <v>-18577</v>
      </c>
      <c r="G18" s="37">
        <f>'Financial Statements'!C42-'Financial Statements'!C56</f>
        <v>9355</v>
      </c>
      <c r="H18" s="37">
        <f>'Financial Statements'!D42-'Financial Statements'!D56</f>
        <v>38321</v>
      </c>
    </row>
    <row r="19" spans="1:8" x14ac:dyDescent="0.25">
      <c r="A19" s="18"/>
      <c r="B19" s="3"/>
      <c r="C19" s="31"/>
      <c r="D19" s="31"/>
      <c r="E19" s="31"/>
    </row>
    <row r="20" spans="1:8" x14ac:dyDescent="0.25">
      <c r="A20" s="18"/>
      <c r="B20" s="3"/>
      <c r="C20" s="31"/>
      <c r="D20" s="31"/>
      <c r="E20" s="31"/>
    </row>
    <row r="21" spans="1:8" x14ac:dyDescent="0.25">
      <c r="A21" s="18"/>
      <c r="D21" s="44"/>
      <c r="E21" s="44"/>
      <c r="F21" s="42" t="s">
        <v>199</v>
      </c>
      <c r="G21" s="42"/>
      <c r="H21" s="42"/>
    </row>
    <row r="22" spans="1:8" x14ac:dyDescent="0.25">
      <c r="A22" s="18">
        <f>+A5+1</f>
        <v>2</v>
      </c>
      <c r="B22" s="17" t="s">
        <v>105</v>
      </c>
      <c r="C22" s="32"/>
      <c r="D22" s="32"/>
      <c r="E22" s="32"/>
    </row>
    <row r="23" spans="1:8" x14ac:dyDescent="0.25">
      <c r="A23" s="18">
        <f>+A22+0.1</f>
        <v>2.1</v>
      </c>
      <c r="B23" s="1" t="s">
        <v>9</v>
      </c>
      <c r="C23" s="31" t="s">
        <v>182</v>
      </c>
      <c r="D23" s="31"/>
      <c r="E23" s="31"/>
      <c r="F23" s="37">
        <f>('Financial Statements'!B8-'Financial Statements'!B12)/'Financial Statements'!B8</f>
        <v>0.43309630561360085</v>
      </c>
      <c r="G23" s="37">
        <f>('Financial Statements'!C8-'Financial Statements'!C12)/'Financial Statements'!C8</f>
        <v>0.41779359625167778</v>
      </c>
      <c r="H23" s="37">
        <f>('Financial Statements'!D8-'Financial Statements'!D12)/'Financial Statements'!D8</f>
        <v>0.38233247727810865</v>
      </c>
    </row>
    <row r="24" spans="1:8" ht="45" x14ac:dyDescent="0.25">
      <c r="A24" s="18">
        <f>+A23+0.1</f>
        <v>2.2000000000000002</v>
      </c>
      <c r="B24" s="1" t="s">
        <v>106</v>
      </c>
      <c r="C24" s="31" t="s">
        <v>183</v>
      </c>
      <c r="D24" s="31"/>
      <c r="E24" s="31"/>
      <c r="F24" s="37">
        <f>'Financial Statements'!B18/'Financial Statements'!B8</f>
        <v>0.30288744395528594</v>
      </c>
      <c r="G24" s="37">
        <f>'Financial Statements'!C18/'Financial Statements'!C8</f>
        <v>0.29782377527561593</v>
      </c>
      <c r="H24" s="37">
        <f>'Financial Statements'!D18/'Financial Statements'!D8</f>
        <v>0.24147314354406862</v>
      </c>
    </row>
    <row r="25" spans="1:8" x14ac:dyDescent="0.25">
      <c r="A25" s="18"/>
      <c r="B25" s="3" t="s">
        <v>107</v>
      </c>
      <c r="C25" s="31"/>
      <c r="D25" s="31"/>
      <c r="E25" s="31"/>
      <c r="F25" s="37">
        <f>'Financial Statements'!B18</f>
        <v>119437</v>
      </c>
      <c r="G25" s="37">
        <f>'Financial Statements'!C18</f>
        <v>108949</v>
      </c>
      <c r="H25" s="37">
        <f>'Financial Statements'!D18</f>
        <v>66288</v>
      </c>
    </row>
    <row r="26" spans="1:8" ht="30" x14ac:dyDescent="0.25">
      <c r="A26" s="18">
        <f>+A24+0.1</f>
        <v>2.3000000000000003</v>
      </c>
      <c r="B26" s="1" t="s">
        <v>108</v>
      </c>
      <c r="C26" s="31" t="s">
        <v>184</v>
      </c>
      <c r="D26" s="31"/>
      <c r="E26" s="31"/>
      <c r="F26" s="37">
        <f>'Financial Statements'!B20/'Financial Statements'!B8</f>
        <v>0.30204043334482966</v>
      </c>
      <c r="G26" s="37">
        <f>'Financial Statements'!C20/'Financial Statements'!C8</f>
        <v>0.29852904594373691</v>
      </c>
      <c r="H26" s="37">
        <f>'Financial Statements'!D20/'Financial Statements'!D8</f>
        <v>0.24439830246070343</v>
      </c>
    </row>
    <row r="27" spans="1:8" x14ac:dyDescent="0.25">
      <c r="A27" s="18"/>
      <c r="B27" s="3" t="s">
        <v>109</v>
      </c>
      <c r="C27" s="31" t="s">
        <v>185</v>
      </c>
      <c r="D27" s="31"/>
      <c r="E27" s="31"/>
      <c r="F27" s="37">
        <f>'Financial Statements'!B20</f>
        <v>119103</v>
      </c>
      <c r="G27" s="37">
        <f>'Financial Statements'!C20</f>
        <v>109207</v>
      </c>
      <c r="H27" s="37">
        <f>'Financial Statements'!D20</f>
        <v>67091</v>
      </c>
    </row>
    <row r="28" spans="1:8" x14ac:dyDescent="0.25">
      <c r="A28" s="18">
        <f>+A26+0.1</f>
        <v>2.4000000000000004</v>
      </c>
      <c r="B28" s="1" t="s">
        <v>110</v>
      </c>
      <c r="C28" s="31" t="s">
        <v>186</v>
      </c>
      <c r="D28" s="31"/>
      <c r="E28" s="31"/>
      <c r="F28" s="37">
        <f>'Financial Statements'!B22/'Financial Statements'!B8</f>
        <v>0.25309640705199732</v>
      </c>
      <c r="G28" s="37">
        <f>'Financial Statements'!C22/'Financial Statements'!C8</f>
        <v>0.25881793355694238</v>
      </c>
      <c r="H28" s="37">
        <f>'Financial Statements'!D22/'Financial Statements'!D8</f>
        <v>0.20913611278072236</v>
      </c>
    </row>
    <row r="29" spans="1:8" x14ac:dyDescent="0.25">
      <c r="A29" s="18"/>
    </row>
    <row r="30" spans="1:8" x14ac:dyDescent="0.25">
      <c r="A30" s="18">
        <f>+A22+1</f>
        <v>3</v>
      </c>
      <c r="B30" s="7" t="s">
        <v>111</v>
      </c>
      <c r="C30" s="27"/>
      <c r="D30" s="27"/>
      <c r="E30" s="27"/>
    </row>
    <row r="31" spans="1:8" x14ac:dyDescent="0.25">
      <c r="A31" s="18">
        <f>+A30+0.1</f>
        <v>3.1</v>
      </c>
      <c r="B31" s="1" t="s">
        <v>112</v>
      </c>
      <c r="C31" s="31" t="s">
        <v>187</v>
      </c>
      <c r="D31" s="31"/>
      <c r="E31" s="31"/>
      <c r="F31" s="37">
        <f>'Financial Statements'!B62/'Financial Statements'!B68</f>
        <v>5.9615369434796337</v>
      </c>
      <c r="G31" s="37">
        <f>'Financial Statements'!C62/'Financial Statements'!C68</f>
        <v>4.5635124425423994</v>
      </c>
      <c r="H31" s="37">
        <f>'Financial Statements'!D62/'Financial Statements'!D68</f>
        <v>3.9570394404566951</v>
      </c>
    </row>
    <row r="32" spans="1:8" x14ac:dyDescent="0.25">
      <c r="A32" s="18">
        <f t="shared" ref="A32:A36" si="3">+A31+0.1</f>
        <v>3.2</v>
      </c>
      <c r="B32" s="1" t="s">
        <v>113</v>
      </c>
      <c r="C32" s="31" t="s">
        <v>188</v>
      </c>
      <c r="D32" s="31"/>
      <c r="E32" s="31"/>
      <c r="F32" s="37">
        <f>'Financial Statements'!B62/'Financial Statements'!B48</f>
        <v>0.85635355983614692</v>
      </c>
      <c r="G32" s="37">
        <f>'Financial Statements'!C62/'Financial Statements'!C48</f>
        <v>0.82025743443057308</v>
      </c>
      <c r="H32" s="37">
        <f>'Financial Statements'!D62/'Financial Statements'!D48</f>
        <v>0.79826668477992391</v>
      </c>
    </row>
    <row r="33" spans="1:8" ht="30" x14ac:dyDescent="0.25">
      <c r="A33" s="18">
        <f t="shared" si="3"/>
        <v>3.3000000000000003</v>
      </c>
      <c r="B33" s="1" t="s">
        <v>114</v>
      </c>
      <c r="C33" s="31" t="s">
        <v>189</v>
      </c>
      <c r="D33" s="31"/>
      <c r="E33" s="31"/>
      <c r="F33" s="37">
        <f>'Financial Statements'!B61/('Financial Statements'!B61+'Financial Statements'!B68)</f>
        <v>0.74507604151469264</v>
      </c>
      <c r="G33" s="37">
        <f>'Financial Statements'!C61/('Financial Statements'!C61+'Financial Statements'!C68)</f>
        <v>0.72024778180302496</v>
      </c>
      <c r="H33" s="37">
        <f>'Financial Statements'!D61/('Financial Statements'!D61+'Financial Statements'!D68)</f>
        <v>0.70096020064440534</v>
      </c>
    </row>
    <row r="34" spans="1:8" ht="30" x14ac:dyDescent="0.25">
      <c r="A34" s="18">
        <f t="shared" si="3"/>
        <v>3.4000000000000004</v>
      </c>
      <c r="B34" s="1" t="s">
        <v>115</v>
      </c>
      <c r="C34" s="31" t="s">
        <v>190</v>
      </c>
      <c r="D34" s="31"/>
      <c r="E34" s="31"/>
      <c r="F34" s="37">
        <f>'Financial Statements'!B20/'Financial Statements'!B114</f>
        <v>41.571727748691103</v>
      </c>
      <c r="G34" s="37">
        <f>'Financial Statements'!C20/'Financial Statements'!C114</f>
        <v>40.642724227763303</v>
      </c>
      <c r="H34" s="37">
        <f>'Financial Statements'!D20/'Financial Statements'!D114</f>
        <v>22.348767488341107</v>
      </c>
    </row>
    <row r="35" spans="1:8" x14ac:dyDescent="0.25">
      <c r="A35" s="18">
        <f t="shared" si="3"/>
        <v>3.5000000000000004</v>
      </c>
      <c r="B35" s="1" t="s">
        <v>116</v>
      </c>
      <c r="C35" s="31"/>
      <c r="D35" s="31"/>
      <c r="E35" s="31"/>
    </row>
    <row r="36" spans="1:8" x14ac:dyDescent="0.25">
      <c r="A36" s="18">
        <f t="shared" si="3"/>
        <v>3.6000000000000005</v>
      </c>
      <c r="B36" s="1" t="s">
        <v>117</v>
      </c>
      <c r="C36" s="31" t="s">
        <v>192</v>
      </c>
      <c r="D36" s="31"/>
      <c r="E36" s="31"/>
      <c r="F36" s="37">
        <f>F37/C51</f>
        <v>7.0199346162790333</v>
      </c>
      <c r="G36" s="37">
        <f t="shared" ref="G36:H36" si="4">G37/D51</f>
        <v>6.6146458784696156</v>
      </c>
      <c r="H36" s="37">
        <f t="shared" si="4"/>
        <v>5.5765523507532428</v>
      </c>
    </row>
    <row r="37" spans="1:8" ht="30" x14ac:dyDescent="0.25">
      <c r="A37" s="18"/>
      <c r="B37" s="3" t="s">
        <v>118</v>
      </c>
      <c r="C37" s="31" t="s">
        <v>191</v>
      </c>
      <c r="D37" s="31"/>
      <c r="E37" s="31"/>
      <c r="F37" s="37">
        <f>'Financial Statements'!B91-'List of Ratios'!F134+'Financial Statements'!B104</f>
        <v>113835</v>
      </c>
      <c r="G37" s="37">
        <f>'Financial Statements'!C91-'List of Ratios'!G134+'Financial Statements'!C104</f>
        <v>110473</v>
      </c>
      <c r="H37" s="37">
        <f>'Financial Statements'!D91-'List of Ratios'!H134+'Financial Statements'!D104</f>
        <v>96765</v>
      </c>
    </row>
    <row r="38" spans="1:8" x14ac:dyDescent="0.25">
      <c r="A38" s="18"/>
      <c r="B38" s="1"/>
    </row>
    <row r="39" spans="1:8" x14ac:dyDescent="0.25">
      <c r="A39" s="18">
        <f>+A30+1</f>
        <v>4</v>
      </c>
      <c r="B39" s="17" t="s">
        <v>119</v>
      </c>
      <c r="C39" s="32"/>
      <c r="D39" s="32"/>
      <c r="E39" s="32"/>
    </row>
    <row r="40" spans="1:8" x14ac:dyDescent="0.25">
      <c r="A40" s="18">
        <f>+A39+0.1</f>
        <v>4.0999999999999996</v>
      </c>
      <c r="B40" s="1" t="s">
        <v>120</v>
      </c>
      <c r="C40" s="31" t="s">
        <v>193</v>
      </c>
      <c r="D40" s="31"/>
      <c r="E40" s="31"/>
      <c r="F40" s="37">
        <f>'Financial Statements'!B8/'Financial Statements'!B48</f>
        <v>1.1178523337727317</v>
      </c>
      <c r="G40" s="37">
        <f>'Financial Statements'!C8/'Financial Statements'!C48</f>
        <v>1.0422077367080529</v>
      </c>
      <c r="H40" s="37">
        <f>'Financial Statements'!D8/'Financial Statements'!D48</f>
        <v>0.84756150274168851</v>
      </c>
    </row>
    <row r="41" spans="1:8" x14ac:dyDescent="0.25">
      <c r="A41" s="18">
        <f t="shared" ref="A41:A43" si="5">+A40+0.1</f>
        <v>4.1999999999999993</v>
      </c>
      <c r="B41" s="1" t="s">
        <v>121</v>
      </c>
      <c r="C41" s="31" t="s">
        <v>194</v>
      </c>
      <c r="D41" s="31"/>
      <c r="E41" s="31"/>
      <c r="F41" s="37">
        <f>'Financial Statements'!B8/'Financial Statements'!B47</f>
        <v>1.8142535081665516</v>
      </c>
      <c r="G41" s="37">
        <f>'Financial Statements'!C8/'Financial Statements'!C47</f>
        <v>1.6922966608994938</v>
      </c>
      <c r="H41" s="37">
        <f>'Financial Statements'!D8/'Financial Statements'!D47</f>
        <v>1.5236020535590398</v>
      </c>
    </row>
    <row r="42" spans="1:8" x14ac:dyDescent="0.25">
      <c r="A42" s="18">
        <f t="shared" si="5"/>
        <v>4.2999999999999989</v>
      </c>
      <c r="B42" s="1" t="s">
        <v>122</v>
      </c>
      <c r="C42" s="31" t="s">
        <v>195</v>
      </c>
      <c r="D42" s="31"/>
      <c r="E42" s="31"/>
      <c r="F42" s="37">
        <f>'Financial Statements'!B12/'Financial Statements'!B39</f>
        <v>45.197331176708452</v>
      </c>
      <c r="G42" s="37">
        <f>'Financial Statements'!C12/'Financial Statements'!C39</f>
        <v>32.367933130699086</v>
      </c>
      <c r="H42" s="37">
        <f>'Financial Statements'!D12/'Financial Statements'!D39</f>
        <v>41.753016498399411</v>
      </c>
    </row>
    <row r="43" spans="1:8" x14ac:dyDescent="0.25">
      <c r="A43" s="18">
        <f t="shared" si="5"/>
        <v>4.3999999999999986</v>
      </c>
      <c r="B43" s="1" t="s">
        <v>123</v>
      </c>
      <c r="C43" s="31" t="s">
        <v>196</v>
      </c>
      <c r="D43" s="31"/>
      <c r="E43" s="31"/>
      <c r="F43" s="37">
        <f>'Financial Statements'!B22/'Financial Statements'!B48</f>
        <v>0.28292440929256851</v>
      </c>
      <c r="G43" s="37">
        <f>'Financial Statements'!C22/'Financial Statements'!C48</f>
        <v>0.26974205275183616</v>
      </c>
      <c r="H43" s="37">
        <f>'Financial Statements'!D22/'Financial Statements'!D48</f>
        <v>0.1772557180259843</v>
      </c>
    </row>
    <row r="44" spans="1:8" x14ac:dyDescent="0.25">
      <c r="A44" s="18"/>
    </row>
    <row r="45" spans="1:8" x14ac:dyDescent="0.25">
      <c r="A45" s="18"/>
    </row>
    <row r="46" spans="1:8" x14ac:dyDescent="0.25">
      <c r="A46" s="18">
        <f>+A39+1</f>
        <v>5</v>
      </c>
      <c r="B46" s="17" t="s">
        <v>124</v>
      </c>
      <c r="C46" s="32"/>
      <c r="D46" s="32"/>
      <c r="E46" s="32"/>
    </row>
    <row r="47" spans="1:8" x14ac:dyDescent="0.25">
      <c r="A47" s="18"/>
      <c r="B47" s="17" t="s">
        <v>163</v>
      </c>
      <c r="C47" s="32"/>
      <c r="D47" s="32"/>
      <c r="E47" s="32"/>
    </row>
    <row r="48" spans="1:8" x14ac:dyDescent="0.25">
      <c r="A48" s="18"/>
      <c r="B48" s="1" t="s">
        <v>20</v>
      </c>
      <c r="C48" s="2">
        <v>16215963000</v>
      </c>
      <c r="D48" s="2">
        <v>16701272000</v>
      </c>
      <c r="E48" s="2">
        <v>17352119000</v>
      </c>
    </row>
    <row r="49" spans="1:9" x14ac:dyDescent="0.25">
      <c r="A49" s="18"/>
      <c r="B49" s="1" t="s">
        <v>21</v>
      </c>
      <c r="C49" s="2">
        <v>16325819000</v>
      </c>
      <c r="D49" s="2">
        <v>16864919000</v>
      </c>
      <c r="E49" s="2">
        <v>17528214000</v>
      </c>
    </row>
    <row r="50" spans="1:9" x14ac:dyDescent="0.25">
      <c r="A50" s="18"/>
      <c r="B50" s="17" t="s">
        <v>211</v>
      </c>
      <c r="C50" s="2"/>
      <c r="D50" s="2"/>
      <c r="E50" s="2"/>
    </row>
    <row r="51" spans="1:9" x14ac:dyDescent="0.25">
      <c r="A51" s="18"/>
      <c r="B51" s="11" t="s">
        <v>20</v>
      </c>
      <c r="C51" s="33">
        <f>C48/1000000</f>
        <v>16215.963</v>
      </c>
      <c r="D51" s="33">
        <f t="shared" ref="D51:E51" si="6">D48/1000000</f>
        <v>16701.272000000001</v>
      </c>
      <c r="E51" s="33">
        <f t="shared" si="6"/>
        <v>17352.118999999999</v>
      </c>
    </row>
    <row r="52" spans="1:9" x14ac:dyDescent="0.25">
      <c r="A52" s="18"/>
      <c r="B52" s="11" t="s">
        <v>21</v>
      </c>
      <c r="C52" s="33">
        <f>C49/1000000</f>
        <v>16325.819</v>
      </c>
      <c r="D52" s="33">
        <f t="shared" ref="D52:E52" si="7">D49/1000000</f>
        <v>16864.919000000002</v>
      </c>
      <c r="E52" s="33">
        <f t="shared" si="7"/>
        <v>17528.214</v>
      </c>
    </row>
    <row r="53" spans="1:9" x14ac:dyDescent="0.25">
      <c r="A53" s="18"/>
      <c r="B53" s="11"/>
      <c r="C53" s="33"/>
      <c r="D53" s="33"/>
      <c r="E53" s="33"/>
    </row>
    <row r="54" spans="1:9" x14ac:dyDescent="0.25">
      <c r="A54" s="18"/>
      <c r="B54" s="1"/>
      <c r="C54" s="2"/>
      <c r="D54" s="2"/>
      <c r="E54" s="45" t="s">
        <v>200</v>
      </c>
      <c r="F54" s="45"/>
      <c r="G54" s="45"/>
      <c r="H54" s="45"/>
      <c r="I54" s="45"/>
    </row>
    <row r="55" spans="1:9" x14ac:dyDescent="0.25">
      <c r="A55" s="18"/>
      <c r="B55" s="17" t="s">
        <v>175</v>
      </c>
      <c r="C55" s="32"/>
      <c r="D55" s="32"/>
      <c r="E55" s="32"/>
      <c r="F55" s="36">
        <v>138.19999999999999</v>
      </c>
      <c r="G55" s="36">
        <v>142.65</v>
      </c>
      <c r="H55" s="36">
        <v>112.28</v>
      </c>
    </row>
    <row r="56" spans="1:9" x14ac:dyDescent="0.25">
      <c r="A56" s="18">
        <f>+A46+0.1</f>
        <v>5.0999999999999996</v>
      </c>
      <c r="B56" s="1" t="s">
        <v>125</v>
      </c>
      <c r="C56" s="31"/>
      <c r="D56" s="31"/>
      <c r="E56" s="31"/>
      <c r="F56" s="37">
        <f>'List of Ratios'!F55/'Financial Statements'!B24</f>
        <v>22.471544715447152</v>
      </c>
      <c r="G56" s="37">
        <f>'List of Ratios'!G55/'Financial Statements'!C24</f>
        <v>25.158730158730162</v>
      </c>
      <c r="H56" s="37">
        <f>'List of Ratios'!H55/'Financial Statements'!D24</f>
        <v>33.9214501510574</v>
      </c>
    </row>
    <row r="57" spans="1:9" x14ac:dyDescent="0.25">
      <c r="A57" s="18">
        <f t="shared" ref="A57:A60" si="8">+A56+0.1</f>
        <v>5.1999999999999993</v>
      </c>
      <c r="B57" s="3" t="s">
        <v>126</v>
      </c>
      <c r="C57" s="31"/>
      <c r="D57" s="31"/>
      <c r="E57" s="31"/>
      <c r="F57" s="38">
        <f>'Financial Statements'!B22/'List of Ratios'!C51</f>
        <v>6.1546144376377772</v>
      </c>
      <c r="G57" s="38">
        <f>'Financial Statements'!C22/'List of Ratios'!D51</f>
        <v>5.6690292811230183</v>
      </c>
      <c r="H57" s="38">
        <f>'Financial Statements'!D22/'List of Ratios'!E51</f>
        <v>3.3085872682177895</v>
      </c>
    </row>
    <row r="58" spans="1:9" ht="30" x14ac:dyDescent="0.25">
      <c r="A58" s="18">
        <f t="shared" si="8"/>
        <v>5.2999999999999989</v>
      </c>
      <c r="B58" s="1" t="s">
        <v>127</v>
      </c>
      <c r="C58" s="31" t="s">
        <v>161</v>
      </c>
      <c r="D58" s="31"/>
      <c r="E58" s="31"/>
      <c r="F58" s="37">
        <f>F55/F59</f>
        <v>44.526132495263646</v>
      </c>
      <c r="G58" s="37">
        <f t="shared" ref="G58:H58" si="9">G55/G59</f>
        <v>38.132520135520686</v>
      </c>
      <c r="H58" s="37">
        <f t="shared" si="9"/>
        <v>30.120875249391634</v>
      </c>
    </row>
    <row r="59" spans="1:9" ht="30" x14ac:dyDescent="0.25">
      <c r="A59" s="18">
        <f t="shared" si="8"/>
        <v>5.3999999999999986</v>
      </c>
      <c r="B59" s="3" t="s">
        <v>128</v>
      </c>
      <c r="C59" s="31" t="s">
        <v>162</v>
      </c>
      <c r="D59" s="31"/>
      <c r="E59" s="31"/>
      <c r="F59" s="37">
        <f>'Financial Statements'!B68/'List of Ratios'!C52</f>
        <v>3.1037952827971451</v>
      </c>
      <c r="G59" s="37">
        <f>'Financial Statements'!C68/'List of Ratios'!D52</f>
        <v>3.740901453484597</v>
      </c>
      <c r="H59" s="37">
        <f>'Financial Statements'!D68/'List of Ratios'!E52</f>
        <v>3.7276473233382479</v>
      </c>
    </row>
    <row r="60" spans="1:9" x14ac:dyDescent="0.25">
      <c r="A60" s="18">
        <f t="shared" si="8"/>
        <v>5.4999999999999982</v>
      </c>
      <c r="B60" s="1" t="s">
        <v>129</v>
      </c>
      <c r="C60" s="31" t="s">
        <v>164</v>
      </c>
      <c r="D60" s="31"/>
      <c r="E60" s="31"/>
      <c r="F60" s="37">
        <f>-'Financial Statements'!B102/'Financial Statements'!B22</f>
        <v>0.14870294480125848</v>
      </c>
      <c r="G60" s="37">
        <f>-'Financial Statements'!C102/'Financial Statements'!C22</f>
        <v>0.15279890156316012</v>
      </c>
      <c r="H60" s="37">
        <f>-'Financial Statements'!D102/'Financial Statements'!D22</f>
        <v>0.24526658654264863</v>
      </c>
    </row>
    <row r="61" spans="1:9" ht="30" x14ac:dyDescent="0.25">
      <c r="A61" s="18"/>
      <c r="B61" s="3" t="s">
        <v>130</v>
      </c>
      <c r="C61" s="31" t="s">
        <v>165</v>
      </c>
      <c r="D61" s="31"/>
      <c r="E61" s="31"/>
      <c r="F61" s="37">
        <f>-'Financial Statements'!B102/'List of Ratios'!C51</f>
        <v>0.91520929099307891</v>
      </c>
      <c r="G61" s="37">
        <f>-'Financial Statements'!C102/'List of Ratios'!D51</f>
        <v>0.86622144708498849</v>
      </c>
      <c r="H61" s="37">
        <f>-'Financial Statements'!D102/'List of Ratios'!E51</f>
        <v>0.81148590555424394</v>
      </c>
    </row>
    <row r="62" spans="1:9" ht="30" x14ac:dyDescent="0.25">
      <c r="A62" s="18">
        <f>+A60+0.1</f>
        <v>5.5999999999999979</v>
      </c>
      <c r="B62" s="1" t="s">
        <v>131</v>
      </c>
      <c r="C62" s="31" t="s">
        <v>166</v>
      </c>
      <c r="D62" s="31"/>
      <c r="E62" s="31"/>
      <c r="F62" s="37">
        <f>F61/F55</f>
        <v>6.6223537698486181E-3</v>
      </c>
      <c r="G62" s="37">
        <f t="shared" ref="G62:H62" si="10">G61/G55</f>
        <v>6.0723550444093128E-3</v>
      </c>
      <c r="H62" s="37">
        <f t="shared" si="10"/>
        <v>7.2273415172269678E-3</v>
      </c>
    </row>
    <row r="63" spans="1:9" x14ac:dyDescent="0.25">
      <c r="A63" s="18">
        <f t="shared" ref="A63" si="11">+A61+0.1</f>
        <v>0.1</v>
      </c>
      <c r="B63" s="1" t="s">
        <v>132</v>
      </c>
      <c r="C63" s="31" t="s">
        <v>167</v>
      </c>
      <c r="D63" s="31"/>
      <c r="E63" s="31"/>
      <c r="F63" s="37">
        <f>'Financial Statements'!B22/'Financial Statements'!B68</f>
        <v>1.9695887275023682</v>
      </c>
      <c r="G63" s="37">
        <f>'Financial Statements'!C22/'Financial Statements'!C68</f>
        <v>1.5007132667617689</v>
      </c>
      <c r="H63" s="37">
        <f>'Financial Statements'!D22/'Financial Statements'!D68</f>
        <v>0.87866358530127486</v>
      </c>
    </row>
    <row r="64" spans="1:9" x14ac:dyDescent="0.25">
      <c r="A64" s="18"/>
      <c r="B64" s="1" t="s">
        <v>169</v>
      </c>
      <c r="C64" s="31" t="s">
        <v>170</v>
      </c>
      <c r="D64" s="31"/>
      <c r="E64" s="31"/>
      <c r="F64" s="37">
        <f>'Financial Statements'!B48-'Financial Statements'!B56</f>
        <v>198773</v>
      </c>
      <c r="G64" s="37">
        <f>'Financial Statements'!C48-'Financial Statements'!C56</f>
        <v>225521</v>
      </c>
      <c r="H64" s="37">
        <f>'Financial Statements'!D48-'Financial Statements'!D56</f>
        <v>218496</v>
      </c>
    </row>
    <row r="65" spans="1:8" ht="30" x14ac:dyDescent="0.25">
      <c r="A65" s="18">
        <f>+A62+0.1</f>
        <v>5.6999999999999975</v>
      </c>
      <c r="B65" s="1" t="s">
        <v>133</v>
      </c>
      <c r="C65" s="31" t="s">
        <v>168</v>
      </c>
      <c r="D65" s="31"/>
      <c r="E65" s="31"/>
      <c r="F65" s="37">
        <f>'Financial Statements'!B20/'List of Ratios'!F64</f>
        <v>0.59919103701206899</v>
      </c>
      <c r="G65" s="37">
        <f>'Financial Statements'!C20/'List of Ratios'!G64</f>
        <v>0.48424315252238148</v>
      </c>
      <c r="H65" s="37">
        <f>'Financial Statements'!D20/'List of Ratios'!H64</f>
        <v>0.30705825278265964</v>
      </c>
    </row>
    <row r="66" spans="1:8" x14ac:dyDescent="0.25">
      <c r="A66" s="18">
        <f>+A63+0.1</f>
        <v>0.2</v>
      </c>
      <c r="B66" s="1" t="s">
        <v>123</v>
      </c>
      <c r="C66" s="31" t="s">
        <v>171</v>
      </c>
      <c r="D66" s="31"/>
      <c r="E66" s="31"/>
      <c r="F66" s="37">
        <f>'Financial Statements'!B22/'Financial Statements'!B48</f>
        <v>0.28292440929256851</v>
      </c>
      <c r="G66" s="37">
        <f>'Financial Statements'!C22/'Financial Statements'!C48</f>
        <v>0.26974205275183616</v>
      </c>
      <c r="H66" s="37">
        <f>'Financial Statements'!D22/'Financial Statements'!D48</f>
        <v>0.1772557180259843</v>
      </c>
    </row>
    <row r="67" spans="1:8" ht="30" x14ac:dyDescent="0.25">
      <c r="A67" s="18"/>
      <c r="B67" s="3" t="s">
        <v>173</v>
      </c>
      <c r="C67" s="31" t="s">
        <v>174</v>
      </c>
      <c r="D67" s="31"/>
      <c r="E67" s="31"/>
      <c r="F67" s="37">
        <f>F55*C51</f>
        <v>2241046.0865999996</v>
      </c>
      <c r="G67" s="37">
        <f t="shared" ref="G67:H67" si="12">G55*D51</f>
        <v>2382436.4508000002</v>
      </c>
      <c r="H67" s="37">
        <f t="shared" si="12"/>
        <v>1948295.92132</v>
      </c>
    </row>
    <row r="68" spans="1:8" ht="30" x14ac:dyDescent="0.25">
      <c r="A68" s="18"/>
      <c r="B68" s="3" t="s">
        <v>135</v>
      </c>
      <c r="C68" s="31" t="s">
        <v>172</v>
      </c>
      <c r="D68" s="31"/>
      <c r="E68" s="31"/>
      <c r="F68" s="37">
        <f>F67+'Financial Statements'!B62-'Financial Statements'!B36</f>
        <v>2519483.0865999996</v>
      </c>
      <c r="G68" s="37">
        <f>G67+'Financial Statements'!C62-'Financial Statements'!C36</f>
        <v>2635408.4508000002</v>
      </c>
      <c r="H68" s="37">
        <f>H67+'Financial Statements'!D62-'Financial Statements'!D36</f>
        <v>2168828.9213199997</v>
      </c>
    </row>
    <row r="69" spans="1:8" x14ac:dyDescent="0.25">
      <c r="A69" s="18">
        <f>+A65+0.1</f>
        <v>5.7999999999999972</v>
      </c>
      <c r="B69" s="1" t="s">
        <v>134</v>
      </c>
      <c r="C69" s="31" t="s">
        <v>176</v>
      </c>
      <c r="D69" s="31"/>
      <c r="E69" s="31"/>
      <c r="F69" s="37">
        <f>F68/'Financial Statements'!B20</f>
        <v>21.153817171691724</v>
      </c>
      <c r="G69" s="37">
        <f>G68/'Financial Statements'!C20</f>
        <v>24.132230084152116</v>
      </c>
      <c r="H69" s="37">
        <f>H68/'Financial Statements'!D20</f>
        <v>32.326674536375961</v>
      </c>
    </row>
    <row r="70" spans="1:8" x14ac:dyDescent="0.25">
      <c r="A70" s="18"/>
      <c r="B70" s="1"/>
      <c r="C70" s="31"/>
      <c r="D70" s="31"/>
      <c r="E70" s="31"/>
    </row>
    <row r="71" spans="1:8" x14ac:dyDescent="0.25">
      <c r="A71" s="18"/>
      <c r="B71" s="1"/>
      <c r="C71" s="31"/>
      <c r="D71" s="31"/>
      <c r="E71" s="31"/>
    </row>
    <row r="72" spans="1:8" x14ac:dyDescent="0.25">
      <c r="A72" s="18"/>
      <c r="B72" s="1"/>
      <c r="C72" s="31"/>
      <c r="D72" s="31"/>
      <c r="E72" s="31"/>
    </row>
    <row r="73" spans="1:8" x14ac:dyDescent="0.25">
      <c r="B73" s="11" t="s">
        <v>147</v>
      </c>
      <c r="C73" s="31"/>
      <c r="D73" s="31"/>
      <c r="E73" s="46" t="s">
        <v>198</v>
      </c>
      <c r="F73" s="46"/>
      <c r="G73" s="46"/>
      <c r="H73" s="46"/>
    </row>
    <row r="74" spans="1:8" x14ac:dyDescent="0.25">
      <c r="B74" s="1" t="s">
        <v>140</v>
      </c>
      <c r="C74" s="31"/>
      <c r="D74" s="31"/>
      <c r="E74" s="31"/>
    </row>
    <row r="75" spans="1:8" x14ac:dyDescent="0.25">
      <c r="B75" s="1" t="s">
        <v>4</v>
      </c>
      <c r="C75" s="31" t="s">
        <v>201</v>
      </c>
      <c r="D75" s="31"/>
      <c r="E75" s="31"/>
      <c r="F75" s="37">
        <f>('Financial Statements'!B6/'Financial Statements'!C6)-1 *100%</f>
        <v>6.3239764351428418E-2</v>
      </c>
      <c r="G75" s="37">
        <f>('Financial Statements'!C6/'Financial Statements'!D6)-1 *100%</f>
        <v>0.34720743656765429</v>
      </c>
    </row>
    <row r="76" spans="1:8" x14ac:dyDescent="0.25">
      <c r="B76" s="1" t="s">
        <v>5</v>
      </c>
      <c r="C76" s="31" t="s">
        <v>201</v>
      </c>
      <c r="D76" s="31"/>
      <c r="E76" s="31"/>
      <c r="F76" s="37">
        <f>('Financial Statements'!B7/'Financial Statements'!C7)-1 *100%</f>
        <v>0.14181951041286078</v>
      </c>
      <c r="G76" s="37">
        <f>('Financial Statements'!C7/'Financial Statements'!D7)-1 *100%</f>
        <v>0.27259708376729663</v>
      </c>
    </row>
    <row r="77" spans="1:8" x14ac:dyDescent="0.25">
      <c r="B77" s="1" t="s">
        <v>89</v>
      </c>
      <c r="C77" s="31" t="s">
        <v>201</v>
      </c>
      <c r="D77" s="31"/>
      <c r="E77" s="31"/>
      <c r="F77" s="37">
        <f>('Financial Statements'!B13/'Financial Statements'!C13)-1 *100%</f>
        <v>0.1174199795859614</v>
      </c>
      <c r="G77" s="37">
        <f>('Financial Statements'!C13/'Financial Statements'!D13)-1 *100%</f>
        <v>0.45619116582186825</v>
      </c>
    </row>
    <row r="78" spans="1:8" x14ac:dyDescent="0.25">
      <c r="B78" s="1" t="s">
        <v>11</v>
      </c>
      <c r="C78" s="31" t="s">
        <v>201</v>
      </c>
      <c r="D78" s="31"/>
      <c r="E78" s="31"/>
      <c r="F78" s="37">
        <f>('Financial Statements'!B15/'Financial Statements'!C15)-1 *100%</f>
        <v>0.19791001186456136</v>
      </c>
      <c r="G78" s="37">
        <f>('Financial Statements'!C15/'Financial Statements'!D15)-1 *100%</f>
        <v>0.16862201365187723</v>
      </c>
    </row>
    <row r="79" spans="1:8" x14ac:dyDescent="0.25">
      <c r="B79" s="1" t="s">
        <v>148</v>
      </c>
      <c r="C79" s="31" t="s">
        <v>201</v>
      </c>
      <c r="D79" s="31"/>
      <c r="E79" s="31"/>
      <c r="F79" s="37">
        <f>('Financial Statements'!B16/'Financial Statements'!C16)-1 *100%</f>
        <v>0.14203795567287125</v>
      </c>
      <c r="G79" s="37">
        <f>('Financial Statements'!C16/'Financial Statements'!D16)-1 *100%</f>
        <v>0.10328379192608961</v>
      </c>
    </row>
    <row r="80" spans="1:8" x14ac:dyDescent="0.25">
      <c r="B80" s="1" t="s">
        <v>13</v>
      </c>
      <c r="C80" s="31" t="s">
        <v>201</v>
      </c>
      <c r="D80" s="31"/>
      <c r="E80" s="31"/>
      <c r="F80" s="37">
        <f>('Financial Statements'!B17/'Financial Statements'!C17)-1 *100%</f>
        <v>0.16993642764372141</v>
      </c>
      <c r="G80" s="37">
        <f>('Financial Statements'!C17/'Financial Statements'!D17)-1 *100%</f>
        <v>0.13496948381090301</v>
      </c>
    </row>
    <row r="81" spans="2:8" x14ac:dyDescent="0.25">
      <c r="B81" t="s">
        <v>14</v>
      </c>
      <c r="C81" s="31" t="s">
        <v>201</v>
      </c>
      <c r="D81" s="31"/>
      <c r="E81" s="31"/>
      <c r="F81" s="37">
        <f>('Financial Statements'!B18/'Financial Statements'!C18)-1 *100%</f>
        <v>9.6265225013538513E-2</v>
      </c>
      <c r="G81" s="37">
        <f>('Financial Statements'!C18/'Financial Statements'!D18)-1 *100%</f>
        <v>0.64357048032826447</v>
      </c>
    </row>
    <row r="82" spans="2:8" x14ac:dyDescent="0.25">
      <c r="B82" t="s">
        <v>15</v>
      </c>
      <c r="C82" s="31" t="s">
        <v>201</v>
      </c>
      <c r="F82" s="37">
        <f>('Financial Statements'!B19/'Financial Statements'!C19)-1 *100%</f>
        <v>-2.2945736434108528</v>
      </c>
      <c r="G82" s="37">
        <f>('Financial Statements'!C19/'Financial Statements'!D19)-1 *100%</f>
        <v>-0.67870485678704862</v>
      </c>
    </row>
    <row r="83" spans="2:8" x14ac:dyDescent="0.25">
      <c r="B83" t="s">
        <v>16</v>
      </c>
      <c r="C83" s="31" t="s">
        <v>201</v>
      </c>
      <c r="F83" s="37">
        <f>('Financial Statements'!B20/'Financial Statements'!C20)-1 *100%</f>
        <v>9.0616901846951148E-2</v>
      </c>
      <c r="G83" s="37">
        <f>('Financial Statements'!C20/'Financial Statements'!D20)-1 *100%</f>
        <v>0.62774440685039723</v>
      </c>
      <c r="H83" s="51"/>
    </row>
    <row r="84" spans="2:8" x14ac:dyDescent="0.25">
      <c r="B84" t="s">
        <v>17</v>
      </c>
      <c r="C84" s="31" t="s">
        <v>201</v>
      </c>
      <c r="F84" s="37">
        <f>('Financial Statements'!B21/'Financial Statements'!C21)-1 *100%</f>
        <v>0.32856061127555591</v>
      </c>
      <c r="G84" s="37">
        <f>('Financial Statements'!C21/'Financial Statements'!D21)-1 *100%</f>
        <v>0.50072314049586786</v>
      </c>
      <c r="H84" s="36"/>
    </row>
    <row r="85" spans="2:8" x14ac:dyDescent="0.25">
      <c r="B85" s="52" t="s">
        <v>18</v>
      </c>
      <c r="C85" s="31" t="s">
        <v>201</v>
      </c>
      <c r="F85" s="37">
        <f>('Financial Statements'!B22/'Financial Statements'!C22)-1 *100%</f>
        <v>5.410857625686516E-2</v>
      </c>
      <c r="G85" s="37">
        <f>('Financial Statements'!C22/'Financial Statements'!D22)-1 *100%</f>
        <v>0.64916131055024295</v>
      </c>
    </row>
    <row r="86" spans="2:8" x14ac:dyDescent="0.25">
      <c r="B86" s="11"/>
      <c r="C86" s="31"/>
    </row>
    <row r="87" spans="2:8" x14ac:dyDescent="0.25">
      <c r="B87" s="7" t="s">
        <v>210</v>
      </c>
      <c r="C87" s="31"/>
    </row>
    <row r="88" spans="2:8" x14ac:dyDescent="0.25">
      <c r="B88" s="1" t="s">
        <v>26</v>
      </c>
      <c r="C88" s="31" t="s">
        <v>201</v>
      </c>
      <c r="D88" s="31"/>
      <c r="E88" s="31"/>
      <c r="F88" s="37">
        <f>('Financial Statements'!B36/'Financial Statements'!C36)-1</f>
        <v>-0.32323983972524328</v>
      </c>
      <c r="G88" s="37">
        <f>('Financial Statements'!C36/'Financial Statements'!D36)-1</f>
        <v>-8.0913299663299632E-2</v>
      </c>
    </row>
    <row r="89" spans="2:8" x14ac:dyDescent="0.25">
      <c r="B89" s="1" t="s">
        <v>27</v>
      </c>
      <c r="C89" s="31" t="s">
        <v>201</v>
      </c>
      <c r="D89" s="31"/>
      <c r="E89" s="31"/>
      <c r="F89" s="37">
        <f>('Financial Statements'!B37/'Financial Statements'!C37)-1</f>
        <v>-0.10978735694429398</v>
      </c>
      <c r="G89" s="37">
        <f>('Financial Statements'!C37/'Financial Statements'!D37)-1 *100%</f>
        <v>-0.47665652691442928</v>
      </c>
    </row>
    <row r="90" spans="2:8" x14ac:dyDescent="0.25">
      <c r="B90" s="1" t="s">
        <v>28</v>
      </c>
      <c r="C90" s="31" t="s">
        <v>201</v>
      </c>
      <c r="D90" s="31"/>
      <c r="E90" s="31"/>
      <c r="F90" s="37">
        <f>('Financial Statements'!B38/'Financial Statements'!C38)-1</f>
        <v>7.2532156176269069E-2</v>
      </c>
      <c r="G90" s="37">
        <f>('Financial Statements'!C38/'Financial Statements'!D38)-1 *100%</f>
        <v>0.63014888337468977</v>
      </c>
    </row>
    <row r="91" spans="2:8" x14ac:dyDescent="0.25">
      <c r="B91" s="1" t="s">
        <v>29</v>
      </c>
      <c r="C91" s="31" t="s">
        <v>201</v>
      </c>
      <c r="D91" s="31"/>
      <c r="E91" s="31"/>
      <c r="F91" s="37">
        <f>('Financial Statements'!B39/'Financial Statements'!C39)-1</f>
        <v>-0.2483282674772036</v>
      </c>
      <c r="G91" s="37">
        <f>('Financial Statements'!C39/'Financial Statements'!D39)-1 *100%</f>
        <v>0.62029056882541256</v>
      </c>
    </row>
    <row r="92" spans="2:8" x14ac:dyDescent="0.25">
      <c r="B92" s="1" t="s">
        <v>47</v>
      </c>
      <c r="C92" s="31" t="s">
        <v>201</v>
      </c>
      <c r="D92" s="31"/>
      <c r="E92" s="31"/>
      <c r="F92" s="37">
        <f>('Financial Statements'!B40/'Financial Statements'!C40)-1</f>
        <v>0.29808149674964324</v>
      </c>
      <c r="G92" s="37">
        <f>('Financial Statements'!C40/'Financial Statements'!D40)-1 *100%</f>
        <v>0.18302461899179367</v>
      </c>
    </row>
    <row r="93" spans="2:8" x14ac:dyDescent="0.25">
      <c r="B93" s="47" t="s">
        <v>30</v>
      </c>
      <c r="C93" s="31" t="s">
        <v>201</v>
      </c>
      <c r="D93" s="31"/>
      <c r="E93" s="31"/>
      <c r="F93" s="37">
        <f>('Financial Statements'!B41/'Financial Statements'!C41)-1</f>
        <v>0.50400396853518536</v>
      </c>
      <c r="G93" s="48">
        <f>('Financial Statements'!C41/'Financial Statements'!D41)-1 *100%</f>
        <v>0.25275213068181812</v>
      </c>
      <c r="H93" s="48"/>
    </row>
    <row r="94" spans="2:8" x14ac:dyDescent="0.25">
      <c r="B94" s="26" t="s">
        <v>31</v>
      </c>
      <c r="C94" s="31" t="s">
        <v>201</v>
      </c>
      <c r="D94" s="27"/>
      <c r="E94" s="27"/>
      <c r="F94" s="23">
        <f>('Financial Statements'!B42/'Financial Statements'!C42)-1</f>
        <v>4.2199412619774446E-3</v>
      </c>
      <c r="G94" s="23">
        <f>('Financial Statements'!C42/'Financial Statements'!D42)-1</f>
        <v>-6.1768942266879123E-2</v>
      </c>
      <c r="H94" s="39"/>
    </row>
    <row r="95" spans="2:8" x14ac:dyDescent="0.25">
      <c r="B95" s="49" t="s">
        <v>48</v>
      </c>
      <c r="C95" s="31"/>
      <c r="F95" s="48"/>
      <c r="G95" s="48"/>
      <c r="H95" s="48"/>
    </row>
    <row r="96" spans="2:8" x14ac:dyDescent="0.25">
      <c r="B96" s="47" t="s">
        <v>27</v>
      </c>
      <c r="C96" s="31" t="s">
        <v>201</v>
      </c>
      <c r="D96" s="31"/>
      <c r="E96" s="31"/>
      <c r="F96" s="48">
        <f>('Financial Statements'!B44/'Financial Statements'!C44)-1 *100%</f>
        <v>-5.5303142863845745E-2</v>
      </c>
      <c r="G96" s="48">
        <f>('Financial Statements'!C44/'Financial Statements'!D44)-1 *100%</f>
        <v>0.26752703519779564</v>
      </c>
      <c r="H96" s="48"/>
    </row>
    <row r="97" spans="2:8" x14ac:dyDescent="0.25">
      <c r="B97" s="47" t="s">
        <v>32</v>
      </c>
      <c r="C97" s="31" t="s">
        <v>201</v>
      </c>
      <c r="D97" s="31"/>
      <c r="E97" s="31"/>
      <c r="F97" s="48">
        <f>('Financial Statements'!B45/'Financial Statements'!C45)-1 *100%</f>
        <v>6.7875253549695813E-2</v>
      </c>
      <c r="G97" s="48">
        <f>('Financial Statements'!C45/'Financial Statements'!D45)-1 *100%</f>
        <v>7.2730239895555604E-2</v>
      </c>
      <c r="H97" s="48"/>
    </row>
    <row r="98" spans="2:8" x14ac:dyDescent="0.25">
      <c r="B98" s="47" t="s">
        <v>49</v>
      </c>
      <c r="C98" s="31" t="s">
        <v>201</v>
      </c>
      <c r="D98" s="31"/>
      <c r="E98" s="31"/>
      <c r="F98" s="48">
        <f>('Financial Statements'!B46/'Financial Statements'!C46)-1 *100%</f>
        <v>0.11420909332842033</v>
      </c>
      <c r="G98" s="48">
        <f>('Financial Statements'!C46/'Financial Statements'!D46)-1 *100%</f>
        <v>0.1487935656836461</v>
      </c>
      <c r="H98" s="48"/>
    </row>
    <row r="99" spans="2:8" x14ac:dyDescent="0.25">
      <c r="B99" s="26" t="s">
        <v>50</v>
      </c>
      <c r="C99" s="31" t="s">
        <v>201</v>
      </c>
      <c r="D99" s="27"/>
      <c r="E99" s="27"/>
      <c r="F99" s="39">
        <f>('Financial Statements'!B47/'Financial Statements'!C47)-1</f>
        <v>5.477272096444441E-3</v>
      </c>
      <c r="G99" s="39">
        <f>('Financial Statements'!C47/'Financial Statements'!D47)-1</f>
        <v>0.19975579297904811</v>
      </c>
      <c r="H99" s="39"/>
    </row>
    <row r="100" spans="2:8" x14ac:dyDescent="0.25">
      <c r="B100" s="26" t="s">
        <v>33</v>
      </c>
      <c r="C100" s="31" t="s">
        <v>201</v>
      </c>
      <c r="D100" s="27"/>
      <c r="E100" s="27"/>
      <c r="F100" s="39">
        <f>'Financial Statements'!B48/'Financial Statements'!C48-1</f>
        <v>4.994273536902849E-3</v>
      </c>
      <c r="G100" s="39">
        <f>'Financial Statements'!C48/'Financial Statements'!D48-1</f>
        <v>8.3714123400681739E-2</v>
      </c>
      <c r="H100" s="39"/>
    </row>
    <row r="101" spans="2:8" x14ac:dyDescent="0.25">
      <c r="B101" s="49"/>
      <c r="C101" s="31"/>
      <c r="F101" s="48"/>
      <c r="G101" s="48"/>
      <c r="H101" s="48"/>
    </row>
    <row r="102" spans="2:8" x14ac:dyDescent="0.25">
      <c r="B102" s="49" t="s">
        <v>34</v>
      </c>
      <c r="C102" s="31" t="s">
        <v>201</v>
      </c>
      <c r="F102" s="48"/>
      <c r="G102" s="48"/>
      <c r="H102" s="48"/>
    </row>
    <row r="103" spans="2:8" x14ac:dyDescent="0.25">
      <c r="B103" s="47" t="s">
        <v>35</v>
      </c>
      <c r="C103" s="31" t="s">
        <v>201</v>
      </c>
      <c r="D103" s="31"/>
      <c r="E103" s="31"/>
      <c r="F103" s="48">
        <f>('Financial Statements'!B51/'Financial Statements'!C51)-1 * 100%</f>
        <v>0.17077223672917841</v>
      </c>
      <c r="G103" s="48">
        <f>('Financial Statements'!C51/'Financial Statements'!D51)-1 * 100%</f>
        <v>0.29475600529600898</v>
      </c>
      <c r="H103" s="48"/>
    </row>
    <row r="104" spans="2:8" x14ac:dyDescent="0.25">
      <c r="B104" s="47" t="s">
        <v>36</v>
      </c>
      <c r="C104" s="31" t="s">
        <v>201</v>
      </c>
      <c r="D104" s="31"/>
      <c r="E104" s="31"/>
      <c r="F104" s="48">
        <f>('Financial Statements'!B52/'Financial Statements'!C52)-1 * 100%</f>
        <v>0.28113616743520087</v>
      </c>
      <c r="G104" s="48">
        <f>('Financial Statements'!C52/'Financial Statements'!D52)-1 * 100%</f>
        <v>0.11266516727579412</v>
      </c>
      <c r="H104" s="48"/>
    </row>
    <row r="105" spans="2:8" x14ac:dyDescent="0.25">
      <c r="B105" s="47" t="s">
        <v>37</v>
      </c>
      <c r="C105" s="31" t="s">
        <v>201</v>
      </c>
      <c r="D105" s="31"/>
      <c r="E105" s="31"/>
      <c r="F105" s="48">
        <f>('Financial Statements'!B53/'Financial Statements'!C53)-1 * 100%</f>
        <v>3.941145559642667E-2</v>
      </c>
      <c r="G105" s="48">
        <f>('Financial Statements'!C53/'Financial Statements'!D53)-1 * 100%</f>
        <v>0.14586783079933774</v>
      </c>
      <c r="H105" s="48"/>
    </row>
    <row r="106" spans="2:8" x14ac:dyDescent="0.25">
      <c r="B106" s="47" t="s">
        <v>38</v>
      </c>
      <c r="C106" s="31" t="s">
        <v>201</v>
      </c>
      <c r="D106" s="31"/>
      <c r="E106" s="31"/>
      <c r="F106" s="48">
        <f>('Financial Statements'!B54/'Financial Statements'!C54)-1 * 100%</f>
        <v>0.66366666666666663</v>
      </c>
      <c r="G106" s="48">
        <f>('Financial Statements'!C54/'Financial Statements'!D54)-1 * 100%</f>
        <v>0.20096076861489198</v>
      </c>
      <c r="H106" s="48"/>
    </row>
    <row r="107" spans="2:8" x14ac:dyDescent="0.25">
      <c r="B107" s="47" t="s">
        <v>39</v>
      </c>
      <c r="C107" s="31" t="s">
        <v>201</v>
      </c>
      <c r="D107" s="31"/>
      <c r="E107" s="31"/>
      <c r="F107" s="48">
        <f>('Financial Statements'!B55/'Financial Statements'!C55)-1 * 100%</f>
        <v>0.157599084572974</v>
      </c>
      <c r="G107" s="48">
        <f>('Financial Statements'!C55/'Financial Statements'!D55)-1 * 100%</f>
        <v>9.5748318705118018E-2</v>
      </c>
      <c r="H107" s="48"/>
    </row>
    <row r="108" spans="2:8" x14ac:dyDescent="0.25">
      <c r="B108" s="26"/>
      <c r="C108" s="31"/>
      <c r="D108" s="27"/>
      <c r="E108" s="27"/>
      <c r="F108" s="39"/>
      <c r="G108" s="39"/>
      <c r="H108" s="39"/>
    </row>
    <row r="109" spans="2:8" x14ac:dyDescent="0.25">
      <c r="B109" s="49" t="s">
        <v>51</v>
      </c>
      <c r="C109" s="31" t="s">
        <v>201</v>
      </c>
      <c r="F109" s="39"/>
      <c r="G109" s="48"/>
      <c r="H109" s="48"/>
    </row>
    <row r="110" spans="2:8" x14ac:dyDescent="0.25">
      <c r="B110" s="47" t="s">
        <v>37</v>
      </c>
      <c r="C110" s="31" t="s">
        <v>201</v>
      </c>
      <c r="D110" s="31"/>
      <c r="E110" s="31"/>
      <c r="F110" s="53">
        <f>('Financial Statements'!B53/'Financial Statements'!C53) -1 *100%</f>
        <v>3.941145559642667E-2</v>
      </c>
      <c r="G110" s="53">
        <f>('Financial Statements'!C53/'Financial Statements'!D53) -1 *100%</f>
        <v>0.14586783079933774</v>
      </c>
      <c r="H110" s="48"/>
    </row>
    <row r="111" spans="2:8" x14ac:dyDescent="0.25">
      <c r="B111" s="47" t="s">
        <v>39</v>
      </c>
      <c r="C111" s="31" t="s">
        <v>201</v>
      </c>
      <c r="D111" s="31"/>
      <c r="E111" s="31"/>
      <c r="F111" s="53">
        <f>('Financial Statements'!B59/'Financial Statements'!C59)-1 * 100%</f>
        <v>-9.3001301486627663E-2</v>
      </c>
      <c r="G111" s="53">
        <f>('Financial Statements'!C59/'Financial Statements'!D59)-1 * 100%</f>
        <v>0.10580031824216807</v>
      </c>
      <c r="H111" s="48"/>
    </row>
    <row r="112" spans="2:8" x14ac:dyDescent="0.25">
      <c r="B112" s="47" t="s">
        <v>52</v>
      </c>
      <c r="C112" s="31" t="s">
        <v>201</v>
      </c>
      <c r="D112" s="31"/>
      <c r="E112" s="31"/>
      <c r="F112" s="53">
        <f>('Financial Statements'!B60/'Financial Statements'!C60)-1 * 100%</f>
        <v>-7.8443506797937212E-2</v>
      </c>
      <c r="G112" s="53">
        <f>('Financial Statements'!C60/'Financial Statements'!D60)-1 * 100%</f>
        <v>-2.1380069737566565E-2</v>
      </c>
      <c r="H112" s="48"/>
    </row>
    <row r="113" spans="2:8" x14ac:dyDescent="0.25">
      <c r="B113" s="50" t="s">
        <v>53</v>
      </c>
      <c r="C113" s="31" t="s">
        <v>201</v>
      </c>
      <c r="D113" s="32"/>
      <c r="E113" s="32"/>
      <c r="F113" s="53">
        <f>('Financial Statements'!B61/'Financial Statements'!C61)-1 * 100%</f>
        <v>-8.8222075835277747E-2</v>
      </c>
      <c r="G113" s="53">
        <f>('Financial Statements'!C61/'Financial Statements'!D61)-1 * 100%</f>
        <v>6.0552243775994663E-2</v>
      </c>
      <c r="H113" s="48"/>
    </row>
    <row r="114" spans="2:8" x14ac:dyDescent="0.25">
      <c r="B114" s="26" t="s">
        <v>41</v>
      </c>
      <c r="C114" s="31" t="s">
        <v>201</v>
      </c>
      <c r="D114" s="27"/>
      <c r="E114" s="27"/>
      <c r="F114" s="53">
        <f>('Financial Statements'!B62/'Financial Statements'!C62)-1 * 100%</f>
        <v>4.9219900525160565E-2</v>
      </c>
      <c r="G114" s="53">
        <f>('Financial Statements'!C62/'Financial Statements'!D62)-1 * 100%</f>
        <v>0.11356841449783217</v>
      </c>
      <c r="H114" s="39"/>
    </row>
    <row r="115" spans="2:8" x14ac:dyDescent="0.25">
      <c r="B115" s="49"/>
      <c r="C115" s="31"/>
      <c r="F115" s="48"/>
      <c r="G115" s="48"/>
      <c r="H115" s="48"/>
    </row>
    <row r="116" spans="2:8" x14ac:dyDescent="0.25">
      <c r="B116" s="49" t="s">
        <v>42</v>
      </c>
      <c r="C116" s="31" t="s">
        <v>201</v>
      </c>
      <c r="F116" s="48"/>
      <c r="G116" s="48"/>
      <c r="H116" s="48"/>
    </row>
    <row r="117" spans="2:8" x14ac:dyDescent="0.25">
      <c r="B117" s="47" t="s">
        <v>54</v>
      </c>
      <c r="C117" s="31" t="s">
        <v>201</v>
      </c>
      <c r="D117" s="31"/>
      <c r="E117" s="31"/>
      <c r="F117" s="48">
        <f>('Financial Statements'!B65/'Financial Statements'!C65)-1</f>
        <v>0.13046282576483925</v>
      </c>
      <c r="G117" s="48">
        <f>('Financial Statements'!C65/'Financial Statements'!D65)-1</f>
        <v>0.12969928513755691</v>
      </c>
      <c r="H117" s="48"/>
    </row>
    <row r="118" spans="2:8" x14ac:dyDescent="0.25">
      <c r="B118" s="47" t="s">
        <v>43</v>
      </c>
      <c r="C118" s="31" t="s">
        <v>201</v>
      </c>
      <c r="D118" s="31"/>
      <c r="E118" s="31"/>
      <c r="F118" s="48">
        <f>('Financial Statements'!B66/'Financial Statements'!C66)-1</f>
        <v>-1.5516001438331535</v>
      </c>
      <c r="G118" s="48">
        <f>'Financial Statements'!C66/'Financial Statements'!D66</f>
        <v>0.37164238941600963</v>
      </c>
      <c r="H118" s="48"/>
    </row>
    <row r="119" spans="2:8" x14ac:dyDescent="0.25">
      <c r="B119" s="47" t="s">
        <v>44</v>
      </c>
      <c r="C119" s="31" t="s">
        <v>201</v>
      </c>
      <c r="D119" s="31"/>
      <c r="E119" s="31"/>
      <c r="F119" s="48">
        <f>'Financial Statements'!B67/'Financial Statements'!C67-1</f>
        <v>-69.153374233128829</v>
      </c>
      <c r="G119" s="48">
        <f>('Financial Statements'!C67/'Financial Statements'!D67)-1</f>
        <v>-1.4014778325123154</v>
      </c>
      <c r="H119" s="48"/>
    </row>
    <row r="120" spans="2:8" x14ac:dyDescent="0.25">
      <c r="B120" s="26" t="s">
        <v>45</v>
      </c>
      <c r="C120" s="31" t="s">
        <v>201</v>
      </c>
      <c r="D120" s="27"/>
      <c r="E120" s="27"/>
      <c r="F120" s="48">
        <f>'Financial Statements'!B68/'Financial Statements'!C68-1</f>
        <v>-0.19682992550324929</v>
      </c>
      <c r="G120" s="48">
        <f>('Financial Statements'!C68/'Financial Statements'!D68)-1</f>
        <v>-3.4420483937617652E-2</v>
      </c>
      <c r="H120" s="39"/>
    </row>
    <row r="121" spans="2:8" x14ac:dyDescent="0.25">
      <c r="B121" s="26" t="s">
        <v>46</v>
      </c>
      <c r="C121" s="31" t="s">
        <v>201</v>
      </c>
      <c r="D121" s="27"/>
      <c r="E121" s="27"/>
      <c r="F121" s="48">
        <f>'Financial Statements'!B69/'Financial Statements'!C69-1</f>
        <v>4.994273536902849E-3</v>
      </c>
      <c r="G121" s="48">
        <f>('Financial Statements'!C69/'Financial Statements'!D69)-1</f>
        <v>8.3714123400681739E-2</v>
      </c>
      <c r="H121" s="39"/>
    </row>
    <row r="122" spans="2:8" x14ac:dyDescent="0.25">
      <c r="B122" s="49"/>
      <c r="F122" s="48"/>
      <c r="G122" s="48"/>
      <c r="H122" s="48"/>
    </row>
    <row r="123" spans="2:8" x14ac:dyDescent="0.25">
      <c r="B123" s="49"/>
      <c r="F123" s="48"/>
      <c r="G123" s="48"/>
      <c r="H123" s="48"/>
    </row>
    <row r="124" spans="2:8" x14ac:dyDescent="0.25">
      <c r="B124" s="7" t="s">
        <v>149</v>
      </c>
    </row>
    <row r="125" spans="2:8" x14ac:dyDescent="0.25">
      <c r="B125" s="1" t="s">
        <v>141</v>
      </c>
      <c r="C125" s="31" t="s">
        <v>202</v>
      </c>
      <c r="D125" s="31"/>
      <c r="E125" s="31"/>
      <c r="F125" s="37">
        <f>'Financial Statements'!B12/'Financial Statements'!B8</f>
        <v>0.56690369438639909</v>
      </c>
      <c r="G125" s="37">
        <f>'Financial Statements'!C12/'Financial Statements'!C8</f>
        <v>0.58220640374832222</v>
      </c>
      <c r="H125" s="37">
        <f>'Financial Statements'!D12/'Financial Statements'!D8</f>
        <v>0.61766752272189129</v>
      </c>
    </row>
    <row r="126" spans="2:8" x14ac:dyDescent="0.25">
      <c r="B126" s="1" t="s">
        <v>89</v>
      </c>
      <c r="C126" s="31" t="s">
        <v>203</v>
      </c>
      <c r="D126" s="31"/>
      <c r="E126" s="31"/>
      <c r="F126" s="37">
        <f>'Financial Statements'!B13/'Financial Statements'!B8</f>
        <v>0.43309630561360085</v>
      </c>
      <c r="G126" s="37">
        <f>'Financial Statements'!C13/'Financial Statements'!C8</f>
        <v>0.41779359625167778</v>
      </c>
      <c r="H126" s="37">
        <f>'Financial Statements'!D13/'Financial Statements'!D8</f>
        <v>0.38233247727810865</v>
      </c>
    </row>
    <row r="127" spans="2:8" ht="30" x14ac:dyDescent="0.25">
      <c r="B127" s="1" t="s">
        <v>11</v>
      </c>
      <c r="C127" s="31" t="s">
        <v>207</v>
      </c>
      <c r="D127" s="31"/>
      <c r="E127" s="31"/>
      <c r="F127" s="37">
        <f>'Financial Statements'!B15/'Financial Statements'!B8</f>
        <v>6.657148363798665E-2</v>
      </c>
      <c r="G127" s="37">
        <f>'Financial Statements'!C15/'Financial Statements'!C8</f>
        <v>5.9904269074427925E-2</v>
      </c>
      <c r="H127" s="37">
        <f>'Financial Statements'!D15/'Financial Statements'!D8</f>
        <v>6.8309564140393061E-2</v>
      </c>
    </row>
    <row r="128" spans="2:8" ht="30" x14ac:dyDescent="0.25">
      <c r="B128" s="1" t="s">
        <v>12</v>
      </c>
      <c r="C128" s="31" t="s">
        <v>206</v>
      </c>
      <c r="D128" s="31"/>
      <c r="E128" s="31"/>
      <c r="F128" s="37">
        <f>'Financial Statements'!B16/'Financial Statements'!B8</f>
        <v>6.3637378020328261E-2</v>
      </c>
      <c r="G128" s="37">
        <f>'Financial Statements'!C16/'Financial Statements'!C8</f>
        <v>6.006555190163388E-2</v>
      </c>
      <c r="H128" s="37">
        <f>'Financial Statements'!D16/'Financial Statements'!D8</f>
        <v>7.2549769593646979E-2</v>
      </c>
    </row>
    <row r="129" spans="2:8" x14ac:dyDescent="0.25">
      <c r="B129" s="1" t="s">
        <v>14</v>
      </c>
      <c r="C129" s="31" t="s">
        <v>205</v>
      </c>
      <c r="D129" s="31"/>
      <c r="E129" s="31"/>
      <c r="F129" s="37">
        <f>'Financial Statements'!B18/'Financial Statements'!B8</f>
        <v>0.30288744395528594</v>
      </c>
      <c r="G129" s="37">
        <f>'Financial Statements'!C18/'Financial Statements'!C8</f>
        <v>0.29782377527561593</v>
      </c>
      <c r="H129" s="37">
        <f>'Financial Statements'!D18/'Financial Statements'!D8</f>
        <v>0.24147314354406862</v>
      </c>
    </row>
    <row r="130" spans="2:8" x14ac:dyDescent="0.25">
      <c r="B130" s="1" t="s">
        <v>93</v>
      </c>
      <c r="C130" s="31" t="s">
        <v>204</v>
      </c>
      <c r="D130" s="31"/>
      <c r="E130" s="31"/>
      <c r="F130" s="37">
        <f>'Financial Statements'!B22/'Financial Statements'!B8</f>
        <v>0.25309640705199732</v>
      </c>
      <c r="G130" s="37">
        <f>'Financial Statements'!C22/'Financial Statements'!C8</f>
        <v>0.25881793355694238</v>
      </c>
      <c r="H130" s="37">
        <f>'Financial Statements'!D22/'Financial Statements'!D8</f>
        <v>0.20913611278072236</v>
      </c>
    </row>
    <row r="133" spans="2:8" x14ac:dyDescent="0.25">
      <c r="B133" s="11" t="s">
        <v>94</v>
      </c>
      <c r="C133" s="31"/>
      <c r="D133" s="31"/>
      <c r="E133" s="31"/>
      <c r="F133" s="37">
        <f>'Financial Statements'!B21/'Financial Statements'!B20</f>
        <v>0.16204461684424407</v>
      </c>
      <c r="G133" s="37">
        <f>'Financial Statements'!C21/'Financial Statements'!C20</f>
        <v>0.13302260844085087</v>
      </c>
      <c r="H133" s="37">
        <f>'Financial Statements'!D21/'Financial Statements'!D20</f>
        <v>0.14428164731484103</v>
      </c>
    </row>
    <row r="134" spans="2:8" x14ac:dyDescent="0.25">
      <c r="B134" s="1" t="s">
        <v>150</v>
      </c>
      <c r="C134" s="31"/>
      <c r="D134" s="31"/>
      <c r="E134" s="31"/>
      <c r="F134" s="37">
        <f>('Financial Statements'!B45-'Financial Statements'!C45)+'Financial Statements'!B79</f>
        <v>13781</v>
      </c>
      <c r="G134" s="37">
        <f>('Financial Statements'!C45-'Financial Statements'!D45)+'Financial Statements'!C79</f>
        <v>13958</v>
      </c>
    </row>
    <row r="135" spans="2:8" x14ac:dyDescent="0.25">
      <c r="B135" s="1" t="s">
        <v>95</v>
      </c>
      <c r="C135" s="31"/>
      <c r="D135" s="31"/>
      <c r="E135" s="31"/>
      <c r="F135" s="37">
        <f>F134/'Financial Statements'!B8</f>
        <v>3.4948063541011543E-2</v>
      </c>
      <c r="G135" s="37">
        <f>G134/'Financial Statements'!C8</f>
        <v>3.8155689866791319E-2</v>
      </c>
    </row>
    <row r="136" spans="2:8" x14ac:dyDescent="0.25">
      <c r="B136" s="1" t="s">
        <v>96</v>
      </c>
      <c r="C136" s="31"/>
      <c r="D136" s="31"/>
      <c r="E136" s="31"/>
      <c r="F136" s="37">
        <f>F134/'Financial Statements'!B45</f>
        <v>0.32720754089797471</v>
      </c>
      <c r="G136" s="37">
        <f>G134/'Financial Statements'!C45</f>
        <v>0.35390466531440162</v>
      </c>
    </row>
  </sheetData>
  <mergeCells count="6">
    <mergeCell ref="F2:H2"/>
    <mergeCell ref="F3:H3"/>
    <mergeCell ref="F12:H12"/>
    <mergeCell ref="F21:H21"/>
    <mergeCell ref="E54:I54"/>
    <mergeCell ref="E73:H73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GODSWILL OSIE BOADI-ASARE</cp:lastModifiedBy>
  <dcterms:created xsi:type="dcterms:W3CDTF">2020-05-18T16:32:37Z</dcterms:created>
  <dcterms:modified xsi:type="dcterms:W3CDTF">2024-11-11T15:23:40Z</dcterms:modified>
</cp:coreProperties>
</file>