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cbookpro13/Desktop/"/>
    </mc:Choice>
  </mc:AlternateContent>
  <xr:revisionPtr revIDLastSave="0" documentId="13_ncr:1_{30D6155E-BE63-F943-B464-666CD24AAB92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D13" i="3"/>
  <c r="C13" i="3"/>
  <c r="D85" i="3"/>
  <c r="E85" i="3"/>
  <c r="C85" i="3"/>
  <c r="C69" i="3"/>
  <c r="D71" i="3"/>
  <c r="C71" i="3"/>
  <c r="D84" i="3"/>
  <c r="E84" i="3"/>
  <c r="C84" i="3"/>
  <c r="D83" i="3"/>
  <c r="E83" i="3"/>
  <c r="C83" i="3"/>
  <c r="D80" i="3"/>
  <c r="E80" i="3"/>
  <c r="C80" i="3"/>
  <c r="D79" i="3"/>
  <c r="E79" i="3"/>
  <c r="C79" i="3"/>
  <c r="D78" i="3"/>
  <c r="E78" i="3"/>
  <c r="C78" i="3"/>
  <c r="D77" i="3"/>
  <c r="E77" i="3"/>
  <c r="C77" i="3"/>
  <c r="D75" i="3"/>
  <c r="E75" i="3"/>
  <c r="C75" i="3"/>
  <c r="D74" i="3"/>
  <c r="E74" i="3"/>
  <c r="C74" i="3"/>
  <c r="D70" i="3"/>
  <c r="C70" i="3"/>
  <c r="D69" i="3"/>
  <c r="D68" i="3"/>
  <c r="C68" i="3"/>
  <c r="D67" i="3"/>
  <c r="C67" i="3"/>
  <c r="D66" i="3"/>
  <c r="C66" i="3"/>
  <c r="D65" i="3"/>
  <c r="C65" i="3"/>
  <c r="D63" i="3"/>
  <c r="C63" i="3"/>
  <c r="D62" i="3"/>
  <c r="C62" i="3"/>
  <c r="D60" i="3"/>
  <c r="C60" i="3"/>
  <c r="C56" i="3"/>
  <c r="D56" i="3"/>
  <c r="C57" i="3"/>
  <c r="D57" i="3"/>
  <c r="C58" i="3"/>
  <c r="D58" i="3"/>
  <c r="I52" i="3"/>
  <c r="D52" i="3" s="1"/>
  <c r="D51" i="3" s="1"/>
  <c r="J52" i="3"/>
  <c r="E52" i="3" s="1"/>
  <c r="E51" i="3" s="1"/>
  <c r="H52" i="3"/>
  <c r="C52" i="3" s="1"/>
  <c r="C46" i="3"/>
  <c r="C47" i="3" s="1"/>
  <c r="D50" i="3"/>
  <c r="C50" i="3"/>
  <c r="E48" i="3"/>
  <c r="D48" i="3"/>
  <c r="C48" i="3"/>
  <c r="D45" i="3"/>
  <c r="E45" i="3"/>
  <c r="C45" i="3"/>
  <c r="D46" i="3"/>
  <c r="D47" i="3" s="1"/>
  <c r="E46" i="3"/>
  <c r="E47" i="3" s="1"/>
  <c r="C42" i="3"/>
  <c r="C41" i="3" s="1"/>
  <c r="C43" i="3"/>
  <c r="D44" i="3"/>
  <c r="D43" i="3" s="1"/>
  <c r="E44" i="3"/>
  <c r="E43" i="3" s="1"/>
  <c r="C44" i="3"/>
  <c r="D41" i="3"/>
  <c r="E42" i="3"/>
  <c r="E41" i="3" s="1"/>
  <c r="D42" i="3"/>
  <c r="E38" i="3"/>
  <c r="E50" i="3" s="1"/>
  <c r="D38" i="3"/>
  <c r="C38" i="3"/>
  <c r="E31" i="3"/>
  <c r="E30" i="3" s="1"/>
  <c r="E35" i="3"/>
  <c r="E36" i="3"/>
  <c r="E37" i="3"/>
  <c r="D37" i="3"/>
  <c r="C37" i="3"/>
  <c r="D36" i="3"/>
  <c r="C36" i="3"/>
  <c r="D35" i="3"/>
  <c r="C35" i="3"/>
  <c r="C31" i="3"/>
  <c r="C30" i="3" s="1"/>
  <c r="D31" i="3"/>
  <c r="D30" i="3" s="1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D49" i="3" s="1"/>
  <c r="E21" i="3"/>
  <c r="E49" i="3" s="1"/>
  <c r="C21" i="3"/>
  <c r="C49" i="3" s="1"/>
  <c r="B18" i="1"/>
  <c r="D20" i="3"/>
  <c r="E20" i="3"/>
  <c r="C20" i="3"/>
  <c r="D19" i="3"/>
  <c r="E19" i="3"/>
  <c r="D18" i="3"/>
  <c r="E18" i="3"/>
  <c r="D17" i="3"/>
  <c r="E17" i="3"/>
  <c r="C17" i="3"/>
  <c r="I13" i="3"/>
  <c r="J13" i="3"/>
  <c r="H13" i="3"/>
  <c r="E12" i="3"/>
  <c r="D11" i="3"/>
  <c r="E11" i="3"/>
  <c r="J10" i="3"/>
  <c r="I10" i="3"/>
  <c r="H10" i="3"/>
  <c r="E10" i="3"/>
  <c r="D10" i="3"/>
  <c r="C10" i="3"/>
  <c r="J9" i="3"/>
  <c r="E9" i="3"/>
  <c r="D9" i="3"/>
  <c r="D12" i="3" s="1"/>
  <c r="C9" i="3"/>
  <c r="I9" i="3"/>
  <c r="H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48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20" i="1"/>
  <c r="C48" i="1"/>
  <c r="D62" i="1"/>
  <c r="D69" i="1" s="1"/>
  <c r="C69" i="1"/>
  <c r="D48" i="1"/>
  <c r="A48" i="3"/>
  <c r="A5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22" i="1" l="1"/>
  <c r="B76" i="1" s="1"/>
  <c r="B91" i="1" s="1"/>
  <c r="B109" i="1" s="1"/>
  <c r="C11" i="3"/>
  <c r="C12" i="3" s="1"/>
  <c r="C18" i="3"/>
  <c r="C19" i="3"/>
  <c r="C51" i="3" s="1"/>
  <c r="A24" i="3"/>
  <c r="A25" i="3" s="1"/>
  <c r="A26" i="3" s="1"/>
  <c r="A27" i="3" s="1"/>
  <c r="A28" i="3" s="1"/>
  <c r="A29" i="3" s="1"/>
  <c r="A30" i="3" s="1"/>
  <c r="A34" i="3" l="1"/>
  <c r="A35" i="3" s="1"/>
  <c r="A36" i="3" s="1"/>
  <c r="A37" i="3" s="1"/>
  <c r="A38" i="3" s="1"/>
  <c r="A40" i="3" l="1"/>
  <c r="A41" i="3" s="1"/>
  <c r="A42" i="3" s="1"/>
  <c r="A43" i="3" s="1"/>
  <c r="A44" i="3" s="1"/>
  <c r="A45" i="3" s="1"/>
  <c r="A47" i="3" s="1"/>
  <c r="A49" i="3" s="1"/>
  <c r="A51" i="3" s="1"/>
</calcChain>
</file>

<file path=xl/sharedStrings.xml><?xml version="1.0" encoding="utf-8"?>
<sst xmlns="http://schemas.openxmlformats.org/spreadsheetml/2006/main" count="211" uniqueCount="171">
  <si>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</si>
  <si>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</si>
  <si>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</si>
  <si>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</si>
  <si>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</si>
  <si>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</si>
  <si>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</si>
  <si>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</si>
  <si>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</si>
  <si>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</si>
  <si>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</si>
  <si>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</si>
  <si>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</si>
  <si>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</si>
  <si>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</si>
  <si>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</si>
  <si>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</si>
  <si>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</si>
  <si>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</si>
  <si>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</si>
  <si>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</si>
  <si>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</si>
  <si>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</si>
  <si>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</si>
  <si>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</si>
  <si>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</si>
  <si>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</si>
  <si>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</si>
  <si>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</si>
  <si>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</si>
  <si>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</si>
  <si>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</si>
  <si>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</si>
  <si>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</si>
  <si>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</si>
  <si>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</si>
  <si>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</si>
  <si>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</si>
  <si>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</si>
  <si>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</si>
  <si>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</si>
  <si>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</si>
  <si>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</si>
  <si>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</si>
  <si>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</si>
  <si>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</si>
  <si>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</si>
  <si>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</si>
  <si>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</si>
  <si>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</si>
  <si>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</si>
  <si>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</si>
  <si>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</si>
  <si>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</si>
  <si>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</si>
  <si>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</si>
  <si>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</si>
  <si>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</si>
  <si>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</si>
  <si>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</si>
  <si>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</si>
  <si>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</si>
  <si>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</si>
  <si>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</si>
  <si>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</si>
  <si>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</si>
  <si>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</si>
  <si>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</si>
  <si>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</si>
  <si>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</si>
  <si>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</si>
  <si>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</si>
  <si>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</si>
  <si>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</si>
  <si>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</si>
  <si>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</si>
  <si>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</si>
  <si>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</si>
  <si>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</si>
  <si>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</si>
  <si>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</si>
  <si>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</si>
  <si>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</si>
  <si>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</si>
  <si>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</si>
  <si>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</si>
  <si>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</si>
  <si>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</si>
  <si>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</si>
  <si>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</si>
  <si>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</si>
  <si>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</si>
  <si>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</si>
  <si>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</si>
  <si>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</si>
  <si>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</si>
  <si>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</si>
  <si>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</si>
  <si>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</si>
  <si>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</si>
  <si>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</si>
  <si>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</si>
  <si>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</si>
  <si>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</si>
  <si>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</si>
  <si>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</si>
  <si>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</si>
  <si>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</si>
  <si>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</si>
  <si>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</si>
  <si>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</si>
  <si>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</si>
  <si>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</si>
  <si>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</si>
  <si>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</si>
  <si>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</si>
  <si>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</si>
  <si>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</si>
  <si>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</si>
  <si>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</si>
  <si>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</si>
  <si>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</si>
  <si>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</si>
  <si>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</si>
  <si>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</si>
  <si>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</si>
  <si>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</si>
  <si>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</si>
  <si>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</si>
  <si>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</si>
  <si>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</si>
  <si>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</si>
  <si>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</si>
  <si>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</si>
  <si>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</si>
  <si>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</si>
  <si>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</si>
  <si>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</si>
  <si>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</si>
  <si>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</si>
  <si>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</si>
  <si>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</si>
  <si>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</si>
  <si>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</si>
  <si>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</si>
  <si>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</si>
  <si>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</si>
  <si>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</si>
  <si>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</si>
  <si>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</si>
  <si>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Average Inventory</t>
  </si>
  <si>
    <t>Average Account Payable</t>
  </si>
  <si>
    <t>Shares outstanding</t>
  </si>
  <si>
    <t>Market Capitalisation</t>
  </si>
  <si>
    <t>GROWTH RATES</t>
  </si>
  <si>
    <t>Product</t>
  </si>
  <si>
    <t>Net Sales</t>
  </si>
  <si>
    <t>Current Asset</t>
  </si>
  <si>
    <t>Non-Current Asset</t>
  </si>
  <si>
    <t>Current Liabilities</t>
  </si>
  <si>
    <t>Non-Current Liabilities</t>
  </si>
  <si>
    <t>Total Asset</t>
  </si>
  <si>
    <t>Toal Liabilities</t>
  </si>
  <si>
    <t>Share Holders Equity</t>
  </si>
  <si>
    <t>Margines as a % of Net Sales</t>
  </si>
  <si>
    <t>Etras</t>
  </si>
  <si>
    <t xml:space="preserve">Share Price </t>
  </si>
  <si>
    <t>Date</t>
  </si>
  <si>
    <t>Time</t>
  </si>
  <si>
    <t>8pm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</si>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</sst>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ill="1" applyBorder="1" applyAlignment="1">
      <alignment horizontal="left" inden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0" fillId="0" borderId="0" xfId="3" applyFont="1"/>
    <xf numFmtId="0" fontId="8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zoomScale="200" workbookViewId="0">
      <selection activeCell="A28" sqref="A28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8" spans="1:1" x14ac:dyDescent="0.2">
      <c r="A28" s="25"/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9" zoomScale="156" workbookViewId="0">
      <selection activeCell="A22" sqref="A2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4" t="s">
        <v>1</v>
      </c>
      <c r="B2" s="24"/>
      <c r="C2" s="24"/>
      <c r="D2" s="24"/>
    </row>
    <row r="3" spans="1:10" x14ac:dyDescent="0.2">
      <c r="B3" s="23" t="s">
        <v>23</v>
      </c>
      <c r="C3" s="23"/>
      <c r="D3" s="23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4" t="s">
        <v>24</v>
      </c>
      <c r="B31" s="24"/>
      <c r="C31" s="24"/>
      <c r="D31" s="24"/>
    </row>
    <row r="32" spans="1:4" x14ac:dyDescent="0.2">
      <c r="B32" s="23" t="s">
        <v>142</v>
      </c>
      <c r="C32" s="23"/>
      <c r="D32" s="23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ht="48" x14ac:dyDescent="0.2">
      <c r="A65" s="26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4" t="s">
        <v>55</v>
      </c>
      <c r="B71" s="24"/>
      <c r="C71" s="24"/>
      <c r="D71" s="24"/>
    </row>
    <row r="72" spans="1:4" x14ac:dyDescent="0.2">
      <c r="B72" s="23" t="s">
        <v>23</v>
      </c>
      <c r="C72" s="23"/>
      <c r="D72" s="23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5"/>
  <sheetViews>
    <sheetView tabSelected="1" zoomScale="169" workbookViewId="0">
      <selection activeCell="G2" sqref="G2:I2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1.1640625" bestFit="1" customWidth="1"/>
    <col min="7" max="7" width="20.1640625" bestFit="1" customWidth="1"/>
    <col min="8" max="8" width="10.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3" t="s">
        <v>23</v>
      </c>
      <c r="D2" s="23"/>
      <c r="E2" s="23"/>
      <c r="G2" s="34" t="s">
        <v>170</v>
      </c>
      <c r="H2" s="34"/>
      <c r="I2" s="34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  <c r="G4" t="s">
        <v>166</v>
      </c>
      <c r="H4" t="s">
        <v>167</v>
      </c>
      <c r="I4" t="s">
        <v>168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  <c r="G5">
        <v>223.45</v>
      </c>
      <c r="H5" s="33">
        <v>45601</v>
      </c>
      <c r="I5" t="s">
        <v>169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('Financial Statements'!B42-'Financial Statements'!B39)/('Financial Statements'!B17/365)</f>
        <v>927.40354464894335</v>
      </c>
      <c r="D8">
        <f>('Financial Statements'!C42-'Financial Statements'!C39)/('Financial Statements'!C17/365)</f>
        <v>1066.6812495727663</v>
      </c>
      <c r="E8">
        <f>('Financial Statements'!D42-'Financial Statements'!D39)/('Financial Statements'!D17/365)</f>
        <v>1318.2212682321299</v>
      </c>
    </row>
    <row r="9" spans="1:10" x14ac:dyDescent="0.2">
      <c r="A9" s="18">
        <f t="shared" si="0"/>
        <v>1.5000000000000004</v>
      </c>
      <c r="B9" s="1" t="s">
        <v>104</v>
      </c>
      <c r="C9">
        <f>((('Financial Statements'!C39+'Financial Statements'!B39)/2)/'Financial Statements'!B12)*365</f>
        <v>9.4096740715557434</v>
      </c>
      <c r="D9">
        <f>((('Financial Statements'!D39+'Financial Statements'!C39)/2)/'Financial Statements'!C12)*365</f>
        <v>9.1181020842234748</v>
      </c>
      <c r="E9">
        <f>((('Financial Statements'!D39+'Financial Statements'!D39)/2)/'Financial Statements'!D12)*365</f>
        <v>8.7418833562358831</v>
      </c>
      <c r="G9" t="s">
        <v>150</v>
      </c>
      <c r="H9">
        <f>('Financial Statements'!C39+'Financial Statements'!B39)/2</f>
        <v>5763</v>
      </c>
      <c r="I9">
        <f>('Financial Statements'!D39+'Financial Statements'!C39)/2</f>
        <v>5320.5</v>
      </c>
      <c r="J9">
        <f>('Financial Statements'!D39+'Financial Statements'!D39)/2</f>
        <v>4061</v>
      </c>
    </row>
    <row r="10" spans="1:10" x14ac:dyDescent="0.2">
      <c r="A10" s="18">
        <f t="shared" si="0"/>
        <v>1.6000000000000005</v>
      </c>
      <c r="B10" s="1" t="s">
        <v>105</v>
      </c>
      <c r="C10">
        <f>((('Financial Statements'!C51+'Financial Statements'!B51)/2)/'Financial Statements'!B12)*365</f>
        <v>97.050428099809452</v>
      </c>
      <c r="D10">
        <f>((('Financial Statements'!D51+'Financial Statements'!C51)/2)/'Financial Statements'!C12)*365</f>
        <v>83.168299050150011</v>
      </c>
      <c r="E10">
        <f>((('Financial Statements'!D51+'Financial Statements'!D51)/2)/'Financial Statements'!D12)*365</f>
        <v>91.048189715674198</v>
      </c>
      <c r="G10" t="s">
        <v>151</v>
      </c>
      <c r="H10">
        <f>('Financial Statements'!C51+'Financial Statements'!B51)/2</f>
        <v>59439</v>
      </c>
      <c r="I10">
        <f>('Financial Statements'!D51+'Financial Statements'!C51)/2</f>
        <v>48529.5</v>
      </c>
      <c r="J10">
        <f>('Financial Statements'!D51+'Financial Statements'!D51)/2</f>
        <v>42296</v>
      </c>
    </row>
    <row r="11" spans="1:10" x14ac:dyDescent="0.2">
      <c r="A11" s="18">
        <f t="shared" si="0"/>
        <v>1.7000000000000006</v>
      </c>
      <c r="B11" s="1" t="s">
        <v>106</v>
      </c>
      <c r="C11">
        <f>((('Financial Statements'!C38+'Financial Statements'!B38)/2)/'Financial Statements'!B20)*365</f>
        <v>83.451424397370346</v>
      </c>
      <c r="D11">
        <f>((('Financial Statements'!D38+'Financial Statements'!C38)/2)/'Financial Statements'!C20)*365</f>
        <v>70.852921516020032</v>
      </c>
      <c r="E11">
        <f>((('Financial Statements'!E38+'Financial Statements'!D38)/2)/'Financial Statements'!D20)*365</f>
        <v>43.84939857805071</v>
      </c>
    </row>
    <row r="12" spans="1:10" x14ac:dyDescent="0.2">
      <c r="A12" s="18">
        <f t="shared" si="0"/>
        <v>1.8000000000000007</v>
      </c>
      <c r="B12" s="1" t="s">
        <v>107</v>
      </c>
      <c r="C12">
        <f>+C9+C11-C10</f>
        <v>-4.1893296308833641</v>
      </c>
      <c r="D12">
        <f t="shared" ref="D12:E12" si="1">+D9+D11-D10</f>
        <v>-3.197275449906499</v>
      </c>
      <c r="E12">
        <f t="shared" si="1"/>
        <v>-38.456907781387606</v>
      </c>
    </row>
    <row r="13" spans="1:10" x14ac:dyDescent="0.2">
      <c r="A13" s="18">
        <f t="shared" si="0"/>
        <v>1.9000000000000008</v>
      </c>
      <c r="B13" s="1" t="s">
        <v>108</v>
      </c>
      <c r="C13" s="29">
        <f>(('Financial Statements'!B42-'Financial Statements'!B56)/'Financial Statements'!B8)</f>
        <v>-4.711052727678481E-2</v>
      </c>
      <c r="D13" s="29">
        <f>(('Financial Statements'!C42-'Financial Statements'!C56)/'Financial Statements'!C8)</f>
        <v>2.557289573748623E-2</v>
      </c>
      <c r="E13" s="29">
        <f>(('Financial Statements'!D42-'Financial Statements'!D56)/'Financial Statements'!D8)</f>
        <v>0.13959528623208203</v>
      </c>
      <c r="G13" s="3" t="s">
        <v>109</v>
      </c>
      <c r="H13">
        <f>'Financial Statements'!B42-'Financial Statements'!B56</f>
        <v>-18577</v>
      </c>
      <c r="I13">
        <f>'Financial Statements'!C42-'Financial Statements'!C56</f>
        <v>9355</v>
      </c>
      <c r="J13">
        <f>'Financial Statements'!D42-'Financial Statements'!D56</f>
        <v>38321</v>
      </c>
    </row>
    <row r="14" spans="1:10" x14ac:dyDescent="0.2">
      <c r="A14" s="18"/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10" x14ac:dyDescent="0.2">
      <c r="A17" s="18">
        <f>+A16+0.1</f>
        <v>2.1</v>
      </c>
      <c r="B17" s="1" t="s">
        <v>9</v>
      </c>
      <c r="C17">
        <f>(('Financial Statements'!B8-'Financial Statements'!B12)/'Financial Statements'!B8)*100</f>
        <v>43.309630561360088</v>
      </c>
      <c r="D17">
        <f>(('Financial Statements'!C8-'Financial Statements'!C12)/'Financial Statements'!C8)*100</f>
        <v>41.779359625167778</v>
      </c>
      <c r="E17">
        <f>(('Financial Statements'!D8-'Financial Statements'!D12)/'Financial Statements'!D8)*100</f>
        <v>38.233247727810863</v>
      </c>
    </row>
    <row r="18" spans="1:10" x14ac:dyDescent="0.2">
      <c r="A18" s="18">
        <f>+A17+0.1</f>
        <v>2.2000000000000002</v>
      </c>
      <c r="B18" s="1" t="s">
        <v>111</v>
      </c>
      <c r="C18">
        <f>('Financial Statements'!B20/'Financial Statements'!B8)*100</f>
        <v>30.204043334482968</v>
      </c>
      <c r="D18">
        <f>('Financial Statements'!C20/'Financial Statements'!C8)*100</f>
        <v>29.85290459437369</v>
      </c>
      <c r="E18">
        <f>('Financial Statements'!D20/'Financial Statements'!D8)*100</f>
        <v>24.439830246070343</v>
      </c>
    </row>
    <row r="19" spans="1:10" x14ac:dyDescent="0.2">
      <c r="A19" s="18"/>
      <c r="B19" s="3" t="s">
        <v>112</v>
      </c>
      <c r="C19">
        <f>'Financial Statements'!B20</f>
        <v>119103</v>
      </c>
      <c r="D19">
        <f>'Financial Statements'!C20</f>
        <v>109207</v>
      </c>
      <c r="E19">
        <f>'Financial Statements'!D20</f>
        <v>67091</v>
      </c>
    </row>
    <row r="20" spans="1:10" x14ac:dyDescent="0.2">
      <c r="A20" s="18">
        <f>+A18+0.1</f>
        <v>2.3000000000000003</v>
      </c>
      <c r="B20" s="1" t="s">
        <v>113</v>
      </c>
      <c r="C20">
        <f>('Financial Statements'!B18/'Financial Statements'!B8)*100</f>
        <v>30.288744395528592</v>
      </c>
      <c r="D20">
        <f>('Financial Statements'!C18/'Financial Statements'!C8)*100</f>
        <v>29.782377527561593</v>
      </c>
      <c r="E20">
        <f>('Financial Statements'!D18/'Financial Statements'!D8)*100</f>
        <v>24.147314354406863</v>
      </c>
    </row>
    <row r="21" spans="1:10" x14ac:dyDescent="0.2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10" x14ac:dyDescent="0.2">
      <c r="A22" s="18">
        <f>+A20+0.1</f>
        <v>2.4000000000000004</v>
      </c>
      <c r="B22" s="1" t="s">
        <v>115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10" x14ac:dyDescent="0.2">
      <c r="A23" s="18"/>
    </row>
    <row r="24" spans="1:10" x14ac:dyDescent="0.2">
      <c r="A24" s="18">
        <f>+A16+1</f>
        <v>3</v>
      </c>
      <c r="B24" s="7" t="s">
        <v>116</v>
      </c>
    </row>
    <row r="25" spans="1:10" x14ac:dyDescent="0.2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10" x14ac:dyDescent="0.2">
      <c r="A26" s="18">
        <f t="shared" ref="A26:A30" si="2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10" x14ac:dyDescent="0.2">
      <c r="A27" s="18">
        <f t="shared" si="2"/>
        <v>3.3000000000000003</v>
      </c>
      <c r="B27" s="1" t="s">
        <v>119</v>
      </c>
      <c r="C27">
        <f>'Financial Statements'!B61/('Financial Statements'!B61+'Financial Statements'!B68)</f>
        <v>0.74507604151469264</v>
      </c>
      <c r="D27">
        <f>'Financial Statements'!C61/('Financial Statements'!C61+'Financial Statements'!C68)</f>
        <v>0.72024778180302496</v>
      </c>
      <c r="E27">
        <f>'Financial Statements'!D61/('Financial Statements'!D61+'Financial Statements'!D68)</f>
        <v>0.70096020064440534</v>
      </c>
    </row>
    <row r="28" spans="1:10" x14ac:dyDescent="0.2">
      <c r="A28" s="18">
        <f t="shared" si="2"/>
        <v>3.4000000000000004</v>
      </c>
      <c r="B28" s="1" t="s">
        <v>120</v>
      </c>
      <c r="C28">
        <f>'Financial Statements'!B18/'Financial Statements'!B17</f>
        <v>2.3261661310741064</v>
      </c>
      <c r="D28">
        <f>'Financial Statements'!C18/'Financial Statements'!C17</f>
        <v>2.4824891197849022</v>
      </c>
      <c r="E28">
        <f>'Financial Statements'!D18/'Financial Statements'!D17</f>
        <v>1.7142857142857142</v>
      </c>
    </row>
    <row r="29" spans="1:10" x14ac:dyDescent="0.2">
      <c r="A29" s="18">
        <f t="shared" si="2"/>
        <v>3.5000000000000004</v>
      </c>
      <c r="B29" s="1" t="s">
        <v>121</v>
      </c>
      <c r="C29">
        <f>'Financial Statements'!B91/'Financial Statements'!B62</f>
        <v>0.40436237722745072</v>
      </c>
      <c r="D29">
        <f>'Financial Statements'!C91/'Financial Statements'!C62</f>
        <v>0.3613534691155631</v>
      </c>
      <c r="E29">
        <f>'Financial Statements'!D91/'Financial Statements'!D62</f>
        <v>0.31202596026285151</v>
      </c>
    </row>
    <row r="30" spans="1:10" x14ac:dyDescent="0.2">
      <c r="A30" s="18">
        <f t="shared" si="2"/>
        <v>3.6000000000000005</v>
      </c>
      <c r="B30" s="1" t="s">
        <v>122</v>
      </c>
      <c r="C30">
        <f>C31/16326</f>
        <v>0.703234105108416</v>
      </c>
      <c r="D30">
        <f>D31/16865</f>
        <v>0.44518233026978948</v>
      </c>
      <c r="E30">
        <f>E31/117528</f>
        <v>9.4071200054455115E-2</v>
      </c>
    </row>
    <row r="31" spans="1:10" x14ac:dyDescent="0.2">
      <c r="A31" s="18"/>
      <c r="B31" s="3" t="s">
        <v>123</v>
      </c>
      <c r="C31">
        <f>'Financial Statements'!B96-'Financial Statements'!C96+'Financial Statements'!B79</f>
        <v>11481</v>
      </c>
      <c r="D31">
        <f>'Financial Statements'!C96-'Financial Statements'!D96+'Financial Statements'!C79</f>
        <v>7508</v>
      </c>
      <c r="E31">
        <f>'Financial Statements'!D96-'Financial Statements'!D96+'Financial Statements'!D79</f>
        <v>11056</v>
      </c>
      <c r="G31" s="3" t="s">
        <v>152</v>
      </c>
      <c r="H31">
        <v>16326</v>
      </c>
      <c r="I31">
        <v>16865</v>
      </c>
      <c r="J31">
        <v>17528</v>
      </c>
    </row>
    <row r="32" spans="1:10" x14ac:dyDescent="0.2">
      <c r="A32" s="18"/>
    </row>
    <row r="33" spans="1:5" x14ac:dyDescent="0.2">
      <c r="A33" s="18"/>
    </row>
    <row r="34" spans="1:5" x14ac:dyDescent="0.2">
      <c r="A34" s="18">
        <f>+A24+1</f>
        <v>4</v>
      </c>
      <c r="B34" s="17" t="s">
        <v>124</v>
      </c>
    </row>
    <row r="35" spans="1:5" x14ac:dyDescent="0.2">
      <c r="A35" s="18">
        <f>+A34+0.1</f>
        <v>4.0999999999999996</v>
      </c>
      <c r="B35" s="1" t="s">
        <v>125</v>
      </c>
      <c r="C35">
        <f>'Financial Statements'!B8/(('Financial Statements'!C48+'Financial Statements'!B48)/2)</f>
        <v>1.1206368107173357</v>
      </c>
      <c r="D35">
        <f>'Financial Statements'!C8/(('Financial Statements'!D48+'Financial Statements'!C48)/2)</f>
        <v>1.084078886929722</v>
      </c>
      <c r="E35">
        <f>'Financial Statements'!D8/(('Financial Statements'!D48+'Financial Statements'!D48)/2)</f>
        <v>0.84756150274168851</v>
      </c>
    </row>
    <row r="36" spans="1:5" x14ac:dyDescent="0.2">
      <c r="A36" s="18">
        <f t="shared" ref="A36:A38" si="3">+A35+0.1</f>
        <v>4.1999999999999993</v>
      </c>
      <c r="B36" s="1" t="s">
        <v>126</v>
      </c>
      <c r="C36">
        <f>'Financial Statements'!B8/(('Financial Statements'!C47+'Financial Statements'!B47)/2)</f>
        <v>1.8192085182553817</v>
      </c>
      <c r="D36">
        <f>'Financial Statements'!C8/(('Financial Statements'!D47+'Financial Statements'!C47)/2)</f>
        <v>1.8459710199045771</v>
      </c>
      <c r="E36">
        <f>'Financial Statements'!D8/(('Financial Statements'!D47+'Financial Statements'!D47)/2)</f>
        <v>1.5236020535590398</v>
      </c>
    </row>
    <row r="37" spans="1:5" x14ac:dyDescent="0.2">
      <c r="A37" s="18">
        <f t="shared" si="3"/>
        <v>4.2999999999999989</v>
      </c>
      <c r="B37" s="1" t="s">
        <v>127</v>
      </c>
      <c r="C37">
        <f>'Financial Statements'!B12/(('Financial Statements'!C39+'Financial Statements'!B39)/2)</f>
        <v>38.789866389033492</v>
      </c>
      <c r="D37">
        <f>'Financial Statements'!C12/(('Financial Statements'!D39+'Financial Statements'!C39)/2)</f>
        <v>40.030260313880277</v>
      </c>
      <c r="E37">
        <f>'Financial Statements'!D12/(('Financial Statements'!D39+'Financial Statements'!D39)/2)</f>
        <v>41.753016498399411</v>
      </c>
    </row>
    <row r="38" spans="1:5" x14ac:dyDescent="0.2">
      <c r="A38" s="18">
        <f t="shared" si="3"/>
        <v>4.3999999999999986</v>
      </c>
      <c r="B38" s="1" t="s">
        <v>128</v>
      </c>
      <c r="C38">
        <f>'Financial Statements'!B22/(('Financial Statements'!C48+'Financial Statements'!B48)/2)</f>
        <v>0.28362915040276687</v>
      </c>
      <c r="D38">
        <f>'Financial Statements'!C22/(('Financial Statements'!D48+'Financial Statements'!C48)/2)</f>
        <v>0.28057905732786081</v>
      </c>
      <c r="E38">
        <f>'Financial Statements'!D22/(('Financial Statements'!D48+'Financial Statements'!D48)/2)</f>
        <v>0.1772557180259843</v>
      </c>
    </row>
    <row r="39" spans="1:5" x14ac:dyDescent="0.2">
      <c r="A39" s="18"/>
    </row>
    <row r="40" spans="1:5" x14ac:dyDescent="0.2">
      <c r="A40" s="18">
        <f>+A34+1</f>
        <v>5</v>
      </c>
      <c r="B40" s="17" t="s">
        <v>129</v>
      </c>
    </row>
    <row r="41" spans="1:5" x14ac:dyDescent="0.2">
      <c r="A41" s="18">
        <f>+A40+0.1</f>
        <v>5.0999999999999996</v>
      </c>
      <c r="B41" s="1" t="s">
        <v>130</v>
      </c>
      <c r="C41">
        <f>223.45/C42</f>
        <v>32.345909729248802</v>
      </c>
      <c r="D41">
        <f t="shared" ref="D41:E41" si="4">223.45/D42</f>
        <v>35.205346230313246</v>
      </c>
      <c r="E41">
        <f t="shared" si="4"/>
        <v>54.784194035696295</v>
      </c>
    </row>
    <row r="42" spans="1:5" x14ac:dyDescent="0.2">
      <c r="A42" s="18">
        <f t="shared" ref="A42:A45" si="5">+A41+0.1</f>
        <v>5.1999999999999993</v>
      </c>
      <c r="B42" s="3" t="s">
        <v>131</v>
      </c>
      <c r="C42">
        <f>('Financial Statements'!B22-'Financial Statements'!B102)/((I31+H31)/2)</f>
        <v>6.9081377481847488</v>
      </c>
      <c r="D42">
        <f>('Financial Statements'!C22-'Financial Statements'!C102)/((J31+I31)/2)</f>
        <v>6.3470473642892449</v>
      </c>
      <c r="E42">
        <f>('Financial Statements'!D22-'Financial Statements'!D102)/((J31+J31)/2)</f>
        <v>4.0787311729803744</v>
      </c>
    </row>
    <row r="43" spans="1:5" x14ac:dyDescent="0.2">
      <c r="A43" s="18">
        <f t="shared" si="5"/>
        <v>5.2999999999999989</v>
      </c>
      <c r="B43" s="1" t="s">
        <v>132</v>
      </c>
      <c r="C43">
        <f>223.45/C44</f>
        <v>71.993303994316378</v>
      </c>
      <c r="D43">
        <f t="shared" ref="D43:E43" si="6">223.45/D44</f>
        <v>59.731879061657942</v>
      </c>
      <c r="E43">
        <f t="shared" si="6"/>
        <v>59.943243698250662</v>
      </c>
    </row>
    <row r="44" spans="1:5" x14ac:dyDescent="0.2">
      <c r="A44" s="18">
        <f t="shared" si="5"/>
        <v>5.3999999999999986</v>
      </c>
      <c r="B44" s="3" t="s">
        <v>133</v>
      </c>
      <c r="C44">
        <f>'Financial Statements'!B68/'List of Ratios'!H31</f>
        <v>3.1037608722283476</v>
      </c>
      <c r="D44">
        <f>'Financial Statements'!C68/'List of Ratios'!I31</f>
        <v>3.7408834865105249</v>
      </c>
      <c r="E44">
        <f>'Financial Statements'!D68/'List of Ratios'!J31</f>
        <v>3.7276928343222271</v>
      </c>
    </row>
    <row r="45" spans="1:5" x14ac:dyDescent="0.2">
      <c r="A45" s="18">
        <f t="shared" si="5"/>
        <v>5.4999999999999982</v>
      </c>
      <c r="B45" s="1" t="s">
        <v>134</v>
      </c>
      <c r="C45">
        <f>('Financial Statements'!B102/'Financial Statements'!B22)*-1</f>
        <v>0.14870294480125848</v>
      </c>
      <c r="D45">
        <f>('Financial Statements'!C102/'Financial Statements'!C22)*-1</f>
        <v>0.15279890156316012</v>
      </c>
      <c r="E45">
        <f>('Financial Statements'!D102/'Financial Statements'!D22)*-1</f>
        <v>0.24526658654264863</v>
      </c>
    </row>
    <row r="46" spans="1:5" x14ac:dyDescent="0.2">
      <c r="A46" s="18"/>
      <c r="B46" s="3" t="s">
        <v>135</v>
      </c>
      <c r="C46">
        <f>('Financial Statements'!B102/H31)*-1</f>
        <v>0.90904079382579939</v>
      </c>
      <c r="D46">
        <f>('Financial Statements'!C102/I31)*-1</f>
        <v>0.85781203676252593</v>
      </c>
      <c r="E46">
        <f>('Financial Statements'!D102/J31)*-1</f>
        <v>0.80334322227293475</v>
      </c>
    </row>
    <row r="47" spans="1:5" x14ac:dyDescent="0.2">
      <c r="A47" s="18">
        <f>+A45+0.1</f>
        <v>5.5999999999999979</v>
      </c>
      <c r="B47" s="1" t="s">
        <v>136</v>
      </c>
      <c r="C47">
        <f>(C46/223.45)*100</f>
        <v>0.40682067300326669</v>
      </c>
      <c r="D47">
        <f t="shared" ref="D47:E47" si="7">(D46/223.45)*100</f>
        <v>0.38389439998322933</v>
      </c>
      <c r="E47">
        <f t="shared" si="7"/>
        <v>0.35951811245152598</v>
      </c>
    </row>
    <row r="48" spans="1:5" x14ac:dyDescent="0.2">
      <c r="A48" s="18">
        <f t="shared" ref="A48:A51" si="8">+A46+0.1</f>
        <v>0.1</v>
      </c>
      <c r="B48" s="1" t="s">
        <v>137</v>
      </c>
      <c r="C48">
        <f>'Financial Statements'!B22/(('Financial Statements'!C68+'Financial Statements'!B68)/2)</f>
        <v>1.7545929220653644</v>
      </c>
      <c r="D48">
        <f>'Financial Statements'!C22/(('Financial Statements'!D68+'Financial Statements'!C68)/2)</f>
        <v>1.4744333444938449</v>
      </c>
      <c r="E48">
        <f>'Financial Statements'!D22/(('Financial Statements'!D68+'Financial Statements'!D68)/2)</f>
        <v>0.87866358530127486</v>
      </c>
    </row>
    <row r="49" spans="1:10" x14ac:dyDescent="0.2">
      <c r="A49" s="18">
        <f t="shared" si="8"/>
        <v>5.6999999999999975</v>
      </c>
      <c r="B49" s="1" t="s">
        <v>138</v>
      </c>
      <c r="C49">
        <f>C21/('Financial Statements'!B48-'Financial Statements'!B56)</f>
        <v>0.60087134570590572</v>
      </c>
      <c r="D49">
        <f>D21/('Financial Statements'!C48-'Financial Statements'!C56)</f>
        <v>0.48309913489209433</v>
      </c>
      <c r="E49">
        <f>E21/('Financial Statements'!D48-'Financial Statements'!D56)</f>
        <v>0.30338312829525482</v>
      </c>
    </row>
    <row r="50" spans="1:10" x14ac:dyDescent="0.2">
      <c r="A50" s="18">
        <f t="shared" si="8"/>
        <v>0.2</v>
      </c>
      <c r="B50" s="1" t="s">
        <v>128</v>
      </c>
      <c r="C50">
        <f>C38</f>
        <v>0.28362915040276687</v>
      </c>
      <c r="D50">
        <f t="shared" ref="D50:E50" si="9">D38</f>
        <v>0.28057905732786081</v>
      </c>
      <c r="E50">
        <f t="shared" si="9"/>
        <v>0.1772557180259843</v>
      </c>
    </row>
    <row r="51" spans="1:10" x14ac:dyDescent="0.2">
      <c r="A51" s="18">
        <f t="shared" si="8"/>
        <v>5.7999999999999972</v>
      </c>
      <c r="B51" s="1" t="s">
        <v>139</v>
      </c>
      <c r="C51">
        <f>C52/C19</f>
        <v>32.967109980437101</v>
      </c>
      <c r="D51">
        <f t="shared" ref="D51:E51" si="10">D52/D19</f>
        <v>36.824161912697903</v>
      </c>
      <c r="E51">
        <f t="shared" si="10"/>
        <v>61.664971456678238</v>
      </c>
    </row>
    <row r="52" spans="1:10" x14ac:dyDescent="0.2">
      <c r="A52" s="18"/>
      <c r="B52" s="3" t="s">
        <v>140</v>
      </c>
      <c r="C52">
        <f>H52+'Financial Statements'!B62-'Financial Statements'!B36</f>
        <v>3926481.6999999997</v>
      </c>
      <c r="D52">
        <f>I52+'Financial Statements'!C62-'Financial Statements'!C36</f>
        <v>4021456.25</v>
      </c>
      <c r="E52">
        <f>J52+'Financial Statements'!D62-'Financial Statements'!D36</f>
        <v>4137164.5999999996</v>
      </c>
      <c r="G52" s="1" t="s">
        <v>153</v>
      </c>
      <c r="H52">
        <f>223.45*H31</f>
        <v>3648044.6999999997</v>
      </c>
      <c r="I52">
        <f>223.45*I31</f>
        <v>3768484.25</v>
      </c>
      <c r="J52">
        <f>223.45*J31</f>
        <v>3916631.5999999996</v>
      </c>
    </row>
    <row r="54" spans="1:10" x14ac:dyDescent="0.2">
      <c r="B54" s="27" t="s">
        <v>154</v>
      </c>
    </row>
    <row r="55" spans="1:10" x14ac:dyDescent="0.2">
      <c r="B55" s="11" t="s">
        <v>145</v>
      </c>
    </row>
    <row r="56" spans="1:10" x14ac:dyDescent="0.2">
      <c r="B56" s="28" t="s">
        <v>155</v>
      </c>
      <c r="C56" s="29">
        <f>('Financial Statements'!B6-'Financial Statements'!C6)/'Financial Statements'!C6</f>
        <v>6.3239764351428418E-2</v>
      </c>
      <c r="D56" s="29">
        <f>('Financial Statements'!C6-'Financial Statements'!D6)/'Financial Statements'!D6</f>
        <v>0.34720743656765435</v>
      </c>
    </row>
    <row r="57" spans="1:10" x14ac:dyDescent="0.2">
      <c r="B57" s="28" t="s">
        <v>5</v>
      </c>
      <c r="C57" s="29">
        <f>('Financial Statements'!B7-'Financial Statements'!C7)/'Financial Statements'!C7</f>
        <v>0.14181951041286078</v>
      </c>
      <c r="D57" s="29">
        <f>('Financial Statements'!C7-'Financial Statements'!D7)/'Financial Statements'!D7</f>
        <v>0.27259708376729652</v>
      </c>
    </row>
    <row r="58" spans="1:10" x14ac:dyDescent="0.2">
      <c r="B58" s="28" t="s">
        <v>156</v>
      </c>
      <c r="C58" s="29">
        <f>('Financial Statements'!B8-'Financial Statements'!C8)/'Financial Statements'!C8</f>
        <v>7.7937876041846058E-2</v>
      </c>
      <c r="D58" s="29">
        <f>('Financial Statements'!C8-'Financial Statements'!D8)/'Financial Statements'!D8</f>
        <v>0.33259384733074693</v>
      </c>
    </row>
    <row r="60" spans="1:10" x14ac:dyDescent="0.2">
      <c r="B60" s="1" t="s">
        <v>89</v>
      </c>
      <c r="C60" s="29">
        <f>('Financial Statements'!B13-'Financial Statements'!C13)/'Financial Statements'!C13</f>
        <v>0.11741997958596143</v>
      </c>
      <c r="D60" s="29">
        <f>('Financial Statements'!C13-'Financial Statements'!D13)/'Financial Statements'!D13</f>
        <v>0.45619116582186819</v>
      </c>
      <c r="E60" s="29"/>
    </row>
    <row r="61" spans="1:10" x14ac:dyDescent="0.2">
      <c r="B61" s="11" t="s">
        <v>90</v>
      </c>
    </row>
    <row r="62" spans="1:10" x14ac:dyDescent="0.2">
      <c r="B62" s="28" t="s">
        <v>11</v>
      </c>
      <c r="C62" s="29">
        <f>('Financial Statements'!B15-'Financial Statements'!C15)/'Financial Statements'!C15</f>
        <v>0.19791001186456147</v>
      </c>
      <c r="D62" s="29">
        <f>('Financial Statements'!C15-'Financial Statements'!D15)/'Financial Statements'!D15</f>
        <v>0.16862201365187712</v>
      </c>
      <c r="E62" s="29"/>
    </row>
    <row r="63" spans="1:10" x14ac:dyDescent="0.2">
      <c r="B63" s="28" t="s">
        <v>12</v>
      </c>
      <c r="C63" s="29">
        <f>('Financial Statements'!B16-'Financial Statements'!C16)/'Financial Statements'!C16</f>
        <v>0.14203795567287125</v>
      </c>
      <c r="D63" s="29">
        <f>('Financial Statements'!C16-'Financial Statements'!D16)/'Financial Statements'!D16</f>
        <v>0.10328379192608958</v>
      </c>
      <c r="E63" s="29"/>
    </row>
    <row r="64" spans="1:10" x14ac:dyDescent="0.2">
      <c r="B64" s="11" t="s">
        <v>91</v>
      </c>
    </row>
    <row r="65" spans="2:5" x14ac:dyDescent="0.2">
      <c r="B65" s="3" t="s">
        <v>157</v>
      </c>
      <c r="C65" s="29">
        <f>('Financial Statements'!B42-'Financial Statements'!C42)/'Financial Statements'!C42</f>
        <v>4.2199412619775131E-3</v>
      </c>
      <c r="D65" s="29">
        <f>('Financial Statements'!C42-'Financial Statements'!D42)/'Financial Statements'!D42</f>
        <v>-6.176894226687913E-2</v>
      </c>
    </row>
    <row r="66" spans="2:5" x14ac:dyDescent="0.2">
      <c r="B66" s="3" t="s">
        <v>158</v>
      </c>
      <c r="C66" s="29">
        <f>('Financial Statements'!B47-'Financial Statements'!C47)/'Financial Statements'!C47</f>
        <v>5.4772720964443994E-3</v>
      </c>
      <c r="D66" s="29">
        <f>('Financial Statements'!C47-'Financial Statements'!D47)/'Financial Statements'!D47</f>
        <v>0.19975579297904814</v>
      </c>
    </row>
    <row r="67" spans="2:5" x14ac:dyDescent="0.2">
      <c r="B67" s="3" t="s">
        <v>161</v>
      </c>
      <c r="C67" s="29">
        <f>('Financial Statements'!B48-'Financial Statements'!C48)/'Financial Statements'!C48</f>
        <v>4.9942735369029236E-3</v>
      </c>
      <c r="D67" s="29">
        <f>('Financial Statements'!C48-'Financial Statements'!D48)/'Financial Statements'!D48</f>
        <v>8.3714123400681711E-2</v>
      </c>
    </row>
    <row r="68" spans="2:5" x14ac:dyDescent="0.2">
      <c r="B68" s="3" t="s">
        <v>159</v>
      </c>
      <c r="C68" s="29">
        <f>('Financial Statements'!B56-'Financial Statements'!C56)/'Financial Statements'!C56</f>
        <v>0.22713398841258836</v>
      </c>
      <c r="D68" s="29">
        <f>('Financial Statements'!C56-'Financial Statements'!D56)/'Financial Statements'!D56</f>
        <v>0.19061219067860938</v>
      </c>
    </row>
    <row r="69" spans="2:5" x14ac:dyDescent="0.2">
      <c r="B69" s="3" t="s">
        <v>160</v>
      </c>
      <c r="C69" s="29">
        <f>('Financial Statements'!B61-'Financial Statements'!C61)/'Financial Statements'!C61*-1</f>
        <v>8.8222075835277747E-2</v>
      </c>
      <c r="D69" s="29">
        <f>('Financial Statements'!C61-'Financial Statements'!D61)/'Financial Statements'!D61</f>
        <v>6.0552243775994566E-2</v>
      </c>
    </row>
    <row r="70" spans="2:5" x14ac:dyDescent="0.2">
      <c r="B70" s="3" t="s">
        <v>162</v>
      </c>
      <c r="C70" s="29">
        <f>('Financial Statements'!B62-'Financial Statements'!C62)/'Financial Statements'!C62</f>
        <v>4.9219900525160468E-2</v>
      </c>
      <c r="D70" s="29">
        <f>('Financial Statements'!C62-'Financial Statements'!D62)/'Financial Statements'!D62</f>
        <v>0.11356841449783213</v>
      </c>
    </row>
    <row r="71" spans="2:5" x14ac:dyDescent="0.2">
      <c r="B71" s="3" t="s">
        <v>163</v>
      </c>
      <c r="C71" s="29">
        <f>('Financial Statements'!B68-'Financial Statements'!C68)/'Financial Statements'!C68*-11</f>
        <v>2.1651291805357427</v>
      </c>
      <c r="D71" s="29">
        <f>('Financial Statements'!C68-'Financial Statements'!D68)/'Financial Statements'!D68*-11</f>
        <v>0.37862532331379423</v>
      </c>
    </row>
    <row r="73" spans="2:5" x14ac:dyDescent="0.2">
      <c r="B73" s="30" t="s">
        <v>164</v>
      </c>
    </row>
    <row r="74" spans="2:5" x14ac:dyDescent="0.2">
      <c r="B74" s="31" t="s">
        <v>146</v>
      </c>
      <c r="C74" s="29">
        <f>'Financial Statements'!B12/'Financial Statements'!B8</f>
        <v>0.56690369438639909</v>
      </c>
      <c r="D74" s="29">
        <f>'Financial Statements'!C12/'Financial Statements'!C8</f>
        <v>0.58220640374832222</v>
      </c>
      <c r="E74" s="29">
        <f>'Financial Statements'!D12/'Financial Statements'!D8</f>
        <v>0.61766752272189129</v>
      </c>
    </row>
    <row r="75" spans="2:5" x14ac:dyDescent="0.2">
      <c r="B75" s="31" t="s">
        <v>89</v>
      </c>
      <c r="C75" s="29">
        <f>'Financial Statements'!B13/'Financial Statements'!B8</f>
        <v>0.43309630561360085</v>
      </c>
      <c r="D75" s="29">
        <f>'Financial Statements'!C13/'Financial Statements'!C8</f>
        <v>0.41779359625167778</v>
      </c>
      <c r="E75" s="29">
        <f>'Financial Statements'!D13/'Financial Statements'!D8</f>
        <v>0.38233247727810865</v>
      </c>
    </row>
    <row r="76" spans="2:5" x14ac:dyDescent="0.2">
      <c r="B76" s="31" t="s">
        <v>90</v>
      </c>
      <c r="C76" s="29"/>
      <c r="D76" s="29"/>
      <c r="E76" s="29"/>
    </row>
    <row r="77" spans="2:5" x14ac:dyDescent="0.2">
      <c r="B77" s="28" t="s">
        <v>11</v>
      </c>
      <c r="C77" s="29">
        <f>'Financial Statements'!B15/'Financial Statements'!B8</f>
        <v>6.657148363798665E-2</v>
      </c>
      <c r="D77" s="29">
        <f>'Financial Statements'!C15/'Financial Statements'!C8</f>
        <v>5.9904269074427925E-2</v>
      </c>
      <c r="E77" s="29">
        <f>'Financial Statements'!D15/'Financial Statements'!D8</f>
        <v>6.8309564140393061E-2</v>
      </c>
    </row>
    <row r="78" spans="2:5" x14ac:dyDescent="0.2">
      <c r="B78" s="28" t="s">
        <v>12</v>
      </c>
      <c r="C78" s="29">
        <f>'Financial Statements'!B16/'Financial Statements'!B8</f>
        <v>6.3637378020328261E-2</v>
      </c>
      <c r="D78" s="29">
        <f>'Financial Statements'!C16/'Financial Statements'!C8</f>
        <v>6.006555190163388E-2</v>
      </c>
      <c r="E78" s="29">
        <f>'Financial Statements'!D16/'Financial Statements'!D8</f>
        <v>7.2549769593646979E-2</v>
      </c>
    </row>
    <row r="79" spans="2:5" x14ac:dyDescent="0.2">
      <c r="B79" s="31" t="s">
        <v>14</v>
      </c>
      <c r="C79" s="29">
        <f>'Financial Statements'!B18/'Financial Statements'!B8</f>
        <v>0.30288744395528594</v>
      </c>
      <c r="D79" s="29">
        <f>'Financial Statements'!C18/'Financial Statements'!C8</f>
        <v>0.29782377527561593</v>
      </c>
      <c r="E79" s="29">
        <f>'Financial Statements'!D18/'Financial Statements'!D8</f>
        <v>0.24147314354406862</v>
      </c>
    </row>
    <row r="80" spans="2:5" x14ac:dyDescent="0.2">
      <c r="B80" s="31" t="s">
        <v>93</v>
      </c>
      <c r="C80" s="29">
        <f>'Financial Statements'!B22/'Financial Statements'!B8</f>
        <v>0.25309640705199732</v>
      </c>
      <c r="D80" s="29">
        <f>'Financial Statements'!C22/'Financial Statements'!C8</f>
        <v>0.25881793355694238</v>
      </c>
      <c r="E80" s="29">
        <f>'Financial Statements'!D22/'Financial Statements'!D8</f>
        <v>0.20913611278072236</v>
      </c>
    </row>
    <row r="82" spans="2:5" x14ac:dyDescent="0.2">
      <c r="B82" s="32" t="s">
        <v>165</v>
      </c>
    </row>
    <row r="83" spans="2:5" x14ac:dyDescent="0.2">
      <c r="B83" s="1" t="s">
        <v>94</v>
      </c>
      <c r="C83" s="29">
        <f>'Financial Statements'!B21/'Financial Statements'!B20</f>
        <v>0.16204461684424407</v>
      </c>
      <c r="D83" s="29">
        <f>'Financial Statements'!C21/'Financial Statements'!C20</f>
        <v>0.13302260844085087</v>
      </c>
      <c r="E83" s="29">
        <f>'Financial Statements'!D21/'Financial Statements'!D20</f>
        <v>0.14428164731484103</v>
      </c>
    </row>
    <row r="84" spans="2:5" x14ac:dyDescent="0.2">
      <c r="B84" s="1" t="s">
        <v>95</v>
      </c>
      <c r="C84" s="29">
        <f>'Financial Statements'!B96/'Financial Statements'!B8*-1</f>
        <v>2.7155058732831552E-2</v>
      </c>
      <c r="D84" s="29">
        <f>'Financial Statements'!C96/'Financial Statements'!C8*-1</f>
        <v>3.0302036264033657E-2</v>
      </c>
      <c r="E84" s="29">
        <f>'Financial Statements'!D96/'Financial Statements'!D8*-1</f>
        <v>2.6625138881299748E-2</v>
      </c>
    </row>
    <row r="85" spans="2:5" x14ac:dyDescent="0.2">
      <c r="B85" s="1" t="s">
        <v>96</v>
      </c>
      <c r="C85" s="29">
        <f>'Financial Statements'!B96/'Financial Statements'!B47*-1</f>
        <v>4.9266160570508394E-2</v>
      </c>
      <c r="D85" s="29">
        <f>'Financial Statements'!C96/'Financial Statements'!C47*-1</f>
        <v>5.1280034788079534E-2</v>
      </c>
      <c r="E85" s="29">
        <f>'Financial Statements'!D96/'Financial Statements'!D47*-1</f>
        <v>4.0566116275842931E-2</v>
      </c>
    </row>
  </sheetData>
  <mergeCells count="2">
    <mergeCell ref="C2:E2"/>
    <mergeCell ref="G2:I2"/>
  </mergeCells>
  <pageMargins left="0.7" right="0.7" top="0.75" bottom="0.75" header="0.3" footer="0.3"/>
  <ignoredErrors>
    <ignoredError sqref="C42:E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Jefferson Asare</cp:lastModifiedBy>
  <dcterms:created xsi:type="dcterms:W3CDTF">2020-05-18T16:32:37Z</dcterms:created>
  <dcterms:modified xsi:type="dcterms:W3CDTF">2024-11-06T22:55:20Z</dcterms:modified>
</cp:coreProperties>
</file>