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hane\Downloads\"/>
    </mc:Choice>
  </mc:AlternateContent>
  <xr:revisionPtr revIDLastSave="0" documentId="13_ncr:1_{F948910F-9E69-4812-94AF-39B94A0FC85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nstructions" sheetId="2" r:id="rId1"/>
    <sheet name="Financial Statements" sheetId="1" r:id="rId2"/>
    <sheet name="List of Ratios" sheetId="3" r:id="rId3"/>
    <sheet name="Calculation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3" l="1"/>
  <c r="D50" i="3"/>
  <c r="C50" i="3"/>
  <c r="F69" i="4"/>
  <c r="G69" i="4"/>
  <c r="E69" i="4"/>
  <c r="F68" i="4"/>
  <c r="G68" i="4"/>
  <c r="E68" i="4"/>
  <c r="D49" i="3"/>
  <c r="E49" i="3"/>
  <c r="C49" i="3"/>
  <c r="D48" i="3"/>
  <c r="E48" i="3"/>
  <c r="C48" i="3"/>
  <c r="F63" i="4"/>
  <c r="G63" i="4"/>
  <c r="E63" i="4"/>
  <c r="D47" i="3"/>
  <c r="E47" i="3"/>
  <c r="C47" i="3"/>
  <c r="D46" i="3"/>
  <c r="E46" i="3"/>
  <c r="C46" i="3"/>
  <c r="D44" i="3"/>
  <c r="E44" i="3"/>
  <c r="C44" i="3"/>
  <c r="D43" i="3"/>
  <c r="E43" i="3"/>
  <c r="C43" i="3"/>
  <c r="D42" i="3"/>
  <c r="E42" i="3"/>
  <c r="C42" i="3"/>
  <c r="F59" i="4"/>
  <c r="G59" i="4"/>
  <c r="E59" i="4"/>
  <c r="D40" i="3"/>
  <c r="E40" i="3"/>
  <c r="C40" i="3"/>
  <c r="D37" i="3"/>
  <c r="E37" i="3"/>
  <c r="C37" i="3"/>
  <c r="D36" i="3"/>
  <c r="E36" i="3"/>
  <c r="C36" i="3"/>
  <c r="D35" i="3"/>
  <c r="E35" i="3"/>
  <c r="C35" i="3"/>
  <c r="F49" i="4"/>
  <c r="G49" i="4"/>
  <c r="E49" i="4"/>
  <c r="F48" i="4"/>
  <c r="G48" i="4"/>
  <c r="E48" i="4"/>
  <c r="D34" i="3"/>
  <c r="E34" i="3"/>
  <c r="C34" i="3"/>
  <c r="F46" i="4"/>
  <c r="G46" i="4"/>
  <c r="E46" i="4"/>
  <c r="D29" i="3"/>
  <c r="E29" i="3"/>
  <c r="C29" i="3"/>
  <c r="D30" i="3"/>
  <c r="E30" i="3"/>
  <c r="C30" i="3"/>
  <c r="D28" i="3"/>
  <c r="E28" i="3"/>
  <c r="C28" i="3"/>
  <c r="D27" i="3"/>
  <c r="E27" i="3"/>
  <c r="C27" i="3"/>
  <c r="E26" i="3"/>
  <c r="D26" i="3"/>
  <c r="C26" i="3"/>
  <c r="D25" i="3"/>
  <c r="E25" i="3"/>
  <c r="C25" i="3"/>
  <c r="F39" i="4"/>
  <c r="G39" i="4"/>
  <c r="E39" i="4"/>
  <c r="D22" i="3"/>
  <c r="E22" i="3"/>
  <c r="C22" i="3"/>
  <c r="D20" i="3"/>
  <c r="E20" i="3"/>
  <c r="C20" i="3"/>
  <c r="F35" i="4"/>
  <c r="G35" i="4"/>
  <c r="E35" i="4"/>
  <c r="G34" i="4"/>
  <c r="F34" i="4"/>
  <c r="E34" i="4"/>
  <c r="E13" i="3"/>
  <c r="D13" i="3"/>
  <c r="C13" i="3"/>
  <c r="E12" i="3"/>
  <c r="D12" i="3"/>
  <c r="C12" i="3"/>
  <c r="F27" i="4"/>
  <c r="G27" i="4"/>
  <c r="E27" i="4"/>
  <c r="F24" i="4"/>
  <c r="G24" i="4"/>
  <c r="E24" i="4"/>
  <c r="F22" i="4"/>
  <c r="G22" i="4"/>
  <c r="E22" i="4"/>
  <c r="F19" i="4"/>
  <c r="G19" i="4"/>
  <c r="E19" i="4"/>
  <c r="F15" i="4"/>
  <c r="G15" i="4"/>
  <c r="E15" i="4"/>
  <c r="G13" i="4"/>
  <c r="F13" i="4"/>
  <c r="E13" i="4"/>
  <c r="G10" i="4"/>
  <c r="F10" i="4"/>
  <c r="E10" i="4"/>
  <c r="G5" i="4"/>
  <c r="G6" i="4"/>
  <c r="G4" i="4"/>
  <c r="E6" i="4"/>
  <c r="E5" i="4"/>
  <c r="E4" i="4"/>
  <c r="C8" i="3"/>
  <c r="F36" i="1"/>
  <c r="E7" i="3"/>
  <c r="D7" i="3"/>
  <c r="C7" i="3"/>
  <c r="E5" i="3"/>
  <c r="D5" i="3"/>
  <c r="C5" i="3"/>
  <c r="E6" i="3"/>
  <c r="D6" i="3"/>
  <c r="C6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B8" i="1"/>
  <c r="B13" i="1" s="1"/>
  <c r="D3" i="3"/>
  <c r="D33" i="1"/>
  <c r="D73" i="1" s="1"/>
  <c r="C33" i="1"/>
  <c r="C73" i="1" s="1"/>
  <c r="B33" i="1"/>
  <c r="B73" i="1" s="1"/>
  <c r="C18" i="1" l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<sst xmlns="http://schemas.openxmlformats.org/spreadsheetml/2006/main" count="221" uniqueCount="190">
  <si>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</si>
  <si>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</si>
  <si>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</si>
  <si>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</si>
  <si>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</si>
  <si>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</si>
  <si>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</si>
  <si>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</si>
  <si>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</si>
  <si>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</si>
  <si>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</si>
  <si>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</si>
  <si>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</si>
  <si>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</si>
  <si>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</si>
  <si>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</si>
  <si>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</si>
  <si>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</si>
  <si>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</si>
  <si>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</si>
  <si>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</si>
  <si>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</si>
  <si>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</si>
  <si>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</si>
  <si>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</si>
  <si>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</si>
  <si>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</si>
  <si>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</si>
  <si>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</si>
  <si>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</si>
  <si>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</si>
  <si>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</si>
  <si>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</si>
  <si>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</si>
  <si>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</si>
  <si>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</si>
  <si>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</si>
  <si>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</si>
  <si>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</si>
  <si>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</si>
  <si>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</si>
  <si>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</si>
  <si>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</si>
  <si>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</si>
  <si>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</si>
  <si>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</si>
  <si>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</si>
  <si>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</si>
  <si>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</si>
  <si>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</si>
  <si>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</si>
  <si>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</si>
  <si>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</si>
  <si>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</si>
  <si>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</si>
  <si>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</si>
  <si>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</si>
  <si>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</si>
  <si>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</si>
  <si>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</si>
  <si>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</si>
  <si>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</si>
  <si>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</si>
  <si>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</si>
  <si>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</si>
  <si>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</si>
  <si>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</si>
  <si>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</si>
  <si>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</si>
  <si>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</si>
  <si>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</si>
  <si>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</si>
  <si>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</si>
  <si>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</si>
  <si>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</si>
  <si>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</si>
  <si>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</si>
  <si>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</si>
  <si>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</si>
  <si>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</si>
  <si>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</si>
  <si>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</si>
  <si>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</si>
  <si>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</si>
  <si>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</si>
  <si>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</si>
  <si>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</si>
  <si>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</si>
  <si>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</si>
  <si>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</si>
  <si>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</si>
  <si>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</si>
  <si>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</si>
  <si>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</si>
  <si>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</si>
  <si>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</si>
  <si>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</si>
  <si>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</si>
  <si>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</si>
  <si>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</si>
  <si>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</si>
  <si>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</si>
  <si>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</si>
  <si>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</si>
  <si>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</si>
  <si>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</si>
  <si>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</si>
  <si>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</si>
  <si>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</si>
  <si>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</si>
  <si>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</si>
  <si>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</si>
  <si>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</si>
  <si>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</si>
  <si>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</si>
  <si>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</si>
  <si>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</si>
  <si>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</si>
  <si>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</si>
  <si>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</si>
  <si>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</si>
  <si>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</si>
  <si>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</si>
  <si>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</si>
  <si>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</si>
  <si>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</si>
  <si>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</si>
  <si>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</si>
  <si>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</si>
  <si>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</si>
  <si>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</si>
  <si>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</si>
  <si>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</si>
  <si>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</si>
  <si>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</si>
  <si>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</si>
  <si>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</si>
  <si>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</si>
  <si>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</si>
  <si>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</si>
  <si>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</si>
  <si>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</si>
  <si>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</si>
  <si>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</si>
  <si>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</si>
  <si>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</si>
  <si>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</si>
  <si>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</si>
  <si>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</si>
  <si>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</si>
  <si>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Liquid Assets</t>
  </si>
  <si>
    <t>Operating expenses</t>
  </si>
  <si>
    <t>Section1</t>
  </si>
  <si>
    <t>Operating Expenses</t>
  </si>
  <si>
    <t>Average Inventory 2020</t>
  </si>
  <si>
    <t>Average Inventory 2021</t>
  </si>
  <si>
    <t>Average Inventory 2022</t>
  </si>
  <si>
    <t>Cost of Good Sold 2021</t>
  </si>
  <si>
    <t>Cost of Good Sold 2022</t>
  </si>
  <si>
    <t>Average Payable Days 2020</t>
  </si>
  <si>
    <t>Average Payable Days 2021</t>
  </si>
  <si>
    <t>Average Payable Days 2022</t>
  </si>
  <si>
    <t>COGS per day</t>
  </si>
  <si>
    <t>Receivables Days</t>
  </si>
  <si>
    <t>EBITDA Margin</t>
  </si>
  <si>
    <t>EBITDA 2020</t>
  </si>
  <si>
    <t>EBITDA 2021</t>
  </si>
  <si>
    <t>EBITDA 2022</t>
  </si>
  <si>
    <t>Cost of Good Sold 202</t>
  </si>
  <si>
    <t>Total Debt 2022</t>
  </si>
  <si>
    <t>Total Debt 2021</t>
  </si>
  <si>
    <t>Total Debt 2020</t>
  </si>
  <si>
    <t>Total Equity 2022</t>
  </si>
  <si>
    <t>Total Equity 2021</t>
  </si>
  <si>
    <t>Total Equity 2020</t>
  </si>
  <si>
    <t>Average Asset Turnover</t>
  </si>
  <si>
    <t>Net Fixed Assets</t>
  </si>
  <si>
    <t>Price to Equity</t>
  </si>
  <si>
    <t>Market price per share 2021</t>
  </si>
  <si>
    <t>Market price per share 2022</t>
  </si>
  <si>
    <t>Book Values per Share</t>
  </si>
  <si>
    <t>Total Shareholders equity 2020</t>
  </si>
  <si>
    <t>Total Shareholders equity 2021</t>
  </si>
  <si>
    <t>ROCE</t>
  </si>
  <si>
    <t>Capital employed 2022</t>
  </si>
  <si>
    <t>Market price per share 2020</t>
  </si>
  <si>
    <t>Capital employed 2020</t>
  </si>
  <si>
    <t>Capital employed 2021</t>
  </si>
  <si>
    <t>Market capitalisation</t>
  </si>
  <si>
    <t>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</si>
</sst>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4" sqref="A4"/>
    </sheetView>
  </sheetViews>
  <sheetFormatPr defaultRowHeight="14.5" x14ac:dyDescent="0.35"/>
  <cols>
    <col min="1" max="1" width="104.54296875" customWidth="1"/>
  </cols>
  <sheetData>
    <row r="1" spans="1:1" ht="23.5" x14ac:dyDescent="0.55000000000000004">
      <c r="A1" s="5" t="s">
        <v>87</v>
      </c>
    </row>
    <row r="3" spans="1:1" x14ac:dyDescent="0.35">
      <c r="A3" s="7" t="s">
        <v>141</v>
      </c>
    </row>
    <row r="4" spans="1:1" x14ac:dyDescent="0.35">
      <c r="A4" s="16" t="s">
        <v>88</v>
      </c>
    </row>
    <row r="5" spans="1:1" x14ac:dyDescent="0.35">
      <c r="A5" s="7" t="s">
        <v>97</v>
      </c>
    </row>
    <row r="6" spans="1:1" x14ac:dyDescent="0.35">
      <c r="A6" s="1" t="s">
        <v>148</v>
      </c>
    </row>
    <row r="7" spans="1:1" x14ac:dyDescent="0.35">
      <c r="A7" s="1"/>
    </row>
    <row r="8" spans="1:1" x14ac:dyDescent="0.35">
      <c r="A8" s="17" t="s">
        <v>149</v>
      </c>
    </row>
    <row r="9" spans="1:1" x14ac:dyDescent="0.35">
      <c r="A9" s="1" t="s">
        <v>145</v>
      </c>
    </row>
    <row r="10" spans="1:1" x14ac:dyDescent="0.35">
      <c r="A10" s="1" t="s">
        <v>89</v>
      </c>
    </row>
    <row r="11" spans="1:1" x14ac:dyDescent="0.35">
      <c r="A11" s="1" t="s">
        <v>90</v>
      </c>
    </row>
    <row r="12" spans="1:1" x14ac:dyDescent="0.35">
      <c r="A12" s="1" t="s">
        <v>91</v>
      </c>
    </row>
    <row r="13" spans="1:1" x14ac:dyDescent="0.35">
      <c r="A13" s="1"/>
    </row>
    <row r="14" spans="1:1" x14ac:dyDescent="0.35">
      <c r="A14" s="17" t="s">
        <v>92</v>
      </c>
    </row>
    <row r="15" spans="1:1" x14ac:dyDescent="0.35">
      <c r="A15" s="1" t="s">
        <v>146</v>
      </c>
    </row>
    <row r="16" spans="1:1" x14ac:dyDescent="0.35">
      <c r="A16" s="1" t="s">
        <v>89</v>
      </c>
    </row>
    <row r="17" spans="1:1" x14ac:dyDescent="0.35">
      <c r="A17" s="1" t="s">
        <v>90</v>
      </c>
    </row>
    <row r="18" spans="1:1" x14ac:dyDescent="0.35">
      <c r="A18" s="1" t="s">
        <v>14</v>
      </c>
    </row>
    <row r="19" spans="1:1" x14ac:dyDescent="0.35">
      <c r="A19" s="1" t="s">
        <v>93</v>
      </c>
    </row>
    <row r="20" spans="1:1" x14ac:dyDescent="0.35">
      <c r="A20" s="1"/>
    </row>
    <row r="21" spans="1:1" x14ac:dyDescent="0.35">
      <c r="A21" s="17" t="s">
        <v>98</v>
      </c>
    </row>
    <row r="22" spans="1:1" x14ac:dyDescent="0.35">
      <c r="A22" s="1" t="s">
        <v>94</v>
      </c>
    </row>
    <row r="23" spans="1:1" x14ac:dyDescent="0.35">
      <c r="A23" s="1" t="s">
        <v>95</v>
      </c>
    </row>
    <row r="24" spans="1:1" x14ac:dyDescent="0.35">
      <c r="A24" s="1" t="s">
        <v>96</v>
      </c>
    </row>
    <row r="25" spans="1:1" x14ac:dyDescent="0.35">
      <c r="A25" s="1"/>
    </row>
    <row r="26" spans="1:1" x14ac:dyDescent="0.35">
      <c r="A26" s="17" t="s">
        <v>144</v>
      </c>
    </row>
    <row r="27" spans="1:1" x14ac:dyDescent="0.35">
      <c r="A27" s="16" t="s">
        <v>143</v>
      </c>
    </row>
    <row r="29" spans="1:1" x14ac:dyDescent="0.35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31" workbookViewId="0">
      <selection activeCell="A65" sqref="A65"/>
    </sheetView>
  </sheetViews>
  <sheetFormatPr defaultRowHeight="14.5" x14ac:dyDescent="0.35"/>
  <cols>
    <col min="1" max="1" width="59" customWidth="1"/>
    <col min="2" max="3" width="11.54296875" bestFit="1" customWidth="1"/>
    <col min="4" max="4" width="11.6328125" bestFit="1" customWidth="1"/>
    <col min="6" max="6" width="11.54296875" bestFit="1" customWidth="1"/>
    <col min="7" max="7" width="17.453125" bestFit="1" customWidth="1"/>
  </cols>
  <sheetData>
    <row r="1" spans="1:10" ht="60" customHeight="1" x14ac:dyDescent="0.3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5">
      <c r="A2" s="25" t="s">
        <v>1</v>
      </c>
      <c r="B2" s="25"/>
      <c r="C2" s="25"/>
      <c r="D2" s="25"/>
    </row>
    <row r="3" spans="1:10" x14ac:dyDescent="0.35">
      <c r="B3" s="24" t="s">
        <v>23</v>
      </c>
      <c r="C3" s="24"/>
      <c r="D3" s="24"/>
    </row>
    <row r="4" spans="1:10" x14ac:dyDescent="0.35">
      <c r="B4" s="7">
        <v>2022</v>
      </c>
      <c r="C4" s="7">
        <v>2021</v>
      </c>
      <c r="D4" s="7">
        <v>2020</v>
      </c>
    </row>
    <row r="5" spans="1:10" x14ac:dyDescent="0.35">
      <c r="A5" t="s">
        <v>3</v>
      </c>
    </row>
    <row r="6" spans="1:10" x14ac:dyDescent="0.3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5">
      <c r="A9" t="s">
        <v>7</v>
      </c>
      <c r="B9" s="12"/>
      <c r="C9" s="12"/>
      <c r="D9" s="12"/>
    </row>
    <row r="10" spans="1:10" x14ac:dyDescent="0.3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5">
      <c r="A14" t="s">
        <v>10</v>
      </c>
      <c r="B14" s="12"/>
      <c r="C14" s="12"/>
      <c r="D14" s="12"/>
    </row>
    <row r="15" spans="1:10" x14ac:dyDescent="0.3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5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4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5">
      <c r="A23" t="s">
        <v>19</v>
      </c>
    </row>
    <row r="24" spans="1:4" x14ac:dyDescent="0.3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5">
      <c r="A26" t="s">
        <v>22</v>
      </c>
    </row>
    <row r="27" spans="1:4" x14ac:dyDescent="0.3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5">
      <c r="A31" s="25" t="s">
        <v>24</v>
      </c>
      <c r="B31" s="25"/>
      <c r="C31" s="25"/>
      <c r="D31" s="25"/>
    </row>
    <row r="32" spans="1:4" x14ac:dyDescent="0.35">
      <c r="B32" s="24" t="s">
        <v>142</v>
      </c>
      <c r="C32" s="24"/>
      <c r="D32" s="24"/>
    </row>
    <row r="33" spans="1:7" x14ac:dyDescent="0.3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4" spans="1:7" x14ac:dyDescent="0.35">
      <c r="F34">
        <v>2020</v>
      </c>
    </row>
    <row r="35" spans="1:7" x14ac:dyDescent="0.35">
      <c r="A35" t="s">
        <v>25</v>
      </c>
      <c r="F35" t="s">
        <v>150</v>
      </c>
      <c r="G35" t="s">
        <v>151</v>
      </c>
    </row>
    <row r="36" spans="1:7" x14ac:dyDescent="0.35">
      <c r="A36" s="1" t="s">
        <v>26</v>
      </c>
      <c r="B36" s="12">
        <v>23646</v>
      </c>
      <c r="C36" s="12">
        <v>34940</v>
      </c>
      <c r="D36" s="12">
        <v>38016</v>
      </c>
      <c r="F36" s="23">
        <f>B36+B37+B38+B39+B40+B44+B41</f>
        <v>256210</v>
      </c>
      <c r="G36">
        <v>51345</v>
      </c>
    </row>
    <row r="37" spans="1:7" x14ac:dyDescent="0.35">
      <c r="A37" s="1" t="s">
        <v>27</v>
      </c>
      <c r="B37" s="12">
        <v>24658</v>
      </c>
      <c r="C37" s="12">
        <v>27699</v>
      </c>
      <c r="D37" s="12">
        <v>52927</v>
      </c>
    </row>
    <row r="38" spans="1:7" x14ac:dyDescent="0.35">
      <c r="A38" s="1" t="s">
        <v>28</v>
      </c>
      <c r="B38" s="12">
        <v>28184</v>
      </c>
      <c r="C38" s="12">
        <v>26278</v>
      </c>
      <c r="D38" s="12">
        <v>16120</v>
      </c>
    </row>
    <row r="39" spans="1:7" x14ac:dyDescent="0.35">
      <c r="A39" s="1" t="s">
        <v>29</v>
      </c>
      <c r="B39" s="12">
        <v>4946</v>
      </c>
      <c r="C39" s="12">
        <v>6580</v>
      </c>
      <c r="D39" s="12">
        <v>4061</v>
      </c>
    </row>
    <row r="40" spans="1:7" x14ac:dyDescent="0.35">
      <c r="A40" s="1" t="s">
        <v>47</v>
      </c>
      <c r="B40" s="12">
        <v>32748</v>
      </c>
      <c r="C40" s="12">
        <v>25228</v>
      </c>
      <c r="D40" s="12">
        <v>21325</v>
      </c>
    </row>
    <row r="41" spans="1:7" x14ac:dyDescent="0.35">
      <c r="A41" s="1" t="s">
        <v>30</v>
      </c>
      <c r="B41" s="12">
        <v>21223</v>
      </c>
      <c r="C41" s="12">
        <v>14111</v>
      </c>
      <c r="D41" s="12">
        <v>11264</v>
      </c>
    </row>
    <row r="42" spans="1:7" x14ac:dyDescent="0.3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7" x14ac:dyDescent="0.35">
      <c r="A43" t="s">
        <v>48</v>
      </c>
      <c r="B43" s="12"/>
      <c r="C43" s="12"/>
      <c r="D43" s="12"/>
    </row>
    <row r="44" spans="1:7" x14ac:dyDescent="0.35">
      <c r="A44" s="1" t="s">
        <v>27</v>
      </c>
      <c r="B44" s="12">
        <v>120805</v>
      </c>
      <c r="C44" s="12">
        <v>127877</v>
      </c>
      <c r="D44" s="12">
        <v>100887</v>
      </c>
    </row>
    <row r="45" spans="1:7" x14ac:dyDescent="0.35">
      <c r="A45" s="1" t="s">
        <v>32</v>
      </c>
      <c r="B45" s="12">
        <v>42117</v>
      </c>
      <c r="C45" s="12">
        <v>39440</v>
      </c>
      <c r="D45" s="12">
        <v>36766</v>
      </c>
    </row>
    <row r="46" spans="1:7" x14ac:dyDescent="0.35">
      <c r="A46" s="1" t="s">
        <v>49</v>
      </c>
      <c r="B46" s="12">
        <v>54428</v>
      </c>
      <c r="C46" s="12">
        <v>48849</v>
      </c>
      <c r="D46" s="12">
        <v>42522</v>
      </c>
    </row>
    <row r="47" spans="1:7" x14ac:dyDescent="0.3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7" ht="15" thickBot="1" x14ac:dyDescent="0.4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5"/>
    <row r="50" spans="1:4" x14ac:dyDescent="0.35">
      <c r="A50" t="s">
        <v>34</v>
      </c>
    </row>
    <row r="51" spans="1:4" x14ac:dyDescent="0.3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5">
      <c r="A57" t="s">
        <v>51</v>
      </c>
      <c r="B57" s="12"/>
      <c r="C57" s="12"/>
      <c r="D57" s="12"/>
    </row>
    <row r="58" spans="1:4" x14ac:dyDescent="0.35">
      <c r="A58" s="1" t="s">
        <v>37</v>
      </c>
      <c r="B58" s="12"/>
      <c r="C58" s="12"/>
      <c r="D58" s="12"/>
    </row>
    <row r="59" spans="1:4" x14ac:dyDescent="0.3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5">
      <c r="B63" s="12"/>
      <c r="C63" s="12"/>
      <c r="D63" s="12"/>
    </row>
    <row r="64" spans="1:4" x14ac:dyDescent="0.35">
      <c r="A64" t="s">
        <v>42</v>
      </c>
      <c r="B64" s="12"/>
      <c r="C64" s="12"/>
      <c r="D64" s="12"/>
    </row>
    <row r="65" spans="1:4" x14ac:dyDescent="0.3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4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5"/>
    <row r="71" spans="1:4" x14ac:dyDescent="0.35">
      <c r="A71" s="25" t="s">
        <v>55</v>
      </c>
      <c r="B71" s="25"/>
      <c r="C71" s="25"/>
      <c r="D71" s="25"/>
    </row>
    <row r="72" spans="1:4" x14ac:dyDescent="0.35">
      <c r="B72" s="24" t="s">
        <v>23</v>
      </c>
      <c r="C72" s="24"/>
      <c r="D72" s="24"/>
    </row>
    <row r="73" spans="1:4" x14ac:dyDescent="0.3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5">
      <c r="A75" s="7" t="s">
        <v>56</v>
      </c>
      <c r="B75" s="15"/>
      <c r="C75" s="15"/>
      <c r="D75" s="15"/>
    </row>
    <row r="76" spans="1:4" x14ac:dyDescent="0.3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5">
      <c r="A77" s="11" t="s">
        <v>18</v>
      </c>
      <c r="B77" s="15"/>
      <c r="C77" s="15"/>
      <c r="D77" s="15"/>
    </row>
    <row r="78" spans="1:4" x14ac:dyDescent="0.35">
      <c r="A78" s="1" t="s">
        <v>58</v>
      </c>
      <c r="B78" s="12"/>
      <c r="C78" s="12"/>
      <c r="D78" s="12"/>
    </row>
    <row r="79" spans="1:4" x14ac:dyDescent="0.3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5">
      <c r="A83" t="s">
        <v>62</v>
      </c>
      <c r="B83" s="12"/>
      <c r="C83" s="12"/>
      <c r="D83" s="12"/>
    </row>
    <row r="84" spans="1:4" x14ac:dyDescent="0.3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5">
      <c r="A92" s="7" t="s">
        <v>64</v>
      </c>
      <c r="B92" s="12"/>
      <c r="C92" s="12"/>
      <c r="D92" s="12"/>
    </row>
    <row r="93" spans="1:4" x14ac:dyDescent="0.3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5">
      <c r="A100" s="7" t="s">
        <v>71</v>
      </c>
      <c r="B100" s="12"/>
      <c r="C100" s="12"/>
      <c r="D100" s="12"/>
    </row>
    <row r="101" spans="1:4" x14ac:dyDescent="0.3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4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5">
      <c r="B111" s="12"/>
      <c r="C111" s="12"/>
      <c r="D111" s="12"/>
    </row>
    <row r="112" spans="1:4" x14ac:dyDescent="0.35">
      <c r="A112" t="s">
        <v>80</v>
      </c>
      <c r="B112" s="12"/>
      <c r="C112" s="12"/>
      <c r="D112" s="12"/>
    </row>
    <row r="113" spans="1:4" x14ac:dyDescent="0.3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8" workbookViewId="0">
      <selection activeCell="F17" sqref="F17"/>
    </sheetView>
  </sheetViews>
  <sheetFormatPr defaultRowHeight="14.5" x14ac:dyDescent="0.35"/>
  <cols>
    <col min="1" max="1" width="4.6328125" customWidth="1"/>
    <col min="2" max="2" width="44.90625" customWidth="1"/>
    <col min="3" max="5" width="17.54296875" bestFit="1" customWidth="1"/>
  </cols>
  <sheetData>
    <row r="1" spans="1:10" ht="60" customHeight="1" x14ac:dyDescent="0.6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35">
      <c r="C2" s="24" t="s">
        <v>23</v>
      </c>
      <c r="D2" s="24"/>
      <c r="E2" s="24"/>
    </row>
    <row r="3" spans="1:10" x14ac:dyDescent="0.35">
      <c r="C3" s="7">
        <v>2022</v>
      </c>
      <c r="D3" s="7">
        <f>+'Financial Statements'!C4</f>
        <v>2021</v>
      </c>
      <c r="E3" s="7">
        <v>2020</v>
      </c>
    </row>
    <row r="4" spans="1:10" x14ac:dyDescent="0.35">
      <c r="A4" s="18">
        <v>1</v>
      </c>
      <c r="B4" s="7" t="s">
        <v>99</v>
      </c>
    </row>
    <row r="5" spans="1:10" x14ac:dyDescent="0.35">
      <c r="A5" s="18">
        <f>+A4+0.1</f>
        <v>1.1000000000000001</v>
      </c>
      <c r="B5" s="1" t="s">
        <v>100</v>
      </c>
      <c r="C5" s="26">
        <f>'Financial Statements'!B42/'Financial Statements'!B56</f>
        <v>0.87935602862672257</v>
      </c>
      <c r="D5" s="26">
        <f>'Financial Statements'!C42/'Financial Statements'!C56</f>
        <v>1.0745531195957954</v>
      </c>
      <c r="E5" s="26">
        <f>'Financial Statements'!D42/'Financial Statements'!D56</f>
        <v>1.3636044481554577</v>
      </c>
    </row>
    <row r="6" spans="1:10" x14ac:dyDescent="0.35">
      <c r="A6" s="18">
        <f t="shared" ref="A6:A13" si="0">+A5+0.1</f>
        <v>1.2000000000000002</v>
      </c>
      <c r="B6" s="1" t="s">
        <v>101</v>
      </c>
      <c r="C6" s="26">
        <f>('Financial Statements'!B42-'Financial Statements'!B39)/'Financial Statements'!B56</f>
        <v>0.84723539114961488</v>
      </c>
      <c r="D6" s="26">
        <f>('Financial Statements'!C42-'Financial Statements'!C39)/'Financial Statements'!C56</f>
        <v>1.0221149018576519</v>
      </c>
      <c r="E6" s="26">
        <f>('Financial Statements'!D42-'Financial Statements'!D39)/'Financial Statements'!D56</f>
        <v>1.325072111735236</v>
      </c>
    </row>
    <row r="7" spans="1:10" x14ac:dyDescent="0.35">
      <c r="A7" s="18">
        <f t="shared" si="0"/>
        <v>1.3000000000000003</v>
      </c>
      <c r="B7" s="1" t="s">
        <v>102</v>
      </c>
      <c r="C7" s="26">
        <f>'Financial Statements'!B36/'Financial Statements'!B56</f>
        <v>0.15356340351469652</v>
      </c>
      <c r="D7" s="26">
        <f>'Financial Statements'!C36/'Financial Statements'!C56</f>
        <v>0.27844853005634318</v>
      </c>
      <c r="E7" s="26">
        <f>'Financial Statements'!D36/'Financial Statements'!D56</f>
        <v>0.36071049035979963</v>
      </c>
    </row>
    <row r="8" spans="1:10" x14ac:dyDescent="0.35">
      <c r="A8" s="18">
        <f t="shared" si="0"/>
        <v>1.4000000000000004</v>
      </c>
      <c r="B8" s="1" t="s">
        <v>103</v>
      </c>
      <c r="C8" s="26">
        <f>'Financial Statements'!F36/'Financial Statements'!G36</f>
        <v>4.9899698120557012</v>
      </c>
      <c r="D8" s="26">
        <v>5.986123453414451</v>
      </c>
      <c r="E8" s="26">
        <v>6.3256439433122997</v>
      </c>
    </row>
    <row r="9" spans="1:10" x14ac:dyDescent="0.35">
      <c r="A9" s="18">
        <f t="shared" si="0"/>
        <v>1.5000000000000004</v>
      </c>
      <c r="B9" s="1" t="s">
        <v>104</v>
      </c>
      <c r="C9" s="26">
        <v>3.3187800273769157E-2</v>
      </c>
      <c r="D9" s="26">
        <v>4.6342161976889958E-2</v>
      </c>
      <c r="E9" s="26">
        <v>3.5925548039325544E-2</v>
      </c>
    </row>
    <row r="10" spans="1:10" x14ac:dyDescent="0.35">
      <c r="A10" s="18">
        <f t="shared" si="0"/>
        <v>1.6000000000000005</v>
      </c>
      <c r="B10" s="1" t="s">
        <v>105</v>
      </c>
      <c r="C10" s="26">
        <v>52.342638651552704</v>
      </c>
      <c r="D10" s="26">
        <v>46.925535611157805</v>
      </c>
      <c r="E10" s="26">
        <v>45.524094857837092</v>
      </c>
    </row>
    <row r="11" spans="1:10" x14ac:dyDescent="0.35">
      <c r="A11" s="18">
        <f t="shared" si="0"/>
        <v>1.7000000000000006</v>
      </c>
      <c r="B11" s="1" t="s">
        <v>106</v>
      </c>
      <c r="C11" s="26">
        <v>26.087825363656648</v>
      </c>
      <c r="D11" s="26">
        <v>26.219311841713207</v>
      </c>
      <c r="E11" s="26">
        <v>21.433437152796749</v>
      </c>
    </row>
    <row r="12" spans="1:10" x14ac:dyDescent="0.35">
      <c r="A12" s="18">
        <f t="shared" si="0"/>
        <v>1.8000000000000007</v>
      </c>
      <c r="B12" s="1" t="s">
        <v>107</v>
      </c>
      <c r="C12" s="26">
        <f>C9+C10-C11</f>
        <v>26.288001088169828</v>
      </c>
      <c r="D12" s="26">
        <f>D9+D10-D11</f>
        <v>20.752565931421486</v>
      </c>
      <c r="E12" s="26">
        <f>E9+E10-E11</f>
        <v>24.126583253079666</v>
      </c>
    </row>
    <row r="13" spans="1:10" x14ac:dyDescent="0.35">
      <c r="A13" s="18">
        <f t="shared" si="0"/>
        <v>1.9000000000000008</v>
      </c>
      <c r="B13" s="1" t="s">
        <v>108</v>
      </c>
      <c r="C13" s="26">
        <f>('Financial Statements'!B42-'Financial Statements'!B56/'Financial Statements'!B8)*100</f>
        <v>13540460.950782089</v>
      </c>
      <c r="D13" s="26">
        <f>('Financial Statements'!C42-'Financial Statements'!C56/'Financial Statements'!C8)*100</f>
        <v>13483565.698422983</v>
      </c>
      <c r="E13" s="26">
        <f>('Financial Statements'!D42-'Financial Statements'!D56/'Financial Statements'!D8)*100</f>
        <v>14371261.607926708</v>
      </c>
    </row>
    <row r="14" spans="1:10" x14ac:dyDescent="0.35">
      <c r="A14" s="18"/>
      <c r="B14" s="3" t="s">
        <v>109</v>
      </c>
    </row>
    <row r="15" spans="1:10" x14ac:dyDescent="0.35">
      <c r="A15" s="18"/>
    </row>
    <row r="16" spans="1:10" x14ac:dyDescent="0.35">
      <c r="A16" s="18">
        <f>+A4+1</f>
        <v>2</v>
      </c>
      <c r="B16" s="17" t="s">
        <v>110</v>
      </c>
    </row>
    <row r="17" spans="1:5" x14ac:dyDescent="0.35">
      <c r="A17" s="18">
        <f>+A16+0.1</f>
        <v>2.1</v>
      </c>
      <c r="B17" s="1" t="s">
        <v>9</v>
      </c>
      <c r="C17" s="26">
        <v>170782</v>
      </c>
      <c r="D17" s="26">
        <v>152836</v>
      </c>
      <c r="E17" s="26">
        <v>104956</v>
      </c>
    </row>
    <row r="18" spans="1:5" x14ac:dyDescent="0.35">
      <c r="A18" s="18">
        <f>+A17+0.1</f>
        <v>2.2000000000000002</v>
      </c>
      <c r="B18" s="1" t="s">
        <v>111</v>
      </c>
      <c r="C18" s="26">
        <v>33.104674281308959</v>
      </c>
      <c r="D18" s="26">
        <v>32.86697993805646</v>
      </c>
      <c r="E18" s="26">
        <v>28.174780977360069</v>
      </c>
    </row>
    <row r="19" spans="1:5" x14ac:dyDescent="0.35">
      <c r="A19" s="18"/>
      <c r="B19" s="3" t="s">
        <v>112</v>
      </c>
      <c r="C19" s="26"/>
      <c r="D19" s="26"/>
      <c r="E19" s="26"/>
    </row>
    <row r="20" spans="1:5" x14ac:dyDescent="0.35">
      <c r="A20" s="18">
        <f>+A18+0.1</f>
        <v>2.3000000000000003</v>
      </c>
      <c r="B20" s="1" t="s">
        <v>113</v>
      </c>
      <c r="C20" s="26">
        <f>'Financial Statements'!B18/'Financial Statements'!B8*100</f>
        <v>30.288744395528592</v>
      </c>
      <c r="D20" s="26">
        <f>'Financial Statements'!C18/'Financial Statements'!C8*100</f>
        <v>29.782377527561593</v>
      </c>
      <c r="E20" s="26">
        <f>'Financial Statements'!D18/'Financial Statements'!D8*100</f>
        <v>24.147314354406863</v>
      </c>
    </row>
    <row r="21" spans="1:5" x14ac:dyDescent="0.35">
      <c r="A21" s="18"/>
      <c r="B21" s="3" t="s">
        <v>114</v>
      </c>
      <c r="C21" s="26"/>
      <c r="D21" s="26"/>
      <c r="E21" s="26"/>
    </row>
    <row r="22" spans="1:5" x14ac:dyDescent="0.35">
      <c r="A22" s="18">
        <f>+A20+0.1</f>
        <v>2.4000000000000004</v>
      </c>
      <c r="B22" s="1" t="s">
        <v>115</v>
      </c>
      <c r="C22" s="26">
        <f>'Financial Statements'!B19/'Financial Statements'!B8*100</f>
        <v>-8.4701061045626982E-2</v>
      </c>
      <c r="D22" s="26">
        <f>'Financial Statements'!C19/'Financial Statements'!C8*100</f>
        <v>7.0527066812094572E-2</v>
      </c>
      <c r="E22" s="26">
        <f>'Financial Statements'!D19/'Financial Statements'!D8*100</f>
        <v>0.29251589166347919</v>
      </c>
    </row>
    <row r="23" spans="1:5" x14ac:dyDescent="0.35">
      <c r="A23" s="18"/>
      <c r="C23" s="26"/>
      <c r="D23" s="26"/>
      <c r="E23" s="26"/>
    </row>
    <row r="24" spans="1:5" x14ac:dyDescent="0.35">
      <c r="A24" s="18">
        <f>+A16+1</f>
        <v>3</v>
      </c>
      <c r="B24" s="7" t="s">
        <v>116</v>
      </c>
      <c r="C24" s="26"/>
      <c r="D24" s="26"/>
      <c r="E24" s="26"/>
    </row>
    <row r="25" spans="1:5" x14ac:dyDescent="0.35">
      <c r="A25" s="18">
        <f>+A24+0.1</f>
        <v>3.1</v>
      </c>
      <c r="B25" s="1" t="s">
        <v>117</v>
      </c>
      <c r="C25" s="26">
        <f>Calculations!E39/Calculations!E42</f>
        <v>2.1725410483107042</v>
      </c>
      <c r="D25" s="26">
        <f>Calculations!F39/Calculations!F42</f>
        <v>1.8817403708987162</v>
      </c>
      <c r="E25" s="26">
        <f>Calculations!G39/Calculations!G42</f>
        <v>1.6443471739696047</v>
      </c>
    </row>
    <row r="26" spans="1:5" x14ac:dyDescent="0.35">
      <c r="A26" s="18">
        <f t="shared" ref="A26:A30" si="1">+A25+0.1</f>
        <v>3.2</v>
      </c>
      <c r="B26" s="1" t="s">
        <v>118</v>
      </c>
      <c r="C26" s="26">
        <f>Calculations!E39/'Financial Statements'!B48</f>
        <v>0.31207778769967826</v>
      </c>
      <c r="D26" s="26">
        <f>Calculations!F39/'Financial Statements'!C48</f>
        <v>0.33822884200090025</v>
      </c>
      <c r="E26" s="26">
        <f>Calculations!G39/'Financial Statements'!D48</f>
        <v>0.33171960677765155</v>
      </c>
    </row>
    <row r="27" spans="1:5" x14ac:dyDescent="0.35">
      <c r="A27" s="18">
        <f t="shared" si="1"/>
        <v>3.3000000000000003</v>
      </c>
      <c r="B27" s="1" t="s">
        <v>119</v>
      </c>
      <c r="C27" s="26">
        <f>'Financial Statements'!B59/'Financial Statements'!B59+'Financial Statements'!B68</f>
        <v>50673</v>
      </c>
      <c r="D27" s="26">
        <f>'Financial Statements'!C59/'Financial Statements'!C59+'Financial Statements'!C68</f>
        <v>63091</v>
      </c>
      <c r="E27" s="26">
        <f>'Financial Statements'!D59/'Financial Statements'!D59+'Financial Statements'!D68</f>
        <v>65340</v>
      </c>
    </row>
    <row r="28" spans="1:5" x14ac:dyDescent="0.35">
      <c r="A28" s="18">
        <f t="shared" si="1"/>
        <v>3.4000000000000004</v>
      </c>
      <c r="B28" s="1" t="s">
        <v>120</v>
      </c>
      <c r="C28" s="26">
        <f>'Financial Statements'!B18/'Financial Statements'!B19</f>
        <v>-357.59580838323353</v>
      </c>
      <c r="D28" s="26">
        <f>'Financial Statements'!C18/'Financial Statements'!C19</f>
        <v>422.2829457364341</v>
      </c>
      <c r="E28" s="26">
        <f>'Financial Statements'!D18/'Financial Statements'!D19</f>
        <v>82.550435865504355</v>
      </c>
    </row>
    <row r="29" spans="1:5" x14ac:dyDescent="0.35">
      <c r="A29" s="18">
        <f t="shared" si="1"/>
        <v>3.5000000000000004</v>
      </c>
      <c r="B29" s="1" t="s">
        <v>121</v>
      </c>
      <c r="C29" s="26">
        <f>'Financial Statements'!B18/'Financial Statements'!B114+'Financial Statements'!B105</f>
        <v>-9501.311692844678</v>
      </c>
      <c r="D29" s="26">
        <f>'Financial Statements'!C18/'Financial Statements'!C114+'Financial Statements'!C105</f>
        <v>-8709.4532936360247</v>
      </c>
      <c r="E29" s="26">
        <f>'Financial Statements'!D18/'Financial Statements'!D114+'Financial Statements'!D105</f>
        <v>-12606.918720852766</v>
      </c>
    </row>
    <row r="30" spans="1:5" x14ac:dyDescent="0.35">
      <c r="A30" s="18">
        <f t="shared" si="1"/>
        <v>3.6000000000000005</v>
      </c>
      <c r="B30" s="1" t="s">
        <v>122</v>
      </c>
      <c r="C30" s="26">
        <f>'Financial Statements'!B91-'Financial Statements'!B99</f>
        <v>144505</v>
      </c>
      <c r="D30" s="26">
        <f>'Financial Statements'!C91-'Financial Statements'!C99</f>
        <v>118583</v>
      </c>
      <c r="E30" s="26">
        <f>'Financial Statements'!D91-'Financial Statements'!D99</f>
        <v>84963</v>
      </c>
    </row>
    <row r="31" spans="1:5" x14ac:dyDescent="0.35">
      <c r="A31" s="18"/>
      <c r="B31" s="3" t="s">
        <v>123</v>
      </c>
      <c r="C31" s="26"/>
      <c r="D31" s="26"/>
      <c r="E31" s="26"/>
    </row>
    <row r="32" spans="1:5" x14ac:dyDescent="0.35">
      <c r="A32" s="18"/>
      <c r="C32" s="26"/>
      <c r="D32" s="26"/>
      <c r="E32" s="26"/>
    </row>
    <row r="33" spans="1:5" x14ac:dyDescent="0.35">
      <c r="A33" s="18">
        <f>+A24+1</f>
        <v>4</v>
      </c>
      <c r="B33" s="17" t="s">
        <v>124</v>
      </c>
      <c r="C33" s="26"/>
      <c r="D33" s="26"/>
      <c r="E33" s="26"/>
    </row>
    <row r="34" spans="1:5" x14ac:dyDescent="0.35">
      <c r="A34" s="18">
        <f>+A33+0.1</f>
        <v>4.0999999999999996</v>
      </c>
      <c r="B34" s="1" t="s">
        <v>125</v>
      </c>
      <c r="C34" s="26">
        <f>Calculations!E46/'Financial Statements'!B8</f>
        <v>1.3418588078959648</v>
      </c>
      <c r="D34" s="26">
        <f>Calculations!F46/'Financial Statements'!C8</f>
        <v>1.4392524130917919</v>
      </c>
      <c r="E34" s="26">
        <f>Calculations!G46/'Financial Statements'!D8</f>
        <v>1.7697830719632808</v>
      </c>
    </row>
    <row r="35" spans="1:5" x14ac:dyDescent="0.35">
      <c r="A35" s="18">
        <f t="shared" ref="A35:A37" si="2">+A34+0.1</f>
        <v>4.1999999999999993</v>
      </c>
      <c r="B35" s="1" t="s">
        <v>126</v>
      </c>
      <c r="C35" s="26">
        <f>'Financial Statements'!B8/Calculations!E49</f>
        <v>8.4766173325164722</v>
      </c>
      <c r="D35" s="26">
        <f>'Financial Statements'!C8/Calculations!F49</f>
        <v>8.6616706918596389</v>
      </c>
      <c r="E35" s="26">
        <f>'Financial Statements'!D8/Calculations!G49</f>
        <v>7.1182419292104235</v>
      </c>
    </row>
    <row r="36" spans="1:5" x14ac:dyDescent="0.35">
      <c r="A36" s="18">
        <f t="shared" si="2"/>
        <v>4.2999999999999989</v>
      </c>
      <c r="B36" s="1" t="s">
        <v>127</v>
      </c>
      <c r="C36" s="26">
        <f>Calculations!E10/Calculations!E13</f>
        <v>3.3187800273769157E-2</v>
      </c>
      <c r="D36" s="26">
        <f>Calculations!F10/Calculations!F13</f>
        <v>4.6342161976889958E-2</v>
      </c>
      <c r="E36" s="26">
        <f>Calculations!G10/Calculations!G13</f>
        <v>3.5925548039325544E-2</v>
      </c>
    </row>
    <row r="37" spans="1:5" x14ac:dyDescent="0.35">
      <c r="A37" s="18">
        <f t="shared" si="2"/>
        <v>4.3999999999999986</v>
      </c>
      <c r="B37" s="1" t="s">
        <v>128</v>
      </c>
      <c r="C37" s="26">
        <f>'Financial Statements'!B8/Calculations!E46</f>
        <v>0.74523488918182124</v>
      </c>
      <c r="D37" s="26">
        <f>'Financial Statements'!C8/Calculations!F46</f>
        <v>0.69480515780536867</v>
      </c>
      <c r="E37" s="26">
        <f>'Financial Statements'!D8/Calculations!G46</f>
        <v>0.56504100182779238</v>
      </c>
    </row>
    <row r="38" spans="1:5" x14ac:dyDescent="0.35">
      <c r="A38" s="18"/>
      <c r="C38" s="26"/>
      <c r="D38" s="26"/>
      <c r="E38" s="26"/>
    </row>
    <row r="39" spans="1:5" x14ac:dyDescent="0.35">
      <c r="A39" s="18">
        <f>+A33+1</f>
        <v>5</v>
      </c>
      <c r="B39" s="17" t="s">
        <v>129</v>
      </c>
      <c r="C39" s="26"/>
      <c r="D39" s="26"/>
      <c r="E39" s="26"/>
    </row>
    <row r="40" spans="1:5" x14ac:dyDescent="0.35">
      <c r="A40" s="18">
        <f>+A39+0.1</f>
        <v>5.0999999999999996</v>
      </c>
      <c r="B40" s="1" t="s">
        <v>130</v>
      </c>
      <c r="C40" s="26">
        <f>Calculations!E55/'Financial Statements'!B24</f>
        <v>14.842276422764227</v>
      </c>
      <c r="D40" s="26">
        <f>Calculations!F55/'Financial Statements'!C24</f>
        <v>24.091710758377424</v>
      </c>
      <c r="E40" s="26">
        <f>Calculations!G55/'Financial Statements'!D24</f>
        <v>41.09969788519637</v>
      </c>
    </row>
    <row r="41" spans="1:5" x14ac:dyDescent="0.35">
      <c r="A41" s="18">
        <f t="shared" ref="A41:A44" si="3">+A40+0.1</f>
        <v>5.1999999999999993</v>
      </c>
      <c r="B41" s="3" t="s">
        <v>131</v>
      </c>
      <c r="C41" s="26">
        <v>6.15</v>
      </c>
      <c r="D41" s="26">
        <v>5.67</v>
      </c>
      <c r="E41" s="26">
        <v>3.31</v>
      </c>
    </row>
    <row r="42" spans="1:5" x14ac:dyDescent="0.35">
      <c r="A42" s="18">
        <f t="shared" si="3"/>
        <v>5.2999999999999989</v>
      </c>
      <c r="B42" s="1" t="s">
        <v>132</v>
      </c>
      <c r="C42" s="26">
        <f>Calculations!E59/'Financial Statements'!B65</f>
        <v>0.78138444694598219</v>
      </c>
      <c r="D42" s="26">
        <f>Calculations!F59/'Financial Statements'!C65</f>
        <v>1.0997995293297307</v>
      </c>
      <c r="E42" s="26">
        <f>Calculations!G59/'Financial Statements'!D65</f>
        <v>1.2867327044644439</v>
      </c>
    </row>
    <row r="43" spans="1:5" x14ac:dyDescent="0.35">
      <c r="A43" s="18">
        <f t="shared" si="3"/>
        <v>5.3999999999999986</v>
      </c>
      <c r="B43" s="3" t="s">
        <v>133</v>
      </c>
      <c r="C43" s="26">
        <f>'Financial Statements'!B68</f>
        <v>50672</v>
      </c>
      <c r="D43" s="26">
        <f>'Financial Statements'!C68</f>
        <v>63090</v>
      </c>
      <c r="E43" s="26">
        <f>'Financial Statements'!D68</f>
        <v>65339</v>
      </c>
    </row>
    <row r="44" spans="1:5" x14ac:dyDescent="0.35">
      <c r="A44" s="18">
        <f t="shared" si="3"/>
        <v>5.4999999999999982</v>
      </c>
      <c r="B44" s="1" t="s">
        <v>134</v>
      </c>
      <c r="C44" s="26">
        <f>'Financial Statements'!B102/'Financial Statements'!B24</f>
        <v>-2413.1707317073169</v>
      </c>
      <c r="D44" s="26">
        <f>'Financial Statements'!C102/'Financial Statements'!C24</f>
        <v>-2551.4991181657847</v>
      </c>
      <c r="E44" s="26">
        <f>'Financial Statements'!D102/'Financial Statements'!D24</f>
        <v>-4254.0785498489422</v>
      </c>
    </row>
    <row r="45" spans="1:5" x14ac:dyDescent="0.35">
      <c r="A45" s="18"/>
      <c r="B45" s="3" t="s">
        <v>135</v>
      </c>
      <c r="C45" s="26"/>
      <c r="D45" s="26"/>
      <c r="E45" s="26"/>
    </row>
    <row r="46" spans="1:5" x14ac:dyDescent="0.35">
      <c r="A46" s="18">
        <f>+A44+0.1</f>
        <v>5.5999999999999979</v>
      </c>
      <c r="B46" s="1" t="s">
        <v>136</v>
      </c>
      <c r="C46" s="26">
        <f>'Financial Statements'!B102/227</f>
        <v>-65.378854625550659</v>
      </c>
      <c r="D46" s="26">
        <f>'Financial Statements'!C102/227</f>
        <v>-63.731277533039645</v>
      </c>
      <c r="E46" s="26">
        <f>'Financial Statements'!D102/227</f>
        <v>-62.030837004405285</v>
      </c>
    </row>
    <row r="47" spans="1:5" x14ac:dyDescent="0.35">
      <c r="A47" s="18">
        <f t="shared" ref="A47:A50" si="4">+A45+0.1</f>
        <v>0.1</v>
      </c>
      <c r="B47" s="1" t="s">
        <v>137</v>
      </c>
      <c r="C47" s="26">
        <f>'Financial Statements'!B22/'Financial Statements'!B68</f>
        <v>1.9695887275023682</v>
      </c>
      <c r="D47" s="26">
        <f>'Financial Statements'!C22/'Financial Statements'!C68</f>
        <v>1.5007132667617689</v>
      </c>
      <c r="E47" s="26">
        <f>'Financial Statements'!D22/'Financial Statements'!D68</f>
        <v>0.87866358530127486</v>
      </c>
    </row>
    <row r="48" spans="1:5" x14ac:dyDescent="0.35">
      <c r="A48" s="18">
        <f t="shared" si="4"/>
        <v>5.6999999999999975</v>
      </c>
      <c r="B48" s="1" t="s">
        <v>138</v>
      </c>
      <c r="C48" s="26">
        <f>Calculations!E63/'Financial Statements'!B18</f>
        <v>1.6642497718462452</v>
      </c>
      <c r="D48" s="26">
        <f>Calculations!F63/'Financial Statements'!C18</f>
        <v>2.0699685173796913</v>
      </c>
      <c r="E48" s="26">
        <f>Calculations!G63/'Financial Statements'!D18</f>
        <v>3.2961622013034035</v>
      </c>
    </row>
    <row r="49" spans="1:5" x14ac:dyDescent="0.35">
      <c r="A49" s="18">
        <f t="shared" si="4"/>
        <v>0.2</v>
      </c>
      <c r="B49" s="1" t="s">
        <v>128</v>
      </c>
      <c r="C49" s="26">
        <f>'Financial Statements'!B22/'Financial Statements'!B48*100</f>
        <v>28.292440929256852</v>
      </c>
      <c r="D49" s="26">
        <f>'Financial Statements'!C22/'Financial Statements'!C48*100</f>
        <v>26.974205275183614</v>
      </c>
      <c r="E49" s="26">
        <f>'Financial Statements'!D22/'Financial Statements'!D48*100</f>
        <v>17.725571802598431</v>
      </c>
    </row>
    <row r="50" spans="1:5" x14ac:dyDescent="0.35">
      <c r="A50" s="18">
        <f t="shared" si="4"/>
        <v>5.7999999999999972</v>
      </c>
      <c r="B50" s="1" t="s">
        <v>139</v>
      </c>
      <c r="C50" s="26">
        <f>C51/Calculations!E35</f>
        <v>2611.2760542944679</v>
      </c>
      <c r="D50" s="26">
        <f>D51/Calculations!F35</f>
        <v>2549.1676872625499</v>
      </c>
      <c r="E50" s="26">
        <f>E51/Calculations!G35</f>
        <v>2464.2052512063692</v>
      </c>
    </row>
    <row r="51" spans="1:5" x14ac:dyDescent="0.35">
      <c r="A51" s="18"/>
      <c r="B51" s="3" t="s">
        <v>140</v>
      </c>
      <c r="C51" s="26">
        <v>86445.443236000006</v>
      </c>
      <c r="D51" s="26">
        <v>83783.443236000006</v>
      </c>
      <c r="E51" s="26">
        <v>69428.443236000006</v>
      </c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CF16-16B0-4350-9EEC-9AB00C50943C}">
  <dimension ref="B2:G69"/>
  <sheetViews>
    <sheetView topLeftCell="A19" workbookViewId="0">
      <selection activeCell="E69" sqref="E69:G69"/>
    </sheetView>
  </sheetViews>
  <sheetFormatPr defaultRowHeight="14.5" x14ac:dyDescent="0.35"/>
  <cols>
    <col min="3" max="3" width="20.7265625" bestFit="1" customWidth="1"/>
    <col min="5" max="7" width="26.90625" bestFit="1" customWidth="1"/>
  </cols>
  <sheetData>
    <row r="2" spans="2:7" x14ac:dyDescent="0.35">
      <c r="B2" t="s">
        <v>152</v>
      </c>
    </row>
    <row r="3" spans="2:7" x14ac:dyDescent="0.35">
      <c r="B3">
        <v>1.4</v>
      </c>
      <c r="C3" t="s">
        <v>103</v>
      </c>
      <c r="E3" t="s">
        <v>150</v>
      </c>
      <c r="F3" t="s">
        <v>153</v>
      </c>
    </row>
    <row r="4" spans="2:7" x14ac:dyDescent="0.35">
      <c r="D4">
        <v>2020</v>
      </c>
      <c r="E4">
        <f>'Financial Statements'!B36+'Financial Statements'!B37+'Financial Statements'!B38+'Financial Statements'!B39+'Financial Statements'!B40+'Financial Statements'!B44+'Financial Statements'!B41</f>
        <v>256210</v>
      </c>
      <c r="F4">
        <v>51345</v>
      </c>
      <c r="G4">
        <f>E4/F4</f>
        <v>4.9899698120557012</v>
      </c>
    </row>
    <row r="5" spans="2:7" x14ac:dyDescent="0.35">
      <c r="D5">
        <v>2021</v>
      </c>
      <c r="E5">
        <f>'Financial Statements'!C36+'Financial Statements'!C37+'Financial Statements'!C38+'Financial Statements'!C39+'Financial Statements'!C40+'Financial Statements'!C41+'Financial Statements'!C44</f>
        <v>262713</v>
      </c>
      <c r="F5">
        <v>43887</v>
      </c>
      <c r="G5">
        <f t="shared" ref="G5:G6" si="0">E5/F5</f>
        <v>5.986123453414451</v>
      </c>
    </row>
    <row r="6" spans="2:7" x14ac:dyDescent="0.35">
      <c r="D6">
        <v>2022</v>
      </c>
      <c r="E6">
        <f>'Financial Statements'!D36+'Financial Statements'!D37+'Financial Statements'!D38+'Financial Statements'!D39+'Financial Statements'!D40+'Financial Statements'!D41+'Financial Statements'!D44</f>
        <v>244600</v>
      </c>
      <c r="F6">
        <v>38668</v>
      </c>
      <c r="G6">
        <f t="shared" si="0"/>
        <v>6.3256439433122997</v>
      </c>
    </row>
    <row r="9" spans="2:7" x14ac:dyDescent="0.35">
      <c r="B9" s="18">
        <v>1.5</v>
      </c>
      <c r="C9" s="1" t="s">
        <v>104</v>
      </c>
      <c r="E9" t="s">
        <v>156</v>
      </c>
      <c r="F9" t="s">
        <v>155</v>
      </c>
      <c r="G9" t="s">
        <v>154</v>
      </c>
    </row>
    <row r="10" spans="2:7" x14ac:dyDescent="0.35">
      <c r="E10">
        <f>'Financial Statements'!B39+'Financial Statements'!B39/2</f>
        <v>7419</v>
      </c>
      <c r="F10">
        <f>'Financial Statements'!C39+'Financial Statements'!C39/2</f>
        <v>9870</v>
      </c>
      <c r="G10">
        <f>'Financial Statements'!D39+'Financial Statements'!D39/2</f>
        <v>6091.5</v>
      </c>
    </row>
    <row r="12" spans="2:7" x14ac:dyDescent="0.35">
      <c r="E12" t="s">
        <v>158</v>
      </c>
      <c r="F12" t="s">
        <v>157</v>
      </c>
      <c r="G12" t="s">
        <v>168</v>
      </c>
    </row>
    <row r="13" spans="2:7" x14ac:dyDescent="0.35">
      <c r="E13">
        <f>'Financial Statements'!B12</f>
        <v>223546</v>
      </c>
      <c r="F13">
        <f>'Financial Statements'!C12</f>
        <v>212981</v>
      </c>
      <c r="G13">
        <f>'Financial Statements'!D12</f>
        <v>169559</v>
      </c>
    </row>
    <row r="15" spans="2:7" x14ac:dyDescent="0.35">
      <c r="E15">
        <f>E10/E13</f>
        <v>3.3187800273769157E-2</v>
      </c>
      <c r="F15">
        <f t="shared" ref="F15:G15" si="1">F10/F13</f>
        <v>4.6342161976889958E-2</v>
      </c>
      <c r="G15">
        <f t="shared" si="1"/>
        <v>3.5925548039325544E-2</v>
      </c>
    </row>
    <row r="18" spans="2:7" x14ac:dyDescent="0.35">
      <c r="B18">
        <v>1.6000000000000005</v>
      </c>
      <c r="C18" t="s">
        <v>105</v>
      </c>
      <c r="E18" t="s">
        <v>161</v>
      </c>
      <c r="F18" t="s">
        <v>160</v>
      </c>
      <c r="G18" t="s">
        <v>159</v>
      </c>
    </row>
    <row r="19" spans="2:7" x14ac:dyDescent="0.35">
      <c r="E19">
        <f>'Financial Statements'!B51/2</f>
        <v>32057.5</v>
      </c>
      <c r="F19">
        <f>'Financial Statements'!C51/2</f>
        <v>27381.5</v>
      </c>
      <c r="G19">
        <f>'Financial Statements'!D51/2</f>
        <v>21148</v>
      </c>
    </row>
    <row r="21" spans="2:7" x14ac:dyDescent="0.35">
      <c r="E21" t="s">
        <v>162</v>
      </c>
      <c r="F21" t="s">
        <v>162</v>
      </c>
      <c r="G21" t="s">
        <v>162</v>
      </c>
    </row>
    <row r="22" spans="2:7" x14ac:dyDescent="0.35">
      <c r="E22">
        <f>Calculations!E13/365</f>
        <v>612.45479452054792</v>
      </c>
      <c r="F22">
        <f>Calculations!F13/365</f>
        <v>583.50958904109586</v>
      </c>
      <c r="G22">
        <f>Calculations!G13/365</f>
        <v>464.54520547945208</v>
      </c>
    </row>
    <row r="24" spans="2:7" x14ac:dyDescent="0.35">
      <c r="E24">
        <f>E19/E22</f>
        <v>52.342638651552704</v>
      </c>
      <c r="F24">
        <f t="shared" ref="F24:G24" si="2">F19/F22</f>
        <v>46.925535611157805</v>
      </c>
      <c r="G24">
        <f t="shared" si="2"/>
        <v>45.524094857837092</v>
      </c>
    </row>
    <row r="27" spans="2:7" x14ac:dyDescent="0.35">
      <c r="B27">
        <v>1.7</v>
      </c>
      <c r="C27" t="s">
        <v>163</v>
      </c>
      <c r="E27">
        <f>('Financial Statements'!B38/'Financial Statements'!B8)*365</f>
        <v>26.087825363656648</v>
      </c>
      <c r="F27">
        <f>('Financial Statements'!C38/'Financial Statements'!C8)*365</f>
        <v>26.219311841713207</v>
      </c>
      <c r="G27">
        <f>('Financial Statements'!D38/'Financial Statements'!D8)*365</f>
        <v>21.433437152796749</v>
      </c>
    </row>
    <row r="33" spans="2:7" x14ac:dyDescent="0.35">
      <c r="B33">
        <v>2.2000000000000002</v>
      </c>
      <c r="C33" t="s">
        <v>164</v>
      </c>
      <c r="E33" t="s">
        <v>167</v>
      </c>
      <c r="F33" t="s">
        <v>166</v>
      </c>
      <c r="G33" t="s">
        <v>165</v>
      </c>
    </row>
    <row r="34" spans="2:7" x14ac:dyDescent="0.35">
      <c r="E34">
        <f>'Financial Statements'!B18+'Financial Statements'!B79</f>
        <v>130541</v>
      </c>
      <c r="F34">
        <f>'Financial Statements'!C18+'Financial Statements'!C79</f>
        <v>120233</v>
      </c>
      <c r="G34">
        <f>'Financial Statements'!D18+'Financial Statements'!D79</f>
        <v>77344</v>
      </c>
    </row>
    <row r="35" spans="2:7" x14ac:dyDescent="0.35">
      <c r="E35">
        <f>E34/'Financial Statements'!B8*100</f>
        <v>33.104674281308959</v>
      </c>
      <c r="F35">
        <f>F34/'Financial Statements'!C8*100</f>
        <v>32.86697993805646</v>
      </c>
      <c r="G35">
        <f>G34/'Financial Statements'!D8*100</f>
        <v>28.174780977360069</v>
      </c>
    </row>
    <row r="38" spans="2:7" x14ac:dyDescent="0.35">
      <c r="B38">
        <v>3.1</v>
      </c>
      <c r="C38" t="s">
        <v>117</v>
      </c>
      <c r="E38" t="s">
        <v>169</v>
      </c>
      <c r="F38" t="s">
        <v>170</v>
      </c>
      <c r="G38" t="s">
        <v>171</v>
      </c>
    </row>
    <row r="39" spans="2:7" x14ac:dyDescent="0.35">
      <c r="E39">
        <f>'Financial Statements'!B55+'Financial Statements'!B59</f>
        <v>110087</v>
      </c>
      <c r="F39">
        <f>'Financial Statements'!C55+'Financial Statements'!C59</f>
        <v>118719</v>
      </c>
      <c r="G39">
        <f>'Financial Statements'!D55+'Financial Statements'!D59</f>
        <v>107440</v>
      </c>
    </row>
    <row r="41" spans="2:7" x14ac:dyDescent="0.35">
      <c r="E41" t="s">
        <v>172</v>
      </c>
      <c r="F41" t="s">
        <v>173</v>
      </c>
      <c r="G41" t="s">
        <v>174</v>
      </c>
    </row>
    <row r="42" spans="2:7" x14ac:dyDescent="0.35">
      <c r="E42">
        <v>50672</v>
      </c>
      <c r="F42">
        <v>63090</v>
      </c>
      <c r="G42">
        <v>65339</v>
      </c>
    </row>
    <row r="46" spans="2:7" x14ac:dyDescent="0.35">
      <c r="C46" t="s">
        <v>175</v>
      </c>
      <c r="E46">
        <f>'Financial Statements'!B48+'Financial Statements'!B48/2</f>
        <v>529132.5</v>
      </c>
      <c r="F46">
        <f>'Financial Statements'!C48+'Financial Statements'!C48/2</f>
        <v>526503</v>
      </c>
      <c r="G46">
        <f>'Financial Statements'!D48+'Financial Statements'!D48/2</f>
        <v>485832</v>
      </c>
    </row>
    <row r="48" spans="2:7" x14ac:dyDescent="0.35">
      <c r="C48" t="s">
        <v>176</v>
      </c>
      <c r="E48">
        <f>'Financial Statements'!B45-'Financial Statements'!B79</f>
        <v>31013</v>
      </c>
      <c r="F48">
        <f>'Financial Statements'!C45-'Financial Statements'!C79</f>
        <v>28156</v>
      </c>
      <c r="G48">
        <f>'Financial Statements'!D45-'Financial Statements'!D79</f>
        <v>25710</v>
      </c>
    </row>
    <row r="49" spans="2:7" x14ac:dyDescent="0.35">
      <c r="E49">
        <f>E48+E48/2</f>
        <v>46519.5</v>
      </c>
      <c r="F49">
        <f t="shared" ref="F49:G49" si="3">F48+F48/2</f>
        <v>42234</v>
      </c>
      <c r="G49">
        <f t="shared" si="3"/>
        <v>38565</v>
      </c>
    </row>
    <row r="54" spans="2:7" x14ac:dyDescent="0.35">
      <c r="B54">
        <v>5.0999999999999996</v>
      </c>
      <c r="C54" t="s">
        <v>177</v>
      </c>
      <c r="E54" t="s">
        <v>179</v>
      </c>
      <c r="F54" t="s">
        <v>178</v>
      </c>
      <c r="G54" t="s">
        <v>185</v>
      </c>
    </row>
    <row r="55" spans="2:7" x14ac:dyDescent="0.35">
      <c r="E55">
        <v>91.28</v>
      </c>
      <c r="F55">
        <v>136.6</v>
      </c>
      <c r="G55">
        <v>136.04</v>
      </c>
    </row>
    <row r="58" spans="2:7" x14ac:dyDescent="0.35">
      <c r="C58" t="s">
        <v>180</v>
      </c>
      <c r="E58" t="s">
        <v>181</v>
      </c>
      <c r="F58" t="s">
        <v>182</v>
      </c>
      <c r="G58" t="s">
        <v>181</v>
      </c>
    </row>
    <row r="59" spans="2:7" x14ac:dyDescent="0.35">
      <c r="E59">
        <f>'Financial Statements'!B48-'Financial Statements'!B62</f>
        <v>50672</v>
      </c>
      <c r="F59">
        <f>'Financial Statements'!C48-'Financial Statements'!C62</f>
        <v>63090</v>
      </c>
      <c r="G59">
        <f>'Financial Statements'!D48-'Financial Statements'!D62</f>
        <v>65339</v>
      </c>
    </row>
    <row r="62" spans="2:7" x14ac:dyDescent="0.35">
      <c r="B62">
        <v>5.7</v>
      </c>
      <c r="C62" t="s">
        <v>183</v>
      </c>
      <c r="E62" t="s">
        <v>184</v>
      </c>
      <c r="F62" t="s">
        <v>187</v>
      </c>
      <c r="G62" t="s">
        <v>186</v>
      </c>
    </row>
    <row r="63" spans="2:7" x14ac:dyDescent="0.35">
      <c r="E63">
        <f>'Financial Statements'!B48-'Financial Statements'!B56</f>
        <v>198773</v>
      </c>
      <c r="F63">
        <f>'Financial Statements'!C48-'Financial Statements'!C56</f>
        <v>225521</v>
      </c>
      <c r="G63">
        <f>'Financial Statements'!D48-'Financial Statements'!D56</f>
        <v>218496</v>
      </c>
    </row>
    <row r="67" spans="3:7" x14ac:dyDescent="0.35">
      <c r="C67" t="s">
        <v>188</v>
      </c>
    </row>
    <row r="68" spans="3:7" x14ac:dyDescent="0.35">
      <c r="E68">
        <f>4443236*0.000001</f>
        <v>4.4432359999999997</v>
      </c>
      <c r="F68">
        <f t="shared" ref="F68:G68" si="4">4443236*0.000001</f>
        <v>4.4432359999999997</v>
      </c>
      <c r="G68">
        <f t="shared" si="4"/>
        <v>4.4432359999999997</v>
      </c>
    </row>
    <row r="69" spans="3:7" x14ac:dyDescent="0.35">
      <c r="D69" t="s">
        <v>189</v>
      </c>
      <c r="E69">
        <f>E68+'Financial Statements'!B59+'Financial Statements'!B55-'Financial Statements'!B36</f>
        <v>86445.443236000006</v>
      </c>
      <c r="F69">
        <f>F68+'Financial Statements'!C59+'Financial Statements'!C55-'Financial Statements'!C36</f>
        <v>83783.443236000006</v>
      </c>
      <c r="G69">
        <f>G68+'Financial Statements'!D59+'Financial Statements'!D55-'Financial Statements'!D36</f>
        <v>69428.443236000006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Shane Joseph</cp:lastModifiedBy>
  <dcterms:created xsi:type="dcterms:W3CDTF">2020-05-18T16:32:37Z</dcterms:created>
  <dcterms:modified xsi:type="dcterms:W3CDTF">2024-11-07T21:06:01Z</dcterms:modified>
</cp:coreProperties>
</file>