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kir\OneDrive\Desktop\"/>
    </mc:Choice>
  </mc:AlternateContent>
  <xr:revisionPtr revIDLastSave="0" documentId="13_ncr:1_{660932EA-5A78-4C35-977D-A264B2E2C773}" xr6:coauthVersionLast="47" xr6:coauthVersionMax="47" xr10:uidLastSave="{00000000-0000-0000-0000-000000000000}"/>
  <bookViews>
    <workbookView xWindow="-96" yWindow="-96" windowWidth="23232" windowHeight="12432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% Growth" sheetId="4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3" l="1"/>
  <c r="E30" i="3"/>
  <c r="C30" i="3"/>
  <c r="C31" i="3"/>
  <c r="D31" i="3"/>
  <c r="E31" i="3"/>
  <c r="D35" i="4"/>
  <c r="E35" i="4"/>
  <c r="C35" i="4"/>
  <c r="J39" i="3"/>
  <c r="I39" i="3"/>
  <c r="D51" i="3"/>
  <c r="H39" i="3"/>
  <c r="D46" i="3"/>
  <c r="E46" i="3"/>
  <c r="C46" i="3"/>
  <c r="E42" i="3"/>
  <c r="D42" i="3"/>
  <c r="C42" i="3"/>
  <c r="D40" i="3"/>
  <c r="E40" i="3"/>
  <c r="C40" i="3"/>
  <c r="D37" i="4"/>
  <c r="E37" i="4"/>
  <c r="C37" i="4"/>
  <c r="D36" i="4"/>
  <c r="E36" i="4"/>
  <c r="C36" i="4"/>
  <c r="D34" i="4"/>
  <c r="E34" i="4"/>
  <c r="C34" i="4"/>
  <c r="D32" i="4"/>
  <c r="E32" i="4"/>
  <c r="C32" i="4"/>
  <c r="D30" i="4"/>
  <c r="E30" i="4"/>
  <c r="C30" i="4"/>
  <c r="D28" i="4"/>
  <c r="E28" i="4"/>
  <c r="C28" i="4"/>
  <c r="D25" i="4"/>
  <c r="E25" i="4"/>
  <c r="C25" i="4"/>
  <c r="D23" i="4"/>
  <c r="E23" i="4"/>
  <c r="C23" i="4"/>
  <c r="C7" i="4"/>
  <c r="E7" i="4"/>
  <c r="E9" i="4"/>
  <c r="E10" i="4"/>
  <c r="E12" i="4"/>
  <c r="E13" i="4"/>
  <c r="E14" i="4"/>
  <c r="E15" i="4"/>
  <c r="E16" i="4"/>
  <c r="E17" i="4"/>
  <c r="E18" i="4"/>
  <c r="C6" i="4"/>
  <c r="C9" i="4"/>
  <c r="C10" i="4"/>
  <c r="C12" i="4"/>
  <c r="C13" i="4"/>
  <c r="C14" i="4"/>
  <c r="C15" i="4"/>
  <c r="C16" i="4"/>
  <c r="C17" i="4"/>
  <c r="C18" i="4"/>
  <c r="C5" i="4"/>
  <c r="E6" i="4"/>
  <c r="E5" i="4"/>
  <c r="E51" i="3"/>
  <c r="C51" i="3"/>
  <c r="C50" i="3" s="1"/>
  <c r="D41" i="3"/>
  <c r="E41" i="3"/>
  <c r="C41" i="3"/>
  <c r="D49" i="3"/>
  <c r="D37" i="3" s="1"/>
  <c r="E49" i="3"/>
  <c r="E37" i="3" s="1"/>
  <c r="C49" i="3"/>
  <c r="C37" i="3" s="1"/>
  <c r="D47" i="3"/>
  <c r="E47" i="3"/>
  <c r="C47" i="3"/>
  <c r="C45" i="3"/>
  <c r="D45" i="3"/>
  <c r="E45" i="3"/>
  <c r="D43" i="3"/>
  <c r="E43" i="3"/>
  <c r="C43" i="3"/>
  <c r="D36" i="3"/>
  <c r="E36" i="3"/>
  <c r="C36" i="3"/>
  <c r="D35" i="3"/>
  <c r="E35" i="3"/>
  <c r="C35" i="3"/>
  <c r="D34" i="3"/>
  <c r="E34" i="3"/>
  <c r="C34" i="3"/>
  <c r="D19" i="3"/>
  <c r="D18" i="3" s="1"/>
  <c r="E19" i="3"/>
  <c r="E18" i="3" s="1"/>
  <c r="C19" i="3"/>
  <c r="C18" i="3" s="1"/>
  <c r="C21" i="3"/>
  <c r="C28" i="3" s="1"/>
  <c r="D27" i="3"/>
  <c r="E27" i="3"/>
  <c r="C27" i="3"/>
  <c r="D26" i="3"/>
  <c r="E26" i="3"/>
  <c r="C26" i="3"/>
  <c r="D25" i="3"/>
  <c r="E25" i="3"/>
  <c r="C25" i="3"/>
  <c r="D22" i="3"/>
  <c r="E22" i="3"/>
  <c r="C22" i="3"/>
  <c r="D17" i="3"/>
  <c r="E17" i="3"/>
  <c r="C17" i="3"/>
  <c r="D21" i="3"/>
  <c r="D20" i="3" s="1"/>
  <c r="E21" i="3"/>
  <c r="E28" i="3" s="1"/>
  <c r="D14" i="3"/>
  <c r="D13" i="3" s="1"/>
  <c r="E14" i="3"/>
  <c r="E13" i="3" s="1"/>
  <c r="C14" i="3"/>
  <c r="C13" i="3" s="1"/>
  <c r="C11" i="3"/>
  <c r="D11" i="3"/>
  <c r="E11" i="3"/>
  <c r="D10" i="3"/>
  <c r="E10" i="3"/>
  <c r="C10" i="3"/>
  <c r="D9" i="3"/>
  <c r="E9" i="3"/>
  <c r="C9" i="3"/>
  <c r="D8" i="3"/>
  <c r="E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50" i="3" l="1"/>
  <c r="E44" i="3"/>
  <c r="D12" i="3"/>
  <c r="E50" i="3"/>
  <c r="C44" i="3"/>
  <c r="D44" i="3"/>
  <c r="C48" i="3"/>
  <c r="E48" i="3"/>
  <c r="D28" i="3"/>
  <c r="D48" i="3"/>
  <c r="E29" i="3"/>
  <c r="D29" i="3"/>
  <c r="E20" i="3"/>
  <c r="E12" i="3"/>
  <c r="C12" i="3"/>
  <c r="C29" i="3"/>
  <c r="C20" i="3"/>
  <c r="D68" i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<sst xmlns="http://schemas.openxmlformats.org/spreadsheetml/2006/main" count="213" uniqueCount="162">
  <si>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</si>
  <si>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</si>
  <si>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</si>
  <si>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</si>
  <si>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</si>
  <si>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</si>
  <si>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</si>
  <si>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</si>
  <si>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</si>
  <si>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</si>
  <si>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</si>
  <si>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</si>
  <si>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</si>
  <si>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</si>
  <si>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</si>
  <si>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</si>
  <si>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</si>
  <si>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</si>
  <si>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</si>
  <si>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</si>
  <si>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</si>
  <si>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</si>
  <si>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</si>
  <si>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</si>
  <si>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</si>
  <si>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</si>
  <si>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</si>
  <si>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</si>
  <si>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</si>
  <si>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</si>
  <si>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</si>
  <si>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</si>
  <si>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</si>
  <si>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</si>
  <si>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</si>
  <si>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</si>
  <si>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</si>
  <si>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</si>
  <si>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</si>
  <si>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</si>
  <si>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</si>
  <si>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</si>
  <si>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</si>
  <si>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</si>
  <si>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</si>
  <si>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</si>
  <si>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</si>
  <si>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</si>
  <si>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</si>
  <si>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</si>
  <si>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</si>
  <si>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</si>
  <si>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</si>
  <si>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</si>
  <si>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</si>
  <si>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</si>
  <si>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</si>
  <si>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</si>
  <si>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</si>
  <si>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</si>
  <si>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</si>
  <si>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</si>
  <si>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</si>
  <si>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</si>
  <si>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</si>
  <si>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</si>
  <si>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</si>
  <si>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</si>
  <si>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</si>
  <si>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</si>
  <si>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</si>
  <si>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</si>
  <si>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</si>
  <si>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</si>
  <si>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</si>
  <si>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</si>
  <si>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</si>
  <si>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</si>
  <si>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</si>
  <si>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</si>
  <si>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</si>
  <si>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</si>
  <si>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</si>
  <si>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</si>
  <si>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</si>
  <si>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</si>
  <si>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</si>
  <si>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</si>
  <si>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</si>
  <si>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</si>
  <si>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</si>
  <si>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</si>
  <si>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</si>
  <si>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</si>
  <si>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</si>
  <si>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</si>
  <si>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</si>
  <si>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</si>
  <si>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</si>
  <si>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</si>
  <si>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</si>
  <si>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</si>
  <si>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</si>
  <si>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</si>
  <si>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</si>
  <si>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</si>
  <si>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</si>
  <si>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</si>
  <si>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</si>
  <si>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</si>
  <si>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</si>
  <si>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</si>
  <si>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</si>
  <si>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</si>
  <si>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</si>
  <si>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</si>
  <si>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</si>
  <si>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</si>
  <si>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</si>
  <si>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</si>
  <si>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</si>
  <si>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</si>
  <si>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</si>
  <si>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</si>
  <si>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</si>
  <si>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</si>
  <si>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</si>
  <si>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</si>
  <si>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</si>
  <si>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</si>
  <si>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</si>
  <si>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</si>
  <si>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</si>
  <si>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</si>
  <si>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</si>
  <si>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</si>
  <si>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</si>
  <si>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</si>
  <si>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</si>
  <si>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</si>
  <si>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</si>
  <si>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</si>
  <si>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</si>
  <si>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</si>
  <si>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</si>
  <si>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</si>
  <si>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</si>
  <si>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</si>
  <si>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</si>
  <si>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Others</t>
  </si>
  <si>
    <t>Mkt. Cap</t>
  </si>
  <si>
    <t>% Growth over 2021</t>
  </si>
  <si>
    <t>% Growth over 2020</t>
  </si>
  <si>
    <t>Particulars</t>
  </si>
  <si>
    <t>COGS as a % of Net Sales</t>
  </si>
  <si>
    <t>Gross profits as a % of Net Sales</t>
  </si>
  <si>
    <t>Research and development as a % of Net Sales</t>
  </si>
  <si>
    <t>Selling, general and administrative as a % of Net Sales</t>
  </si>
  <si>
    <t>Operating income as % of Net Sales</t>
  </si>
  <si>
    <t>Net profit as a % of Net Sales</t>
  </si>
  <si>
    <t>Share Price</t>
  </si>
  <si>
    <t>Net trading cycle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</si>
</sst>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70" formatCode="0.00_);\(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10" fontId="0" fillId="0" borderId="0" xfId="0" applyNumberFormat="1"/>
    <xf numFmtId="164" fontId="0" fillId="0" borderId="0" xfId="0" applyNumberFormat="1"/>
    <xf numFmtId="43" fontId="0" fillId="0" borderId="0" xfId="0" applyNumberFormat="1"/>
    <xf numFmtId="2" fontId="8" fillId="0" borderId="0" xfId="0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5" borderId="0" xfId="0" applyFill="1"/>
    <xf numFmtId="0" fontId="2" fillId="5" borderId="0" xfId="0" applyFont="1" applyFill="1" applyAlignment="1">
      <alignment horizontal="center" wrapText="1"/>
    </xf>
    <xf numFmtId="165" fontId="0" fillId="5" borderId="0" xfId="0" applyNumberFormat="1" applyFill="1"/>
    <xf numFmtId="0" fontId="0" fillId="5" borderId="0" xfId="0" applyFill="1" applyAlignment="1">
      <alignment horizontal="left" indent="1"/>
    </xf>
    <xf numFmtId="2" fontId="0" fillId="5" borderId="0" xfId="0" applyNumberFormat="1" applyFill="1"/>
    <xf numFmtId="0" fontId="0" fillId="5" borderId="0" xfId="0" applyFont="1" applyFill="1"/>
    <xf numFmtId="0" fontId="0" fillId="5" borderId="0" xfId="0" applyFont="1" applyFill="1" applyAlignment="1">
      <alignment wrapText="1"/>
    </xf>
    <xf numFmtId="0" fontId="0" fillId="5" borderId="0" xfId="0" applyFont="1" applyFill="1" applyAlignment="1"/>
    <xf numFmtId="164" fontId="0" fillId="5" borderId="0" xfId="1" applyNumberFormat="1" applyFont="1" applyFill="1" applyBorder="1" applyAlignment="1"/>
    <xf numFmtId="164" fontId="0" fillId="0" borderId="0" xfId="1" applyNumberFormat="1" applyFont="1" applyBorder="1" applyAlignment="1"/>
    <xf numFmtId="0" fontId="0" fillId="5" borderId="0" xfId="0" applyFont="1" applyFill="1" applyBorder="1" applyAlignment="1"/>
    <xf numFmtId="164" fontId="1" fillId="0" borderId="0" xfId="1" applyNumberFormat="1" applyFont="1" applyBorder="1" applyAlignment="1"/>
    <xf numFmtId="0" fontId="2" fillId="5" borderId="0" xfId="0" applyFont="1" applyFill="1"/>
    <xf numFmtId="164" fontId="1" fillId="5" borderId="0" xfId="1" applyNumberFormat="1" applyFont="1" applyFill="1" applyAlignment="1"/>
    <xf numFmtId="43" fontId="0" fillId="5" borderId="0" xfId="1" applyNumberFormat="1" applyFont="1" applyFill="1" applyBorder="1" applyAlignment="1"/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5" borderId="4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left" indent="1"/>
    </xf>
    <xf numFmtId="0" fontId="2" fillId="5" borderId="4" xfId="0" applyFont="1" applyFill="1" applyBorder="1" applyAlignment="1">
      <alignment horizontal="left"/>
    </xf>
    <xf numFmtId="0" fontId="2" fillId="5" borderId="4" xfId="0" applyFont="1" applyFill="1" applyBorder="1" applyAlignment="1"/>
    <xf numFmtId="0" fontId="0" fillId="5" borderId="4" xfId="0" applyFont="1" applyFill="1" applyBorder="1" applyAlignment="1">
      <alignment horizontal="left" indent="1"/>
    </xf>
    <xf numFmtId="10" fontId="0" fillId="5" borderId="4" xfId="0" applyNumberFormat="1" applyFont="1" applyFill="1" applyBorder="1" applyAlignment="1"/>
    <xf numFmtId="164" fontId="0" fillId="5" borderId="4" xfId="1" applyNumberFormat="1" applyFont="1" applyFill="1" applyBorder="1" applyAlignment="1"/>
    <xf numFmtId="164" fontId="1" fillId="5" borderId="4" xfId="1" applyNumberFormat="1" applyFont="1" applyFill="1" applyBorder="1" applyAlignment="1"/>
    <xf numFmtId="10" fontId="2" fillId="5" borderId="4" xfId="0" applyNumberFormat="1" applyFont="1" applyFill="1" applyBorder="1" applyAlignment="1"/>
    <xf numFmtId="0" fontId="0" fillId="5" borderId="4" xfId="0" applyFont="1" applyFill="1" applyBorder="1" applyAlignment="1"/>
    <xf numFmtId="164" fontId="1" fillId="0" borderId="4" xfId="1" applyNumberFormat="1" applyFont="1" applyBorder="1" applyAlignment="1"/>
    <xf numFmtId="164" fontId="0" fillId="0" borderId="4" xfId="1" applyNumberFormat="1" applyFont="1" applyBorder="1" applyAlignment="1"/>
    <xf numFmtId="0" fontId="0" fillId="5" borderId="4" xfId="0" applyFont="1" applyFill="1" applyBorder="1" applyAlignment="1">
      <alignment horizontal="left"/>
    </xf>
    <xf numFmtId="165" fontId="0" fillId="5" borderId="4" xfId="0" applyNumberFormat="1" applyFont="1" applyFill="1" applyBorder="1"/>
    <xf numFmtId="165" fontId="2" fillId="5" borderId="7" xfId="0" applyNumberFormat="1" applyFont="1" applyFill="1" applyBorder="1"/>
    <xf numFmtId="0" fontId="2" fillId="5" borderId="8" xfId="0" quotePrefix="1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0" fillId="5" borderId="11" xfId="0" applyFont="1" applyFill="1" applyBorder="1" applyAlignment="1">
      <alignment wrapText="1"/>
    </xf>
    <xf numFmtId="0" fontId="2" fillId="5" borderId="12" xfId="0" applyFont="1" applyFill="1" applyBorder="1" applyAlignment="1">
      <alignment horizontal="center" wrapText="1"/>
    </xf>
    <xf numFmtId="0" fontId="0" fillId="0" borderId="13" xfId="0" applyBorder="1" applyAlignment="1">
      <alignment wrapText="1"/>
    </xf>
    <xf numFmtId="0" fontId="2" fillId="5" borderId="12" xfId="0" applyFont="1" applyFill="1" applyBorder="1" applyAlignment="1">
      <alignment horizontal="center" wrapText="1"/>
    </xf>
    <xf numFmtId="165" fontId="2" fillId="5" borderId="14" xfId="0" applyNumberFormat="1" applyFont="1" applyFill="1" applyBorder="1"/>
    <xf numFmtId="0" fontId="2" fillId="5" borderId="12" xfId="0" applyFont="1" applyFill="1" applyBorder="1" applyAlignment="1"/>
    <xf numFmtId="165" fontId="0" fillId="5" borderId="14" xfId="0" applyNumberFormat="1" applyFont="1" applyFill="1" applyBorder="1"/>
    <xf numFmtId="164" fontId="0" fillId="5" borderId="12" xfId="1" applyNumberFormat="1" applyFont="1" applyFill="1" applyBorder="1" applyAlignment="1"/>
    <xf numFmtId="164" fontId="1" fillId="5" borderId="12" xfId="1" applyNumberFormat="1" applyFont="1" applyFill="1" applyBorder="1" applyAlignment="1"/>
    <xf numFmtId="0" fontId="0" fillId="5" borderId="12" xfId="0" applyFont="1" applyFill="1" applyBorder="1" applyAlignment="1"/>
    <xf numFmtId="164" fontId="1" fillId="0" borderId="12" xfId="1" applyNumberFormat="1" applyFont="1" applyBorder="1" applyAlignment="1"/>
    <xf numFmtId="164" fontId="0" fillId="0" borderId="12" xfId="1" applyNumberFormat="1" applyFont="1" applyBorder="1" applyAlignment="1"/>
    <xf numFmtId="0" fontId="0" fillId="5" borderId="14" xfId="0" applyFont="1" applyFill="1" applyBorder="1"/>
    <xf numFmtId="165" fontId="2" fillId="5" borderId="0" xfId="0" applyNumberFormat="1" applyFont="1" applyFill="1" applyBorder="1"/>
    <xf numFmtId="0" fontId="2" fillId="5" borderId="0" xfId="0" quotePrefix="1" applyFont="1" applyFill="1" applyBorder="1" applyAlignment="1">
      <alignment horizontal="left" indent="1"/>
    </xf>
    <xf numFmtId="0" fontId="2" fillId="5" borderId="0" xfId="0" quotePrefix="1" applyFont="1" applyFill="1" applyBorder="1" applyAlignment="1">
      <alignment horizontal="left"/>
    </xf>
    <xf numFmtId="0" fontId="2" fillId="5" borderId="4" xfId="0" quotePrefix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5" borderId="4" xfId="0" applyNumberFormat="1" applyFont="1" applyFill="1" applyBorder="1"/>
    <xf numFmtId="0" fontId="2" fillId="5" borderId="5" xfId="0" applyFont="1" applyFill="1" applyBorder="1" applyAlignment="1">
      <alignment vertical="top" wrapText="1"/>
    </xf>
    <xf numFmtId="0" fontId="0" fillId="0" borderId="6" xfId="0" applyBorder="1" applyAlignment="1"/>
    <xf numFmtId="165" fontId="2" fillId="5" borderId="5" xfId="0" applyNumberFormat="1" applyFont="1" applyFill="1" applyBorder="1" applyAlignment="1"/>
    <xf numFmtId="10" fontId="0" fillId="5" borderId="4" xfId="1" applyNumberFormat="1" applyFont="1" applyFill="1" applyBorder="1" applyAlignment="1"/>
    <xf numFmtId="10" fontId="0" fillId="0" borderId="4" xfId="1" applyNumberFormat="1" applyFont="1" applyBorder="1" applyAlignment="1"/>
    <xf numFmtId="10" fontId="1" fillId="0" borderId="4" xfId="1" applyNumberFormat="1" applyFont="1" applyBorder="1" applyAlignment="1"/>
    <xf numFmtId="170" fontId="0" fillId="0" borderId="0" xfId="0" applyNumberFormat="1"/>
    <xf numFmtId="0" fontId="0" fillId="5" borderId="0" xfId="0" applyFill="1" applyAlignment="1">
      <alignment horizontal="left" indent="2"/>
    </xf>
    <xf numFmtId="43" fontId="0" fillId="0" borderId="0" xfId="1" applyFont="1"/>
    <xf numFmtId="43" fontId="0" fillId="5" borderId="0" xfId="1" applyFont="1" applyFill="1"/>
    <xf numFmtId="164" fontId="8" fillId="0" borderId="0" xfId="1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8" zoomScale="130" zoomScaleNormal="130" workbookViewId="0">
      <selection activeCell="A12" sqref="A12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140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147</v>
      </c>
    </row>
    <row r="7" spans="1:1" x14ac:dyDescent="0.25">
      <c r="A7" s="1"/>
    </row>
    <row r="8" spans="1:1" x14ac:dyDescent="0.25">
      <c r="A8" s="17" t="s">
        <v>148</v>
      </c>
    </row>
    <row r="9" spans="1:1" x14ac:dyDescent="0.25">
      <c r="A9" s="1" t="s">
        <v>144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145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143</v>
      </c>
    </row>
    <row r="27" spans="1:1" x14ac:dyDescent="0.25">
      <c r="A27" s="16" t="s">
        <v>142</v>
      </c>
    </row>
    <row r="29" spans="1:1" x14ac:dyDescent="0.25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4"/>
  <sheetViews>
    <sheetView topLeftCell="A20" workbookViewId="0">
      <selection activeCell="J27" sqref="J27:L30"/>
    </sheetView>
  </sheetViews>
  <sheetFormatPr defaultRowHeight="15" x14ac:dyDescent="0.25"/>
  <cols>
    <col min="1" max="1" width="59" customWidth="1"/>
    <col min="2" max="2" width="14.5703125" bestFit="1" customWidth="1"/>
    <col min="3" max="3" width="11.5703125" bestFit="1" customWidth="1"/>
    <col min="4" max="4" width="11.7109375" bestFit="1" customWidth="1"/>
    <col min="10" max="12" width="14.570312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9" t="s">
        <v>1</v>
      </c>
      <c r="B2" s="29"/>
      <c r="C2" s="29"/>
      <c r="D2" s="29"/>
    </row>
    <row r="3" spans="1:10" x14ac:dyDescent="0.25">
      <c r="B3" s="28" t="s">
        <v>23</v>
      </c>
      <c r="C3" s="28"/>
      <c r="D3" s="28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12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12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12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12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12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12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12" ht="15.75" thickTop="1" x14ac:dyDescent="0.25">
      <c r="A23" t="s">
        <v>19</v>
      </c>
    </row>
    <row r="24" spans="1:12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12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12" x14ac:dyDescent="0.25">
      <c r="A26" t="s">
        <v>22</v>
      </c>
    </row>
    <row r="27" spans="1:12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12" x14ac:dyDescent="0.25">
      <c r="A28" s="1" t="s">
        <v>21</v>
      </c>
      <c r="B28" s="2">
        <v>16325819</v>
      </c>
      <c r="C28" s="2">
        <v>16864919</v>
      </c>
      <c r="D28" s="2">
        <v>17528214</v>
      </c>
      <c r="J28" s="25"/>
      <c r="K28" s="25"/>
      <c r="L28" s="25"/>
    </row>
    <row r="29" spans="1:12" x14ac:dyDescent="0.25">
      <c r="J29" s="2"/>
      <c r="K29" s="2"/>
      <c r="L29" s="2"/>
    </row>
    <row r="30" spans="1:12" x14ac:dyDescent="0.25">
      <c r="J30" s="26"/>
      <c r="K30" s="26"/>
      <c r="L30" s="26"/>
    </row>
    <row r="31" spans="1:12" x14ac:dyDescent="0.25">
      <c r="A31" s="29" t="s">
        <v>24</v>
      </c>
      <c r="B31" s="29"/>
      <c r="C31" s="29"/>
      <c r="D31" s="29"/>
    </row>
    <row r="32" spans="1:12" x14ac:dyDescent="0.25">
      <c r="B32" s="28" t="s">
        <v>141</v>
      </c>
      <c r="C32" s="28"/>
      <c r="D32" s="28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29" t="s">
        <v>55</v>
      </c>
      <c r="B71" s="29"/>
      <c r="C71" s="29"/>
      <c r="D71" s="29"/>
    </row>
    <row r="72" spans="1:4" x14ac:dyDescent="0.25">
      <c r="B72" s="28" t="s">
        <v>23</v>
      </c>
      <c r="C72" s="28"/>
      <c r="D72" s="28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2"/>
  <sheetViews>
    <sheetView tabSelected="1" topLeftCell="A25" workbookViewId="0">
      <selection activeCell="D39" sqref="D39"/>
    </sheetView>
  </sheetViews>
  <sheetFormatPr defaultRowHeight="15" x14ac:dyDescent="0.25"/>
  <cols>
    <col min="1" max="1" width="6.5703125" bestFit="1" customWidth="1"/>
    <col min="2" max="2" width="35.140625" bestFit="1" customWidth="1"/>
    <col min="3" max="5" width="16.7109375" bestFit="1" customWidth="1"/>
    <col min="7" max="7" width="10.85546875" bestFit="1" customWidth="1"/>
    <col min="8" max="10" width="23.85546875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28" t="s">
        <v>23</v>
      </c>
      <c r="D2" s="28"/>
      <c r="E2" s="28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  <c r="C5" s="91">
        <f>'Financial Statements'!B42/'Financial Statements'!B56</f>
        <v>0.87935602862672257</v>
      </c>
      <c r="D5" s="91">
        <f>'Financial Statements'!C42/'Financial Statements'!C56</f>
        <v>1.0745531195957954</v>
      </c>
      <c r="E5" s="91">
        <f>'Financial Statements'!D42/'Financial Statements'!D56</f>
        <v>1.3636044481554577</v>
      </c>
      <c r="F5" s="23"/>
    </row>
    <row r="6" spans="1:10" x14ac:dyDescent="0.25">
      <c r="A6" s="18">
        <f>+A5+0.1</f>
        <v>1.2000000000000002</v>
      </c>
      <c r="B6" s="1" t="s">
        <v>101</v>
      </c>
      <c r="C6" s="91">
        <f>('Financial Statements'!B42-'Financial Statements'!B39)/'Financial Statements'!B56</f>
        <v>0.84723539114961488</v>
      </c>
      <c r="D6" s="91">
        <f>('Financial Statements'!C42-'Financial Statements'!C39)/'Financial Statements'!C56</f>
        <v>1.0221149018576519</v>
      </c>
      <c r="E6" s="91">
        <f>('Financial Statements'!D42-'Financial Statements'!D39)/'Financial Statements'!D56</f>
        <v>1.325072111735236</v>
      </c>
      <c r="F6" s="23"/>
    </row>
    <row r="7" spans="1:10" x14ac:dyDescent="0.25">
      <c r="A7" s="18">
        <f>+A6+0.1</f>
        <v>1.3000000000000003</v>
      </c>
      <c r="B7" s="1" t="s">
        <v>102</v>
      </c>
      <c r="C7" s="91">
        <f>('Financial Statements'!B36+'Financial Statements'!B37)/'Financial Statements'!B56</f>
        <v>0.31369900377966253</v>
      </c>
      <c r="D7" s="91">
        <f>('Financial Statements'!C36+'Financial Statements'!C37)/'Financial Statements'!C56</f>
        <v>0.49919111259872012</v>
      </c>
      <c r="E7" s="91">
        <f>('Financial Statements'!D36+'Financial Statements'!D37)/'Financial Statements'!D56</f>
        <v>0.86290230757552755</v>
      </c>
      <c r="F7" s="23"/>
    </row>
    <row r="8" spans="1:10" x14ac:dyDescent="0.25">
      <c r="A8" s="18">
        <f>+A7+0.1</f>
        <v>1.4000000000000004</v>
      </c>
      <c r="B8" s="1" t="s">
        <v>103</v>
      </c>
      <c r="C8" s="93">
        <f>('Financial Statements'!B36+'Financial Statements'!B37+'Financial Statements'!B38)/(('Financial Statements'!B17-'Financial Statements'!B79-'Financial Statements'!B80)/365)</f>
        <v>894.72550716277283</v>
      </c>
      <c r="D8" s="93">
        <f>('Financial Statements'!C36+'Financial Statements'!C37+'Financial Statements'!C38)/(('Financial Statements'!C17-'Financial Statements'!C79-'Financial Statements'!C80)/365)</f>
        <v>1314.1152771591692</v>
      </c>
      <c r="E8" s="93">
        <f>('Financial Statements'!D36+'Financial Statements'!D37+'Financial Statements'!D38)/(('Financial Statements'!D17-'Financial Statements'!D79-'Financial Statements'!D80)/365)</f>
        <v>1880.2865322619448</v>
      </c>
      <c r="F8" s="23"/>
    </row>
    <row r="9" spans="1:10" x14ac:dyDescent="0.25">
      <c r="A9" s="18">
        <f>+A8+0.1</f>
        <v>1.5000000000000004</v>
      </c>
      <c r="B9" s="1" t="s">
        <v>104</v>
      </c>
      <c r="C9" s="91">
        <f>(('Financial Statements'!B39+'Financial Statements'!C39)/2)/('Financial Statements'!B10/365)</f>
        <v>10.440683770865286</v>
      </c>
      <c r="D9" s="91">
        <f>(('Financial Statements'!C39+'Financial Statements'!D39)/2)/('Financial Statements'!C10/365)</f>
        <v>10.100498788137267</v>
      </c>
      <c r="E9" s="91">
        <f>(('Financial Statements'!D39+'Financial Statements'!E39)/2)/('Financial Statements'!D10/365)</f>
        <v>4.898883571513557</v>
      </c>
      <c r="F9" s="23"/>
    </row>
    <row r="10" spans="1:10" x14ac:dyDescent="0.25">
      <c r="A10" s="18">
        <f>+A9+0.1</f>
        <v>1.6000000000000005</v>
      </c>
      <c r="B10" s="1" t="s">
        <v>105</v>
      </c>
      <c r="C10" s="91">
        <f>('Financial Statements'!B51*365)/'Financial Statements'!B12</f>
        <v>104.68527730310539</v>
      </c>
      <c r="D10" s="91">
        <f>('Financial Statements'!C51*365)/'Financial Statements'!C12</f>
        <v>93.85107122231561</v>
      </c>
      <c r="E10" s="91">
        <f>('Financial Statements'!D51*365)/'Financial Statements'!D12</f>
        <v>91.048189715674184</v>
      </c>
      <c r="F10" s="23"/>
    </row>
    <row r="11" spans="1:10" x14ac:dyDescent="0.25">
      <c r="A11" s="18">
        <f>+A10+0.1</f>
        <v>1.7000000000000006</v>
      </c>
      <c r="B11" s="1" t="s">
        <v>106</v>
      </c>
      <c r="C11" s="91">
        <f>('Financial Statements'!B38/'Financial Statements'!B8)*365</f>
        <v>26.087825363656648</v>
      </c>
      <c r="D11" s="91">
        <f>('Financial Statements'!C38/'Financial Statements'!C8)*365</f>
        <v>26.219311841713207</v>
      </c>
      <c r="E11" s="91">
        <f>('Financial Statements'!D38/'Financial Statements'!D8)*365</f>
        <v>21.433437152796749</v>
      </c>
      <c r="F11" s="23"/>
    </row>
    <row r="12" spans="1:10" x14ac:dyDescent="0.25">
      <c r="A12" s="18">
        <f>+A11+0.1</f>
        <v>1.8000000000000007</v>
      </c>
      <c r="B12" s="1" t="s">
        <v>161</v>
      </c>
      <c r="C12" s="91">
        <f>C11+C9-C10</f>
        <v>-68.156768168583454</v>
      </c>
      <c r="D12" s="91">
        <f>D11+D9-D10</f>
        <v>-57.531260592465138</v>
      </c>
      <c r="E12" s="91">
        <f>E11+E9-E10</f>
        <v>-64.715868991363877</v>
      </c>
      <c r="F12" s="23"/>
    </row>
    <row r="13" spans="1:10" x14ac:dyDescent="0.25">
      <c r="A13" s="18">
        <f>+A12+0.1</f>
        <v>1.9000000000000008</v>
      </c>
      <c r="B13" s="1" t="s">
        <v>107</v>
      </c>
      <c r="C13" s="24">
        <f>C14/'Financial Statements'!B8</f>
        <v>-4.711052727678481E-2</v>
      </c>
      <c r="D13" s="24">
        <f>D14/'Financial Statements'!C8</f>
        <v>2.557289573748623E-2</v>
      </c>
      <c r="E13" s="24">
        <f>E14/'Financial Statements'!D8</f>
        <v>0.13959528623208203</v>
      </c>
      <c r="F13" s="23"/>
    </row>
    <row r="14" spans="1:10" x14ac:dyDescent="0.25">
      <c r="A14" s="18"/>
      <c r="B14" s="3" t="s">
        <v>108</v>
      </c>
      <c r="C14" s="93">
        <f>'Financial Statements'!B42-'Financial Statements'!B56</f>
        <v>-18577</v>
      </c>
      <c r="D14" s="93">
        <f>'Financial Statements'!C42-'Financial Statements'!C56</f>
        <v>9355</v>
      </c>
      <c r="E14" s="93">
        <f>'Financial Statements'!D42-'Financial Statements'!D56</f>
        <v>38321</v>
      </c>
      <c r="F14" s="23"/>
    </row>
    <row r="15" spans="1:10" x14ac:dyDescent="0.25">
      <c r="A15" s="18"/>
      <c r="C15" s="23"/>
      <c r="D15" s="23"/>
      <c r="E15" s="23"/>
      <c r="F15" s="23"/>
    </row>
    <row r="16" spans="1:10" x14ac:dyDescent="0.25">
      <c r="A16" s="18">
        <f>+A4+1</f>
        <v>2</v>
      </c>
      <c r="B16" s="17" t="s">
        <v>109</v>
      </c>
      <c r="C16" s="23"/>
      <c r="D16" s="23"/>
      <c r="E16" s="23"/>
      <c r="F16" s="23"/>
    </row>
    <row r="17" spans="1:6" x14ac:dyDescent="0.25">
      <c r="A17" s="18">
        <f>+A16+0.1</f>
        <v>2.1</v>
      </c>
      <c r="B17" s="1" t="s">
        <v>9</v>
      </c>
      <c r="C17" s="24">
        <f>('Financial Statements'!B8-'Financial Statements'!B12)/'Financial Statements'!B8</f>
        <v>0.43309630561360085</v>
      </c>
      <c r="D17" s="24">
        <f>('Financial Statements'!C8-'Financial Statements'!C12)/'Financial Statements'!C8</f>
        <v>0.41779359625167778</v>
      </c>
      <c r="E17" s="24">
        <f>('Financial Statements'!D8-'Financial Statements'!D12)/'Financial Statements'!D8</f>
        <v>0.38233247727810865</v>
      </c>
      <c r="F17" s="23"/>
    </row>
    <row r="18" spans="1:6" x14ac:dyDescent="0.25">
      <c r="A18" s="18">
        <f>+A17+0.1</f>
        <v>2.2000000000000002</v>
      </c>
      <c r="B18" s="1" t="s">
        <v>110</v>
      </c>
      <c r="C18" s="24">
        <f>C19/'Financial Statements'!B8</f>
        <v>0.33746525734921184</v>
      </c>
      <c r="D18" s="24">
        <f>D19/'Financial Statements'!C8</f>
        <v>0.33672027270465832</v>
      </c>
      <c r="E18" s="24">
        <f>E19/'Financial Statements'!D8</f>
        <v>0.29560861883685774</v>
      </c>
      <c r="F18" s="23"/>
    </row>
    <row r="19" spans="1:6" x14ac:dyDescent="0.25">
      <c r="A19" s="18"/>
      <c r="B19" s="3" t="s">
        <v>111</v>
      </c>
      <c r="C19" s="93">
        <f>('Financial Statements'!B20+'Financial Statements'!B79)+'Financial Statements'!B114</f>
        <v>133072</v>
      </c>
      <c r="D19" s="93">
        <f>('Financial Statements'!C20+'Financial Statements'!C79)+'Financial Statements'!C114</f>
        <v>123178</v>
      </c>
      <c r="E19" s="93">
        <f>('Financial Statements'!D20+'Financial Statements'!D79)+'Financial Statements'!D114</f>
        <v>81149</v>
      </c>
      <c r="F19" s="23"/>
    </row>
    <row r="20" spans="1:6" x14ac:dyDescent="0.25">
      <c r="A20" s="18">
        <f>+A18+0.1</f>
        <v>2.3000000000000003</v>
      </c>
      <c r="B20" s="1" t="s">
        <v>112</v>
      </c>
      <c r="C20" s="24">
        <f>C21/'Financial Statements'!B8</f>
        <v>0.30288744395528594</v>
      </c>
      <c r="D20" s="24">
        <f>D21/'Financial Statements'!C8</f>
        <v>0.29782377527561593</v>
      </c>
      <c r="E20" s="24">
        <f>E21/'Financial Statements'!D8</f>
        <v>0.24147314354406862</v>
      </c>
      <c r="F20" s="23"/>
    </row>
    <row r="21" spans="1:6" x14ac:dyDescent="0.25">
      <c r="A21" s="18"/>
      <c r="B21" s="3" t="s">
        <v>113</v>
      </c>
      <c r="C21" s="93">
        <f>'Financial Statements'!B8-'Financial Statements'!B12-'Financial Statements'!B17</f>
        <v>119437</v>
      </c>
      <c r="D21" s="93">
        <f>'Financial Statements'!C8-'Financial Statements'!C12-'Financial Statements'!C17</f>
        <v>108949</v>
      </c>
      <c r="E21" s="93">
        <f>'Financial Statements'!D8-'Financial Statements'!D12-'Financial Statements'!D17</f>
        <v>66288</v>
      </c>
      <c r="F21" s="23"/>
    </row>
    <row r="22" spans="1:6" x14ac:dyDescent="0.25">
      <c r="A22" s="18">
        <f>+A20+0.1</f>
        <v>2.4000000000000004</v>
      </c>
      <c r="B22" s="1" t="s">
        <v>114</v>
      </c>
      <c r="C22" s="24">
        <f>('Financial Statements'!B22/'Financial Statements'!B8)</f>
        <v>0.25309640705199732</v>
      </c>
      <c r="D22" s="24">
        <f>('Financial Statements'!C22/'Financial Statements'!C8)</f>
        <v>0.25881793355694238</v>
      </c>
      <c r="E22" s="24">
        <f>('Financial Statements'!D22/'Financial Statements'!D8)</f>
        <v>0.20913611278072236</v>
      </c>
      <c r="F22" s="23"/>
    </row>
    <row r="23" spans="1:6" x14ac:dyDescent="0.25">
      <c r="A23" s="18"/>
      <c r="C23" s="23"/>
      <c r="D23" s="23"/>
      <c r="E23" s="23"/>
      <c r="F23" s="23"/>
    </row>
    <row r="24" spans="1:6" x14ac:dyDescent="0.25">
      <c r="A24" s="18">
        <f>+A16+1</f>
        <v>3</v>
      </c>
      <c r="B24" s="7" t="s">
        <v>115</v>
      </c>
      <c r="C24" s="23"/>
      <c r="D24" s="23"/>
      <c r="E24" s="23"/>
      <c r="F24" s="23"/>
    </row>
    <row r="25" spans="1:6" x14ac:dyDescent="0.25">
      <c r="A25" s="18">
        <f>+A24+0.1</f>
        <v>3.1</v>
      </c>
      <c r="B25" s="1" t="s">
        <v>116</v>
      </c>
      <c r="C25" s="23">
        <f>'Financial Statements'!B62/'Financial Statements'!B68</f>
        <v>5.9615369434796337</v>
      </c>
      <c r="D25" s="23">
        <f>'Financial Statements'!C62/'Financial Statements'!C68</f>
        <v>4.5635124425423994</v>
      </c>
      <c r="E25" s="23">
        <f>'Financial Statements'!D62/'Financial Statements'!D68</f>
        <v>3.9570394404566951</v>
      </c>
      <c r="F25" s="23"/>
    </row>
    <row r="26" spans="1:6" x14ac:dyDescent="0.25">
      <c r="A26" s="18">
        <f>+A25+0.1</f>
        <v>3.2</v>
      </c>
      <c r="B26" s="1" t="s">
        <v>117</v>
      </c>
      <c r="C26" s="23">
        <f>'Financial Statements'!B62/'Financial Statements'!B48</f>
        <v>0.85635355983614692</v>
      </c>
      <c r="D26" s="23">
        <f>'Financial Statements'!C62/'Financial Statements'!C48</f>
        <v>0.82025743443057308</v>
      </c>
      <c r="E26" s="23">
        <f>'Financial Statements'!D62/'Financial Statements'!D48</f>
        <v>0.79826668477992391</v>
      </c>
      <c r="F26" s="23"/>
    </row>
    <row r="27" spans="1:6" x14ac:dyDescent="0.25">
      <c r="A27" s="18">
        <f>+A26+0.1</f>
        <v>3.3000000000000003</v>
      </c>
      <c r="B27" s="1" t="s">
        <v>118</v>
      </c>
      <c r="C27" s="23">
        <f>'Financial Statements'!B61/'Financial Statements'!B69</f>
        <v>0.41984096610962285</v>
      </c>
      <c r="D27" s="23">
        <f>'Financial Statements'!C61/'Financial Statements'!C69</f>
        <v>0.46276374493592631</v>
      </c>
      <c r="E27" s="23">
        <f>'Financial Statements'!D61/'Financial Statements'!D69</f>
        <v>0.47287025144494393</v>
      </c>
      <c r="F27" s="23"/>
    </row>
    <row r="28" spans="1:6" x14ac:dyDescent="0.25">
      <c r="A28" s="18">
        <f>+A27+0.1</f>
        <v>3.4000000000000004</v>
      </c>
      <c r="B28" s="1" t="s">
        <v>119</v>
      </c>
      <c r="C28" s="23">
        <f>C21/'Financial Statements'!B114</f>
        <v>41.68830715532286</v>
      </c>
      <c r="D28" s="23">
        <f>D21/'Financial Statements'!C114</f>
        <v>40.546706363974693</v>
      </c>
      <c r="E28" s="23">
        <f>E21/'Financial Statements'!D114</f>
        <v>22.081279147235175</v>
      </c>
      <c r="F28" s="23"/>
    </row>
    <row r="29" spans="1:6" x14ac:dyDescent="0.25">
      <c r="A29" s="18">
        <f>+A28+0.1</f>
        <v>3.5000000000000004</v>
      </c>
      <c r="B29" s="1" t="s">
        <v>120</v>
      </c>
      <c r="C29" s="23">
        <f>'List of Ratios'!C21/('Financial Statements'!B114-'Financial Statements'!B105)</f>
        <v>9.6258059316569948</v>
      </c>
      <c r="D29" s="23">
        <f>'List of Ratios'!D21/('Financial Statements'!C114-'Financial Statements'!C105)</f>
        <v>9.5260120661012504</v>
      </c>
      <c r="E29" s="23">
        <f>'List of Ratios'!E21/('Financial Statements'!D114-'Financial Statements'!D105)</f>
        <v>4.2408035314439259</v>
      </c>
      <c r="F29" s="23"/>
    </row>
    <row r="30" spans="1:6" s="30" customFormat="1" x14ac:dyDescent="0.25">
      <c r="A30" s="32">
        <f>+A29+0.1</f>
        <v>3.6000000000000005</v>
      </c>
      <c r="B30" s="33" t="s">
        <v>121</v>
      </c>
      <c r="C30" s="34">
        <f>(C31*1000000)/('Financial Statements'!B27*1000)</f>
        <v>8.3984070404735611</v>
      </c>
      <c r="D30" s="34">
        <f>(D31*1000000)/('Financial Statements'!C27*1000)</f>
        <v>7.0753552034168754</v>
      </c>
      <c r="E30" s="34">
        <f>(E31*1000000)/('Financial Statements'!D27*1000)</f>
        <v>5.2684132413591191</v>
      </c>
      <c r="F30" s="34"/>
    </row>
    <row r="31" spans="1:6" s="30" customFormat="1" x14ac:dyDescent="0.25">
      <c r="A31" s="32"/>
      <c r="B31" s="92" t="s">
        <v>122</v>
      </c>
      <c r="C31" s="94">
        <f>'Financial Statements'!B91+'Financial Statements'!B114+('Financial Statements'!B114*'% Growth'!C35)-'Financial Statements'!B96</f>
        <v>136188.25782725876</v>
      </c>
      <c r="D31" s="94">
        <f>'Financial Statements'!C91+'Financial Statements'!C114+('Financial Statements'!C114*'% Growth'!D35)-'Financial Statements'!C96</f>
        <v>118167.43174888057</v>
      </c>
      <c r="E31" s="94">
        <f>'Financial Statements'!D91+'Financial Statements'!D114+('Financial Statements'!D114*'% Growth'!E35)-'Financial Statements'!D96</f>
        <v>91418.133505239151</v>
      </c>
      <c r="F31" s="34"/>
    </row>
    <row r="32" spans="1:6" x14ac:dyDescent="0.25">
      <c r="A32" s="18"/>
      <c r="C32" s="23"/>
      <c r="D32" s="23"/>
      <c r="E32" s="23"/>
      <c r="F32" s="23"/>
    </row>
    <row r="33" spans="1:10" x14ac:dyDescent="0.25">
      <c r="A33" s="18">
        <f>+A24+1</f>
        <v>4</v>
      </c>
      <c r="B33" s="17" t="s">
        <v>123</v>
      </c>
      <c r="C33" s="23"/>
      <c r="D33" s="23"/>
      <c r="E33" s="23"/>
      <c r="F33" s="23"/>
    </row>
    <row r="34" spans="1:10" x14ac:dyDescent="0.25">
      <c r="A34" s="18">
        <f>+A33+0.1</f>
        <v>4.0999999999999996</v>
      </c>
      <c r="B34" s="1" t="s">
        <v>124</v>
      </c>
      <c r="C34" s="23">
        <f>'Financial Statements'!B8/'Financial Statements'!B48</f>
        <v>1.1178523337727317</v>
      </c>
      <c r="D34" s="23">
        <f>'Financial Statements'!C8/'Financial Statements'!C48</f>
        <v>1.0422077367080529</v>
      </c>
      <c r="E34" s="23">
        <f>'Financial Statements'!D8/'Financial Statements'!D48</f>
        <v>0.84756150274168851</v>
      </c>
      <c r="F34" s="23"/>
    </row>
    <row r="35" spans="1:10" x14ac:dyDescent="0.25">
      <c r="A35" s="18">
        <f>+A34+0.1</f>
        <v>4.1999999999999993</v>
      </c>
      <c r="B35" s="1" t="s">
        <v>125</v>
      </c>
      <c r="C35" s="23">
        <f>'Financial Statements'!B8/'Financial Statements'!B45</f>
        <v>9.3626801529073767</v>
      </c>
      <c r="D35" s="23">
        <f>'Financial Statements'!C8/'Financial Statements'!C45</f>
        <v>9.2752789046653152</v>
      </c>
      <c r="E35" s="23">
        <f>'Financial Statements'!D8/'Financial Statements'!D45</f>
        <v>7.4665451776097482</v>
      </c>
      <c r="F35" s="23"/>
    </row>
    <row r="36" spans="1:10" x14ac:dyDescent="0.25">
      <c r="A36" s="18">
        <f>+A35+0.1</f>
        <v>4.2999999999999989</v>
      </c>
      <c r="B36" s="1" t="s">
        <v>126</v>
      </c>
      <c r="C36" s="23">
        <f>'Financial Statements'!B10/'Financial Statements'!B39</f>
        <v>40.734128588758594</v>
      </c>
      <c r="D36" s="23">
        <f>'Financial Statements'!C10/'Financial Statements'!C39</f>
        <v>29.219756838905774</v>
      </c>
      <c r="E36" s="23">
        <f>'Financial Statements'!D10/'Financial Statements'!D39</f>
        <v>37.253385865550356</v>
      </c>
      <c r="F36" s="23"/>
    </row>
    <row r="37" spans="1:10" x14ac:dyDescent="0.25">
      <c r="A37" s="18">
        <f>+A36+0.1</f>
        <v>4.3999999999999986</v>
      </c>
      <c r="B37" s="1" t="s">
        <v>127</v>
      </c>
      <c r="C37" s="23">
        <f>C49</f>
        <v>0.28292440929256851</v>
      </c>
      <c r="D37" s="23">
        <f>D49</f>
        <v>0.26974205275183616</v>
      </c>
      <c r="E37" s="23">
        <f>E49</f>
        <v>0.1772557180259843</v>
      </c>
      <c r="F37" s="23"/>
    </row>
    <row r="38" spans="1:10" x14ac:dyDescent="0.25">
      <c r="A38" s="18"/>
      <c r="C38" s="23"/>
      <c r="D38" s="23"/>
      <c r="E38" s="23"/>
      <c r="F38" s="23"/>
    </row>
    <row r="39" spans="1:10" x14ac:dyDescent="0.25">
      <c r="A39" s="18">
        <f>+A33+1</f>
        <v>5</v>
      </c>
      <c r="B39" s="17" t="s">
        <v>128</v>
      </c>
      <c r="C39" s="27"/>
      <c r="D39" s="27"/>
      <c r="E39" s="27"/>
      <c r="F39" s="23"/>
      <c r="G39" t="s">
        <v>150</v>
      </c>
      <c r="H39" s="95">
        <f>H40*'Financial Statements'!B27*1000</f>
        <v>2241046086600</v>
      </c>
      <c r="I39" s="95">
        <f>I40*'Financial Statements'!C27*1000</f>
        <v>2363229988000</v>
      </c>
      <c r="J39" s="95">
        <f>J40*'Financial Statements'!D27*1000</f>
        <v>2009548901390</v>
      </c>
    </row>
    <row r="40" spans="1:10" x14ac:dyDescent="0.25">
      <c r="A40" s="18">
        <f>+A39+0.1</f>
        <v>5.0999999999999996</v>
      </c>
      <c r="B40" s="1" t="s">
        <v>129</v>
      </c>
      <c r="C40" s="23">
        <f>H40/C41</f>
        <v>22.471544715447152</v>
      </c>
      <c r="D40" s="23">
        <f t="shared" ref="D40:E40" si="0">I40/D41</f>
        <v>24.955908289241624</v>
      </c>
      <c r="E40" s="23">
        <f t="shared" si="0"/>
        <v>34.987915407854985</v>
      </c>
      <c r="F40" s="23"/>
      <c r="G40" t="s">
        <v>160</v>
      </c>
      <c r="H40" s="27">
        <v>138.19999999999999</v>
      </c>
      <c r="I40" s="27">
        <v>141.5</v>
      </c>
      <c r="J40" s="27">
        <v>115.81</v>
      </c>
    </row>
    <row r="41" spans="1:10" x14ac:dyDescent="0.25">
      <c r="A41" s="18">
        <f>+A40+0.1</f>
        <v>5.1999999999999993</v>
      </c>
      <c r="B41" s="3" t="s">
        <v>130</v>
      </c>
      <c r="C41" s="23">
        <f>'Financial Statements'!B24</f>
        <v>6.15</v>
      </c>
      <c r="D41" s="23">
        <f>'Financial Statements'!C24</f>
        <v>5.67</v>
      </c>
      <c r="E41" s="23">
        <f>'Financial Statements'!D24</f>
        <v>3.31</v>
      </c>
      <c r="F41" s="23"/>
    </row>
    <row r="42" spans="1:10" x14ac:dyDescent="0.25">
      <c r="A42" s="18">
        <f>+A41+0.1</f>
        <v>5.2999999999999989</v>
      </c>
      <c r="B42" s="1" t="s">
        <v>131</v>
      </c>
      <c r="C42" s="23">
        <f>H40/C43</f>
        <v>44.226517338964321</v>
      </c>
      <c r="D42" s="23">
        <f t="shared" ref="D42:E42" si="1">I40/D43</f>
        <v>37.458075574576007</v>
      </c>
      <c r="E42" s="23">
        <f t="shared" si="1"/>
        <v>30.755733962717521</v>
      </c>
      <c r="F42" s="23"/>
    </row>
    <row r="43" spans="1:10" x14ac:dyDescent="0.25">
      <c r="A43" s="18">
        <f>+A42+0.1</f>
        <v>5.3999999999999986</v>
      </c>
      <c r="B43" s="3" t="s">
        <v>132</v>
      </c>
      <c r="C43" s="23">
        <f>('Financial Statements'!B68*1000000)/('Financial Statements'!B27*1000)</f>
        <v>3.124822127430853</v>
      </c>
      <c r="D43" s="23">
        <f>('Financial Statements'!C68*1000000)/('Financial Statements'!C27*1000)</f>
        <v>3.7775565837141025</v>
      </c>
      <c r="E43" s="23">
        <f>('Financial Statements'!D68*1000000)/('Financial Statements'!D27*1000)</f>
        <v>3.765476712094932</v>
      </c>
      <c r="F43" s="23"/>
    </row>
    <row r="44" spans="1:10" x14ac:dyDescent="0.25">
      <c r="A44" s="18">
        <f>+A43+0.1</f>
        <v>5.4999999999999982</v>
      </c>
      <c r="B44" s="1" t="s">
        <v>133</v>
      </c>
      <c r="C44" s="24">
        <f>C45/C41</f>
        <v>0.14634146341463414</v>
      </c>
      <c r="D44" s="24">
        <f>D45/D41</f>
        <v>0.14991181657848324</v>
      </c>
      <c r="E44" s="24">
        <f>E45/E41</f>
        <v>0.2416918429003021</v>
      </c>
      <c r="F44" s="23"/>
    </row>
    <row r="45" spans="1:10" x14ac:dyDescent="0.25">
      <c r="A45" s="18"/>
      <c r="B45" s="3" t="s">
        <v>134</v>
      </c>
      <c r="C45" s="23">
        <f>0.22+0.22+0.23+0.23</f>
        <v>0.9</v>
      </c>
      <c r="D45" s="23">
        <f>0.22+0.22+0.205+0.205</f>
        <v>0.85</v>
      </c>
      <c r="E45" s="23">
        <f>0.195+0.195+0.205+0.205</f>
        <v>0.79999999999999993</v>
      </c>
      <c r="F45" s="23"/>
    </row>
    <row r="46" spans="1:10" x14ac:dyDescent="0.25">
      <c r="A46" s="18">
        <f>+A44+0.1</f>
        <v>5.5999999999999979</v>
      </c>
      <c r="B46" s="1" t="s">
        <v>135</v>
      </c>
      <c r="C46" s="24">
        <f>C45/H40</f>
        <v>6.512301013024603E-3</v>
      </c>
      <c r="D46" s="24">
        <f t="shared" ref="D46:E46" si="2">D45/I40</f>
        <v>6.0070671378091873E-3</v>
      </c>
      <c r="E46" s="24">
        <f t="shared" si="2"/>
        <v>6.9078663327864602E-3</v>
      </c>
      <c r="F46" s="23"/>
    </row>
    <row r="47" spans="1:10" x14ac:dyDescent="0.25">
      <c r="A47" s="18">
        <f>+A45+0.1</f>
        <v>0.1</v>
      </c>
      <c r="B47" s="1" t="s">
        <v>136</v>
      </c>
      <c r="C47" s="23">
        <f>'Financial Statements'!B22/'Financial Statements'!B68</f>
        <v>1.9695887275023682</v>
      </c>
      <c r="D47" s="23">
        <f>'Financial Statements'!C22/'Financial Statements'!C68</f>
        <v>1.5007132667617689</v>
      </c>
      <c r="E47" s="23">
        <f>'Financial Statements'!D22/'Financial Statements'!D68</f>
        <v>0.87866358530127486</v>
      </c>
      <c r="F47" s="23"/>
    </row>
    <row r="48" spans="1:10" x14ac:dyDescent="0.25">
      <c r="A48" s="18">
        <f>+A46+0.1</f>
        <v>5.6999999999999975</v>
      </c>
      <c r="B48" s="1" t="s">
        <v>137</v>
      </c>
      <c r="C48" s="23">
        <f>C21/('Financial Statements'!B48-'Financial Statements'!B56)</f>
        <v>0.60087134570590572</v>
      </c>
      <c r="D48" s="23">
        <f>D21/('Financial Statements'!C48-'Financial Statements'!C56)</f>
        <v>0.48309913489209433</v>
      </c>
      <c r="E48" s="23">
        <f>E21/('Financial Statements'!D48-'Financial Statements'!D56)</f>
        <v>0.30338312829525482</v>
      </c>
      <c r="F48" s="23"/>
    </row>
    <row r="49" spans="1:6" x14ac:dyDescent="0.25">
      <c r="A49" s="18">
        <f>+A47+0.1</f>
        <v>0.2</v>
      </c>
      <c r="B49" s="1" t="s">
        <v>127</v>
      </c>
      <c r="C49" s="23">
        <f>'Financial Statements'!B22/'Financial Statements'!B48</f>
        <v>0.28292440929256851</v>
      </c>
      <c r="D49" s="23">
        <f>'Financial Statements'!C22/'Financial Statements'!C48</f>
        <v>0.26974205275183616</v>
      </c>
      <c r="E49" s="23">
        <f>'Financial Statements'!D22/'Financial Statements'!D48</f>
        <v>0.1772557180259843</v>
      </c>
      <c r="F49" s="23"/>
    </row>
    <row r="50" spans="1:6" x14ac:dyDescent="0.25">
      <c r="A50" s="18">
        <f>+A48+0.1</f>
        <v>5.7999999999999972</v>
      </c>
      <c r="B50" s="1" t="s">
        <v>138</v>
      </c>
      <c r="C50" s="23">
        <f>C51/(C19)</f>
        <v>16.840854447389383</v>
      </c>
      <c r="D50" s="23">
        <f>D51/(D19)</f>
        <v>19.185488299688256</v>
      </c>
      <c r="E50" s="23">
        <f>E51/(E19)</f>
        <v>24.763693647611184</v>
      </c>
      <c r="F50" s="23"/>
    </row>
    <row r="51" spans="1:6" x14ac:dyDescent="0.25">
      <c r="A51" s="18"/>
      <c r="B51" s="3" t="s">
        <v>139</v>
      </c>
      <c r="C51" s="93">
        <f>(H39+'Financial Statements'!B54+'Financial Statements'!B55+'Financial Statements'!B59-'Financial Statements'!B36)/1000000</f>
        <v>2241046.1830230001</v>
      </c>
      <c r="D51" s="93">
        <f>(I39+'Financial Statements'!C54+'Financial Statements'!C55+'Financial Statements'!C59-'Financial Statements'!C36)/1000000</f>
        <v>2363230.0777790002</v>
      </c>
      <c r="E51" s="93">
        <f>(J39+'Financial Statements'!D54+'Financial Statements'!D55+'Financial Statements'!D59-'Financial Statements'!D36)/1000000</f>
        <v>2009548.97581</v>
      </c>
      <c r="F51" s="23"/>
    </row>
    <row r="52" spans="1:6" x14ac:dyDescent="0.25">
      <c r="C52" s="23"/>
      <c r="D52" s="23"/>
      <c r="E52" s="23"/>
      <c r="F52" s="23"/>
    </row>
  </sheetData>
  <mergeCells count="1">
    <mergeCell ref="C2:E2"/>
  </mergeCells>
  <pageMargins left="0.7" right="0.7" top="0.75" bottom="0.75" header="0.3" footer="0.3"/>
  <ignoredErrors>
    <ignoredError sqref="C19:E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346EB-5096-42D0-84E9-0079D3077E15}">
  <dimension ref="A1:G37"/>
  <sheetViews>
    <sheetView zoomScaleNormal="100" workbookViewId="0">
      <selection activeCell="H1" sqref="H1"/>
    </sheetView>
  </sheetViews>
  <sheetFormatPr defaultRowHeight="15" x14ac:dyDescent="0.25"/>
  <cols>
    <col min="1" max="1" width="9.140625" style="35"/>
    <col min="2" max="2" width="51.140625" style="35" bestFit="1" customWidth="1"/>
    <col min="3" max="3" width="12" style="37" bestFit="1" customWidth="1"/>
    <col min="4" max="7" width="9" style="37" bestFit="1" customWidth="1"/>
    <col min="8" max="16384" width="9.140625" style="35"/>
  </cols>
  <sheetData>
    <row r="1" spans="1:7" x14ac:dyDescent="0.25">
      <c r="A1" s="62">
        <v>6</v>
      </c>
      <c r="B1" s="63" t="s">
        <v>149</v>
      </c>
      <c r="C1" s="64"/>
      <c r="D1" s="64"/>
      <c r="E1" s="64"/>
      <c r="F1" s="64"/>
      <c r="G1" s="65"/>
    </row>
    <row r="2" spans="1:7" s="36" customFormat="1" ht="15" customHeight="1" x14ac:dyDescent="0.25">
      <c r="A2" s="66"/>
      <c r="B2" s="45" t="s">
        <v>153</v>
      </c>
      <c r="C2" s="46" t="s">
        <v>23</v>
      </c>
      <c r="D2" s="46"/>
      <c r="E2" s="46"/>
      <c r="F2" s="46"/>
      <c r="G2" s="67"/>
    </row>
    <row r="3" spans="1:7" s="36" customFormat="1" ht="60" x14ac:dyDescent="0.25">
      <c r="A3" s="68"/>
      <c r="B3" s="47"/>
      <c r="C3" s="48" t="s">
        <v>151</v>
      </c>
      <c r="D3" s="48">
        <v>2022</v>
      </c>
      <c r="E3" s="48" t="s">
        <v>152</v>
      </c>
      <c r="F3" s="48">
        <v>2021</v>
      </c>
      <c r="G3" s="69">
        <v>2020</v>
      </c>
    </row>
    <row r="4" spans="1:7" s="42" customFormat="1" x14ac:dyDescent="0.25">
      <c r="A4" s="70">
        <v>6.1</v>
      </c>
      <c r="B4" s="49" t="s">
        <v>144</v>
      </c>
      <c r="C4" s="50"/>
      <c r="D4" s="51"/>
      <c r="E4" s="51"/>
      <c r="F4" s="51"/>
      <c r="G4" s="71"/>
    </row>
    <row r="5" spans="1:7" x14ac:dyDescent="0.25">
      <c r="A5" s="72"/>
      <c r="B5" s="52" t="s">
        <v>4</v>
      </c>
      <c r="C5" s="53">
        <f>(D5-F5)/F5</f>
        <v>6.3239764351428418E-2</v>
      </c>
      <c r="D5" s="54">
        <v>316199</v>
      </c>
      <c r="E5" s="53">
        <f>(F5-G5)/G5</f>
        <v>0.34720743656765435</v>
      </c>
      <c r="F5" s="54">
        <v>297392</v>
      </c>
      <c r="G5" s="73">
        <v>220747</v>
      </c>
    </row>
    <row r="6" spans="1:7" x14ac:dyDescent="0.25">
      <c r="A6" s="72"/>
      <c r="B6" s="52" t="s">
        <v>5</v>
      </c>
      <c r="C6" s="53">
        <f t="shared" ref="C6:C18" si="0">(D6-F6)/F6</f>
        <v>0.14181951041286078</v>
      </c>
      <c r="D6" s="54">
        <v>78129</v>
      </c>
      <c r="E6" s="53">
        <f>(F6-G6)/G6</f>
        <v>0.27259708376729652</v>
      </c>
      <c r="F6" s="54">
        <v>68425</v>
      </c>
      <c r="G6" s="73">
        <v>53768</v>
      </c>
    </row>
    <row r="7" spans="1:7" s="42" customFormat="1" x14ac:dyDescent="0.25">
      <c r="A7" s="70">
        <v>6.2</v>
      </c>
      <c r="B7" s="49" t="s">
        <v>89</v>
      </c>
      <c r="C7" s="53">
        <f t="shared" si="0"/>
        <v>0.11741997958596143</v>
      </c>
      <c r="D7" s="55">
        <v>170782</v>
      </c>
      <c r="E7" s="53">
        <f>(F7-G7)/G7</f>
        <v>0.45619116582186819</v>
      </c>
      <c r="F7" s="55">
        <v>152836</v>
      </c>
      <c r="G7" s="74">
        <v>104956</v>
      </c>
    </row>
    <row r="8" spans="1:7" s="42" customFormat="1" x14ac:dyDescent="0.25">
      <c r="A8" s="70">
        <v>6.3</v>
      </c>
      <c r="B8" s="49" t="s">
        <v>90</v>
      </c>
      <c r="C8" s="56"/>
      <c r="D8" s="57"/>
      <c r="E8" s="53"/>
      <c r="F8" s="57"/>
      <c r="G8" s="75"/>
    </row>
    <row r="9" spans="1:7" x14ac:dyDescent="0.25">
      <c r="A9" s="72"/>
      <c r="B9" s="52" t="s">
        <v>11</v>
      </c>
      <c r="C9" s="53">
        <f t="shared" si="0"/>
        <v>0.19791001186456147</v>
      </c>
      <c r="D9" s="58">
        <v>26251</v>
      </c>
      <c r="E9" s="53">
        <f t="shared" ref="E9:E18" si="1">(F9-G9)/G9</f>
        <v>0.16862201365187712</v>
      </c>
      <c r="F9" s="58">
        <v>21914</v>
      </c>
      <c r="G9" s="76">
        <v>18752</v>
      </c>
    </row>
    <row r="10" spans="1:7" x14ac:dyDescent="0.25">
      <c r="A10" s="72"/>
      <c r="B10" s="52" t="s">
        <v>12</v>
      </c>
      <c r="C10" s="53">
        <f t="shared" si="0"/>
        <v>0.14203795567287125</v>
      </c>
      <c r="D10" s="59">
        <v>25094</v>
      </c>
      <c r="E10" s="53">
        <f t="shared" si="1"/>
        <v>0.10328379192608958</v>
      </c>
      <c r="F10" s="59">
        <v>21973</v>
      </c>
      <c r="G10" s="77">
        <v>19916</v>
      </c>
    </row>
    <row r="11" spans="1:7" s="42" customFormat="1" x14ac:dyDescent="0.25">
      <c r="A11" s="70">
        <v>6.4</v>
      </c>
      <c r="B11" s="49" t="s">
        <v>91</v>
      </c>
      <c r="C11" s="56"/>
      <c r="D11" s="51"/>
      <c r="E11" s="56"/>
      <c r="F11" s="51"/>
      <c r="G11" s="71"/>
    </row>
    <row r="12" spans="1:7" x14ac:dyDescent="0.25">
      <c r="A12" s="78"/>
      <c r="B12" s="60" t="s">
        <v>31</v>
      </c>
      <c r="C12" s="53">
        <f t="shared" si="0"/>
        <v>4.2199412619775131E-3</v>
      </c>
      <c r="D12" s="54">
        <v>135405</v>
      </c>
      <c r="E12" s="53">
        <f t="shared" si="1"/>
        <v>-6.176894226687913E-2</v>
      </c>
      <c r="F12" s="54">
        <v>134836</v>
      </c>
      <c r="G12" s="73">
        <v>143713</v>
      </c>
    </row>
    <row r="13" spans="1:7" x14ac:dyDescent="0.25">
      <c r="A13" s="78"/>
      <c r="B13" s="60" t="s">
        <v>50</v>
      </c>
      <c r="C13" s="53">
        <f t="shared" si="0"/>
        <v>5.4772720964443994E-3</v>
      </c>
      <c r="D13" s="54">
        <v>217350</v>
      </c>
      <c r="E13" s="53">
        <f t="shared" si="1"/>
        <v>0.19975579297904814</v>
      </c>
      <c r="F13" s="54">
        <v>216166</v>
      </c>
      <c r="G13" s="73">
        <v>180175</v>
      </c>
    </row>
    <row r="14" spans="1:7" x14ac:dyDescent="0.25">
      <c r="A14" s="78"/>
      <c r="B14" s="60" t="s">
        <v>33</v>
      </c>
      <c r="C14" s="53">
        <f t="shared" si="0"/>
        <v>4.9942735369029236E-3</v>
      </c>
      <c r="D14" s="54">
        <v>352755</v>
      </c>
      <c r="E14" s="53">
        <f t="shared" si="1"/>
        <v>8.3714123400681711E-2</v>
      </c>
      <c r="F14" s="54">
        <v>351002</v>
      </c>
      <c r="G14" s="73">
        <v>323888</v>
      </c>
    </row>
    <row r="15" spans="1:7" x14ac:dyDescent="0.25">
      <c r="A15" s="78"/>
      <c r="B15" s="60" t="s">
        <v>40</v>
      </c>
      <c r="C15" s="53">
        <f t="shared" si="0"/>
        <v>0.22713398841258836</v>
      </c>
      <c r="D15" s="54">
        <v>153982</v>
      </c>
      <c r="E15" s="53">
        <f t="shared" si="1"/>
        <v>0.19061219067860938</v>
      </c>
      <c r="F15" s="54">
        <v>125481</v>
      </c>
      <c r="G15" s="73">
        <v>105392</v>
      </c>
    </row>
    <row r="16" spans="1:7" x14ac:dyDescent="0.25">
      <c r="A16" s="78"/>
      <c r="B16" s="60" t="s">
        <v>53</v>
      </c>
      <c r="C16" s="53">
        <f t="shared" si="0"/>
        <v>-8.8222075835277747E-2</v>
      </c>
      <c r="D16" s="54">
        <v>148101</v>
      </c>
      <c r="E16" s="53">
        <f t="shared" si="1"/>
        <v>6.0552243775994566E-2</v>
      </c>
      <c r="F16" s="54">
        <v>162431</v>
      </c>
      <c r="G16" s="73">
        <v>153157</v>
      </c>
    </row>
    <row r="17" spans="1:7" x14ac:dyDescent="0.25">
      <c r="A17" s="78"/>
      <c r="B17" s="60" t="s">
        <v>41</v>
      </c>
      <c r="C17" s="53">
        <f t="shared" si="0"/>
        <v>4.9219900525160468E-2</v>
      </c>
      <c r="D17" s="54">
        <v>302083</v>
      </c>
      <c r="E17" s="53">
        <f t="shared" si="1"/>
        <v>0.11356841449783213</v>
      </c>
      <c r="F17" s="54">
        <v>287912</v>
      </c>
      <c r="G17" s="73">
        <v>258549</v>
      </c>
    </row>
    <row r="18" spans="1:7" x14ac:dyDescent="0.25">
      <c r="A18" s="78"/>
      <c r="B18" s="60" t="s">
        <v>45</v>
      </c>
      <c r="C18" s="53">
        <f t="shared" si="0"/>
        <v>-0.19682992550324932</v>
      </c>
      <c r="D18" s="54">
        <v>50672</v>
      </c>
      <c r="E18" s="53">
        <f t="shared" si="1"/>
        <v>-3.4420483937617659E-2</v>
      </c>
      <c r="F18" s="54">
        <v>63090</v>
      </c>
      <c r="G18" s="73">
        <v>65339</v>
      </c>
    </row>
    <row r="19" spans="1:7" x14ac:dyDescent="0.25">
      <c r="A19" s="79"/>
      <c r="B19" s="80"/>
      <c r="C19" s="81"/>
      <c r="D19" s="40"/>
      <c r="E19" s="40"/>
      <c r="F19" s="40"/>
      <c r="G19" s="40"/>
    </row>
    <row r="20" spans="1:7" x14ac:dyDescent="0.25">
      <c r="A20" s="87"/>
      <c r="B20" s="85" t="s">
        <v>153</v>
      </c>
      <c r="C20" s="82" t="s">
        <v>23</v>
      </c>
      <c r="D20" s="83"/>
      <c r="E20" s="83"/>
    </row>
    <row r="21" spans="1:7" x14ac:dyDescent="0.25">
      <c r="A21" s="86"/>
      <c r="B21" s="86"/>
      <c r="C21" s="48">
        <v>2022</v>
      </c>
      <c r="D21" s="48">
        <v>2021</v>
      </c>
      <c r="E21" s="48">
        <v>2020</v>
      </c>
      <c r="F21" s="31"/>
      <c r="G21" s="31"/>
    </row>
    <row r="22" spans="1:7" x14ac:dyDescent="0.25">
      <c r="A22" s="61">
        <v>6.5</v>
      </c>
      <c r="B22" s="52" t="s">
        <v>145</v>
      </c>
      <c r="C22" s="54">
        <v>223546</v>
      </c>
      <c r="D22" s="54">
        <v>212981</v>
      </c>
      <c r="E22" s="54">
        <v>169559</v>
      </c>
      <c r="F22" s="38"/>
      <c r="G22" s="38"/>
    </row>
    <row r="23" spans="1:7" x14ac:dyDescent="0.25">
      <c r="A23" s="61"/>
      <c r="B23" s="52" t="s">
        <v>154</v>
      </c>
      <c r="C23" s="88">
        <f>C22/'Financial Statements'!B8</f>
        <v>0.56690369438639909</v>
      </c>
      <c r="D23" s="88">
        <f>D22/'Financial Statements'!C8</f>
        <v>0.58220640374832222</v>
      </c>
      <c r="E23" s="88">
        <f>E22/'Financial Statements'!D8</f>
        <v>0.61766752272189129</v>
      </c>
      <c r="F23" s="44"/>
      <c r="G23" s="44"/>
    </row>
    <row r="24" spans="1:7" x14ac:dyDescent="0.25">
      <c r="A24" s="61">
        <v>6.6</v>
      </c>
      <c r="B24" s="52" t="s">
        <v>89</v>
      </c>
      <c r="C24" s="55">
        <v>170782</v>
      </c>
      <c r="D24" s="55">
        <v>152836</v>
      </c>
      <c r="E24" s="55">
        <v>104956</v>
      </c>
      <c r="F24" s="43"/>
      <c r="G24" s="43"/>
    </row>
    <row r="25" spans="1:7" x14ac:dyDescent="0.25">
      <c r="A25" s="61"/>
      <c r="B25" s="52" t="s">
        <v>155</v>
      </c>
      <c r="C25" s="88">
        <f>C24/'Financial Statements'!B8</f>
        <v>0.43309630561360085</v>
      </c>
      <c r="D25" s="88">
        <f>D24/'Financial Statements'!C8</f>
        <v>0.41779359625167778</v>
      </c>
      <c r="E25" s="88">
        <f>E24/'Financial Statements'!D8</f>
        <v>0.38233247727810865</v>
      </c>
      <c r="F25" s="38"/>
      <c r="G25" s="38"/>
    </row>
    <row r="26" spans="1:7" x14ac:dyDescent="0.25">
      <c r="A26" s="61">
        <v>6.7</v>
      </c>
      <c r="B26" s="52" t="s">
        <v>90</v>
      </c>
      <c r="C26" s="54"/>
      <c r="D26" s="54"/>
      <c r="E26" s="54"/>
      <c r="F26" s="38"/>
      <c r="G26" s="38"/>
    </row>
    <row r="27" spans="1:7" x14ac:dyDescent="0.25">
      <c r="A27" s="61"/>
      <c r="B27" s="52" t="s">
        <v>11</v>
      </c>
      <c r="C27" s="59">
        <v>26251</v>
      </c>
      <c r="D27" s="59">
        <v>21914</v>
      </c>
      <c r="E27" s="59">
        <v>18752</v>
      </c>
      <c r="F27" s="39"/>
      <c r="G27" s="39"/>
    </row>
    <row r="28" spans="1:7" x14ac:dyDescent="0.25">
      <c r="A28" s="61"/>
      <c r="B28" s="52" t="s">
        <v>156</v>
      </c>
      <c r="C28" s="89">
        <f>C27/'Financial Statements'!B8</f>
        <v>6.657148363798665E-2</v>
      </c>
      <c r="D28" s="89">
        <f>D27/'Financial Statements'!C8</f>
        <v>5.9904269074427925E-2</v>
      </c>
      <c r="E28" s="89">
        <f>E27/'Financial Statements'!D8</f>
        <v>6.8309564140393061E-2</v>
      </c>
      <c r="F28" s="39"/>
      <c r="G28" s="39"/>
    </row>
    <row r="29" spans="1:7" x14ac:dyDescent="0.25">
      <c r="A29" s="61"/>
      <c r="B29" s="52" t="s">
        <v>12</v>
      </c>
      <c r="C29" s="59">
        <v>25094</v>
      </c>
      <c r="D29" s="59">
        <v>21973</v>
      </c>
      <c r="E29" s="59">
        <v>19916</v>
      </c>
      <c r="F29" s="39"/>
      <c r="G29" s="39"/>
    </row>
    <row r="30" spans="1:7" x14ac:dyDescent="0.25">
      <c r="A30" s="61"/>
      <c r="B30" s="52" t="s">
        <v>157</v>
      </c>
      <c r="C30" s="89">
        <f>C29/'Financial Statements'!B8</f>
        <v>6.3637378020328261E-2</v>
      </c>
      <c r="D30" s="89">
        <f>D29/'Financial Statements'!C8</f>
        <v>6.006555190163388E-2</v>
      </c>
      <c r="E30" s="89">
        <f>E29/'Financial Statements'!D8</f>
        <v>7.2549769593646979E-2</v>
      </c>
      <c r="F30" s="39"/>
      <c r="G30" s="39"/>
    </row>
    <row r="31" spans="1:7" x14ac:dyDescent="0.25">
      <c r="A31" s="61">
        <v>6.8</v>
      </c>
      <c r="B31" s="52" t="s">
        <v>14</v>
      </c>
      <c r="C31" s="58">
        <v>119437</v>
      </c>
      <c r="D31" s="58">
        <v>108949</v>
      </c>
      <c r="E31" s="58">
        <v>66288</v>
      </c>
      <c r="F31" s="41"/>
      <c r="G31" s="41"/>
    </row>
    <row r="32" spans="1:7" x14ac:dyDescent="0.25">
      <c r="A32" s="61"/>
      <c r="B32" s="52" t="s">
        <v>158</v>
      </c>
      <c r="C32" s="90">
        <f>C31/'Financial Statements'!B8</f>
        <v>0.30288744395528594</v>
      </c>
      <c r="D32" s="90">
        <f>D31/'Financial Statements'!C8</f>
        <v>0.29782377527561593</v>
      </c>
      <c r="E32" s="90">
        <f>E31/'Financial Statements'!D8</f>
        <v>0.24147314354406862</v>
      </c>
      <c r="F32" s="41"/>
      <c r="G32" s="41"/>
    </row>
    <row r="33" spans="1:7" x14ac:dyDescent="0.25">
      <c r="A33" s="61">
        <v>6.9</v>
      </c>
      <c r="B33" s="52" t="s">
        <v>93</v>
      </c>
      <c r="C33" s="54">
        <v>99803</v>
      </c>
      <c r="D33" s="54">
        <v>94680</v>
      </c>
      <c r="E33" s="54">
        <v>57411</v>
      </c>
      <c r="F33" s="38"/>
      <c r="G33" s="38"/>
    </row>
    <row r="34" spans="1:7" x14ac:dyDescent="0.25">
      <c r="A34" s="61"/>
      <c r="B34" s="52" t="s">
        <v>159</v>
      </c>
      <c r="C34" s="88">
        <f>C33/'Financial Statements'!B8</f>
        <v>0.25309640705199732</v>
      </c>
      <c r="D34" s="88">
        <f>D33/'Financial Statements'!C8</f>
        <v>0.25881793355694238</v>
      </c>
      <c r="E34" s="88">
        <f>E33/'Financial Statements'!D8</f>
        <v>0.20913611278072236</v>
      </c>
      <c r="F34" s="38"/>
      <c r="G34" s="38"/>
    </row>
    <row r="35" spans="1:7" x14ac:dyDescent="0.25">
      <c r="A35" s="84">
        <v>6.1</v>
      </c>
      <c r="B35" s="52" t="s">
        <v>94</v>
      </c>
      <c r="C35" s="53">
        <f>'Financial Statements'!B21/'Financial Statements'!B20</f>
        <v>0.16204461684424407</v>
      </c>
      <c r="D35" s="53">
        <f>'Financial Statements'!C21/'Financial Statements'!C20</f>
        <v>0.13302260844085087</v>
      </c>
      <c r="E35" s="53">
        <f>'Financial Statements'!D21/'Financial Statements'!D20</f>
        <v>0.14428164731484103</v>
      </c>
    </row>
    <row r="36" spans="1:7" x14ac:dyDescent="0.25">
      <c r="A36" s="84">
        <v>6.11</v>
      </c>
      <c r="B36" s="52" t="s">
        <v>95</v>
      </c>
      <c r="C36" s="53">
        <f>(-'Financial Statements'!B96)/'Financial Statements'!B8</f>
        <v>2.7155058732831552E-2</v>
      </c>
      <c r="D36" s="53">
        <f>(-'Financial Statements'!C96)/'Financial Statements'!C8</f>
        <v>3.0302036264033657E-2</v>
      </c>
      <c r="E36" s="53">
        <f>(-'Financial Statements'!D96)/'Financial Statements'!D8</f>
        <v>2.6625138881299748E-2</v>
      </c>
    </row>
    <row r="37" spans="1:7" x14ac:dyDescent="0.25">
      <c r="A37" s="84">
        <v>6.12</v>
      </c>
      <c r="B37" s="52" t="s">
        <v>96</v>
      </c>
      <c r="C37" s="53">
        <f>(-'Financial Statements'!B96)/'Financial Statements'!B45</f>
        <v>0.25424412944891611</v>
      </c>
      <c r="D37" s="53">
        <f>(-'Financial Statements'!C96)/'Financial Statements'!C45</f>
        <v>0.28105983772819471</v>
      </c>
      <c r="E37" s="53">
        <f>(-'Financial Statements'!D96)/'Financial Statements'!D45</f>
        <v>0.19879780231735844</v>
      </c>
    </row>
  </sheetData>
  <mergeCells count="7">
    <mergeCell ref="A2:A3"/>
    <mergeCell ref="B1:G1"/>
    <mergeCell ref="B20:B21"/>
    <mergeCell ref="A20:A21"/>
    <mergeCell ref="C20:E20"/>
    <mergeCell ref="C2:G2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% Growth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kiran kumar</cp:lastModifiedBy>
  <dcterms:created xsi:type="dcterms:W3CDTF">2020-05-18T16:32:37Z</dcterms:created>
  <dcterms:modified xsi:type="dcterms:W3CDTF">2025-04-25T10:50:12Z</dcterms:modified>
</cp:coreProperties>
</file>