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2226A75-C901-4147-8ADF-A1963F476647}" xr6:coauthVersionLast="47" xr6:coauthVersionMax="47" xr10:uidLastSave="{00000000-0000-0000-0000-000000000000}"/>
  <bookViews>
    <workbookView xWindow="-108" yWindow="-108" windowWidth="23256" windowHeight="13896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 l="1"/>
  <c r="C28" i="5"/>
  <c r="X25" i="5"/>
  <c r="X24" i="5"/>
  <c r="W25" i="5"/>
  <c r="V25" i="5"/>
  <c r="U25" i="5"/>
  <c r="T25" i="5"/>
  <c r="S25" i="5"/>
  <c r="N25" i="5"/>
  <c r="U16" i="5"/>
  <c r="T16" i="5"/>
  <c r="T17" i="5"/>
  <c r="U17" i="5"/>
  <c r="V16" i="5" s="1"/>
  <c r="V17" i="5"/>
  <c r="S16" i="5"/>
  <c r="R16" i="5"/>
  <c r="C27" i="5"/>
  <c r="R25" i="5"/>
  <c r="Q25" i="5"/>
  <c r="P25" i="5"/>
  <c r="O25" i="5"/>
  <c r="S17" i="5"/>
  <c r="P17" i="5"/>
  <c r="Q17" i="5"/>
  <c r="R17" i="5"/>
  <c r="O17" i="5"/>
  <c r="N17" i="5"/>
  <c r="O16" i="5"/>
  <c r="P16" i="5"/>
  <c r="Q16" i="5"/>
  <c r="N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C30" i="5"/>
  <c r="C32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D16" i="5"/>
  <c r="E16" i="5"/>
  <c r="F16" i="5"/>
  <c r="G16" i="5"/>
  <c r="H16" i="5"/>
  <c r="H17" i="5" s="1"/>
  <c r="I16" i="5"/>
  <c r="I17" i="5" s="1"/>
  <c r="J16" i="5"/>
  <c r="J17" i="5" s="1"/>
  <c r="C16" i="5"/>
  <c r="C17" i="5" s="1"/>
  <c r="C4" i="5"/>
  <c r="C9" i="5" s="1"/>
  <c r="W16" i="5" l="1"/>
  <c r="E17" i="5"/>
  <c r="G17" i="5"/>
  <c r="C8" i="5"/>
  <c r="D18" i="5"/>
  <c r="I18" i="5"/>
  <c r="H18" i="5"/>
  <c r="C18" i="5"/>
  <c r="D17" i="5"/>
  <c r="J18" i="5"/>
  <c r="F17" i="5"/>
  <c r="J3" i="5"/>
  <c r="I3" i="5"/>
  <c r="J4" i="5" s="1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W17" i="5" l="1"/>
  <c r="X16" i="5" s="1"/>
  <c r="X17" i="5" s="1"/>
  <c r="J9" i="5"/>
  <c r="J8" i="5"/>
  <c r="D7" i="5"/>
  <c r="F7" i="5"/>
  <c r="C31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N1" i="5"/>
  <c r="O1" i="5" s="1"/>
  <c r="P1" i="5" s="1"/>
  <c r="Q1" i="5" s="1"/>
  <c r="R1" i="5" s="1"/>
  <c r="S1" i="5" s="1"/>
  <c r="T1" i="5" s="1"/>
  <c r="U1" i="5" s="1"/>
  <c r="V1" i="5" s="1"/>
  <c r="W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<sst xmlns="http://schemas.openxmlformats.org/spreadsheetml/2006/main" count="605" uniqueCount="270">
  <si>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</si>
  <si>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</si>
  <si>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</si>
  <si>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</si>
  <si>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</si>
  <si>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</si>
  <si>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</si>
  <si>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</si>
  <si>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</si>
  <si>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</si>
  <si>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</si>
  <si>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</si>
  <si>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</si>
  <si>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</si>
  <si>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</si>
  <si>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</si>
  <si>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</si>
  <si>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</si>
  <si>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</si>
  <si>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</si>
  <si>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</si>
  <si>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</si>
  <si>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</si>
  <si>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</si>
  <si>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</si>
  <si>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</si>
  <si>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</si>
  <si>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</si>
  <si>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</si>
  <si>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</si>
  <si>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</si>
  <si>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</si>
  <si>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</si>
  <si>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</si>
  <si>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</si>
  <si>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</si>
  <si>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</si>
  <si>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</si>
  <si>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</si>
  <si>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</si>
  <si>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</si>
  <si>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</si>
  <si>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</si>
  <si>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</si>
  <si>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</si>
  <si>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</si>
  <si>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</si>
  <si>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</si>
  <si>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</si>
  <si>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</si>
  <si>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</si>
  <si>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</si>
  <si>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</si>
  <si>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</si>
  <si>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</si>
  <si>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</si>
  <si>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</si>
  <si>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</si>
  <si>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</si>
  <si>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</si>
  <si>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</si>
  <si>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</si>
  <si>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</si>
  <si>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</si>
  <si>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</si>
  <si>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</si>
  <si>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</si>
  <si>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</si>
  <si>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</si>
  <si>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</si>
  <si>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</si>
  <si>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</si>
  <si>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</si>
  <si>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</si>
  <si>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</si>
  <si>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</si>
  <si>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</si>
  <si>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</si>
  <si>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</si>
  <si>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</si>
  <si>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</si>
  <si>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</si>
  <si>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</si>
  <si>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</si>
  <si>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</si>
  <si>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</si>
  <si>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</si>
  <si>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</si>
  <si>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</si>
  <si>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</si>
  <si>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</si>
  <si>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</si>
  <si>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</si>
  <si>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</si>
  <si>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</si>
  <si>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</si>
  <si>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</si>
  <si>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</si>
  <si>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</si>
  <si>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</si>
  <si>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</si>
  <si>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</si>
  <si>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</si>
  <si>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</si>
  <si>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</si>
  <si>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</si>
  <si>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</si>
  <si>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</si>
  <si>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</si>
  <si>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</si>
  <si>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</si>
  <si>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</si>
  <si>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</si>
  <si>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</si>
  <si>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</si>
  <si>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</si>
  <si>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</si>
  <si>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</si>
  <si>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</si>
  <si>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</si>
  <si>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</si>
  <si>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</si>
  <si>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</si>
  <si>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</si>
  <si>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</si>
  <si>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</si>
  <si>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</si>
  <si>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</si>
  <si>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</si>
  <si>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</si>
  <si>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</si>
  <si>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</si>
  <si>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</si>
  <si>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</si>
  <si>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</si>
  <si>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</si>
  <si>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</si>
  <si>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</si>
  <si>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</si>
  <si>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</si>
  <si>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</si>
  <si>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</si>
  <si>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</si>
  <si>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</si>
  <si>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</si>
  <si>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</si>
  <si>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</si>
  <si>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</si>
  <si>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</si>
  <si>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</si>
  <si>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</si>
  <si>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</si>
  <si>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</si>
  <si>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</si>
  <si>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</si>
  <si>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</si>
  <si>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</si>
  <si>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</si>
  <si>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</si>
  <si>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</si>
  <si>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</si>
  <si>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</si>
  <si>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</si>
  <si>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</si>
  <si>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</si>
  <si>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</si>
  <si>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</si>
  <si>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</si>
  <si>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</si>
  <si>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</si>
  <si>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</si>
  <si>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</si>
  <si>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</si>
  <si>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</si>
  <si>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</si>
  <si>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</si>
  <si>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</si>
  <si>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</si>
  <si>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</si>
  <si>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</si>
  <si>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</si>
  <si>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</si>
  <si>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</si>
  <si>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</si>
  <si>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</si>
  <si>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</si>
  <si>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</si>
  <si>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</si>
  <si>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</si>
  <si>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</si>
  <si>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</si>
  <si>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</si>
  <si>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</si>
  <si>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</si>
  <si>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</si>
  <si>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</si>
  <si>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</si>
  <si>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</si>
  <si>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</si>
  <si>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</si>
  <si>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</si>
  <si>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</si>
  <si>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</si>
  <si>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</si>
  <si>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</si>
  <si>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</si>
  <si>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</si>
  <si>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</si>
  <si>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</si>
  <si>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</si>
  <si>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</si>
  <si>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</si>
  <si>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</si>
  <si>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</si>
  <si>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</si>
  <si>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</si>
  <si>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</si>
  <si>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</si>
  <si>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</si>
  <si>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</si>
  <si>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</si>
  <si>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</si>
  <si>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</si>
  <si>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</si>
  <si>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</si>
  <si>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</si>
  <si>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</si>
  <si>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</si>
  <si>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</si>
  <si>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</si>
  <si>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</si>
  <si>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</si>
  <si>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</si>
  <si>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</si>
  <si>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</si>
  <si>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</si>
  <si>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</si>
  <si>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</si>
  <si>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</si>
  <si>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</si>
  <si>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</si>
  <si>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</si>
  <si>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</si>
  <si>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</si>
  <si>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</si>
  <si>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</si>
  <si>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</si>
  <si>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</si>
  <si>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</si>
  <si>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</si>
  <si>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</si>
  <si>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</si>
  <si>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</si>
  <si>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</si>
  <si>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</si>
  <si>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</si>
  <si>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</si>
  <si>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</si>
  <si>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Add in FC FF growth forecasts for periods 2028 to termina year</t>
  </si>
  <si>
    <t>Extend the FCFF to 2027, forecast FCFF based on historical growth trend for 2027-terminal year</t>
  </si>
  <si>
    <t>Calculate PV for each period cash flow</t>
  </si>
  <si>
    <t>Calculate terminal value using terminal value formula</t>
  </si>
  <si>
    <t>Feedback 2</t>
  </si>
  <si>
    <t xml:space="preserve">Feedback </t>
  </si>
  <si>
    <t>Please extend the same for columns T-X from below</t>
  </si>
  <si>
    <t>The terminal value should be calculated after the year 2032 (column X)</t>
  </si>
  <si>
    <t>Addition of the above</t>
  </si>
  <si>
    <t>Should be X24's PV here</t>
  </si>
  <si>
    <t>Link X25 here</t>
  </si>
  <si>
    <t>Sum of N24 - W24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</si>
</sst>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0" fontId="14" fillId="0" borderId="0" xfId="0" applyFont="1" applyAlignment="1">
      <alignment horizontal="left" indent="1"/>
    </xf>
    <xf numFmtId="166" fontId="14" fillId="0" borderId="0" xfId="1" applyNumberFormat="1" applyFont="1"/>
    <xf numFmtId="166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7" fontId="17" fillId="0" borderId="0" xfId="2" applyNumberFormat="1" applyFont="1"/>
    <xf numFmtId="0" fontId="17" fillId="0" borderId="0" xfId="0" applyFont="1" applyAlignment="1">
      <alignment horizontal="left" indent="2"/>
    </xf>
    <xf numFmtId="167" fontId="0" fillId="0" borderId="2" xfId="2" applyNumberFormat="1" applyFont="1" applyBorder="1"/>
    <xf numFmtId="167" fontId="18" fillId="0" borderId="1" xfId="2" applyNumberFormat="1" applyFont="1" applyBorder="1"/>
    <xf numFmtId="167" fontId="2" fillId="0" borderId="2" xfId="2" applyNumberFormat="1" applyFont="1" applyBorder="1"/>
    <xf numFmtId="3" fontId="2" fillId="0" borderId="0" xfId="0" applyNumberFormat="1" applyFont="1"/>
    <xf numFmtId="167" fontId="0" fillId="0" borderId="0" xfId="2" applyNumberFormat="1" applyFont="1"/>
    <xf numFmtId="167" fontId="19" fillId="0" borderId="0" xfId="2" applyNumberFormat="1" applyFont="1" applyAlignment="1">
      <alignment horizontal="right"/>
    </xf>
    <xf numFmtId="167" fontId="0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6" fontId="11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7" fontId="15" fillId="0" borderId="0" xfId="2" applyNumberFormat="1" applyFont="1"/>
    <xf numFmtId="167" fontId="23" fillId="0" borderId="0" xfId="2" applyNumberFormat="1" applyFont="1" applyAlignment="1">
      <alignment horizontal="right"/>
    </xf>
    <xf numFmtId="166" fontId="22" fillId="0" borderId="0" xfId="0" applyNumberFormat="1" applyFont="1"/>
    <xf numFmtId="0" fontId="22" fillId="6" borderId="0" xfId="0" applyFont="1" applyFill="1"/>
    <xf numFmtId="167" fontId="15" fillId="0" borderId="0" xfId="0" applyNumberFormat="1" applyFont="1"/>
    <xf numFmtId="167" fontId="15" fillId="0" borderId="0" xfId="2" applyNumberFormat="1" applyFont="1" applyAlignment="1">
      <alignment horizontal="right"/>
    </xf>
    <xf numFmtId="37" fontId="22" fillId="0" borderId="0" xfId="0" applyNumberFormat="1" applyFont="1"/>
    <xf numFmtId="166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166" fontId="24" fillId="0" borderId="0" xfId="0" applyNumberFormat="1" applyFont="1"/>
    <xf numFmtId="164" fontId="5" fillId="0" borderId="0" xfId="0" applyNumberFormat="1" applyFont="1"/>
    <xf numFmtId="167" fontId="20" fillId="7" borderId="0" xfId="2" applyNumberFormat="1" applyFont="1" applyFill="1" applyAlignment="1">
      <alignment horizontal="right"/>
    </xf>
    <xf numFmtId="167" fontId="23" fillId="7" borderId="0" xfId="2" applyNumberFormat="1" applyFont="1" applyFill="1" applyAlignment="1">
      <alignment horizontal="right"/>
    </xf>
    <xf numFmtId="167" fontId="15" fillId="7" borderId="0" xfId="2" applyNumberFormat="1" applyFont="1" applyFill="1"/>
    <xf numFmtId="167" fontId="15" fillId="7" borderId="0" xfId="0" applyNumberFormat="1" applyFont="1" applyFill="1"/>
    <xf numFmtId="167" fontId="15" fillId="7" borderId="0" xfId="2" applyNumberFormat="1" applyFont="1" applyFill="1" applyAlignment="1">
      <alignment horizontal="right"/>
    </xf>
    <xf numFmtId="167" fontId="0" fillId="7" borderId="0" xfId="2" applyNumberFormat="1" applyFont="1" applyFill="1"/>
    <xf numFmtId="167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6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6" fontId="29" fillId="0" borderId="0" xfId="1" applyNumberFormat="1" applyFont="1" applyFill="1" applyBorder="1"/>
    <xf numFmtId="166" fontId="31" fillId="0" borderId="0" xfId="1" applyNumberFormat="1" applyFont="1" applyFill="1" applyBorder="1" applyAlignment="1">
      <alignment horizontal="left" indent="1"/>
    </xf>
    <xf numFmtId="167" fontId="31" fillId="0" borderId="0" xfId="2" applyNumberFormat="1" applyFont="1" applyFill="1" applyBorder="1" applyAlignment="1">
      <alignment horizontal="right"/>
    </xf>
    <xf numFmtId="166" fontId="30" fillId="0" borderId="0" xfId="1" applyNumberFormat="1" applyFont="1" applyFill="1" applyBorder="1" applyAlignment="1">
      <alignment horizontal="left"/>
    </xf>
    <xf numFmtId="166" fontId="30" fillId="0" borderId="0" xfId="1" applyNumberFormat="1" applyFont="1" applyFill="1" applyBorder="1"/>
    <xf numFmtId="0" fontId="29" fillId="0" borderId="1" xfId="0" applyFont="1" applyBorder="1"/>
    <xf numFmtId="166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6" fontId="32" fillId="0" borderId="0" xfId="1" applyNumberFormat="1" applyFont="1" applyFill="1" applyBorder="1"/>
    <xf numFmtId="0" fontId="32" fillId="0" borderId="0" xfId="0" applyFont="1"/>
    <xf numFmtId="166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6" fontId="29" fillId="0" borderId="2" xfId="1" applyNumberFormat="1" applyFont="1" applyFill="1" applyBorder="1"/>
    <xf numFmtId="165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165" fontId="33" fillId="0" borderId="0" xfId="1" applyFont="1" applyFill="1" applyBorder="1"/>
    <xf numFmtId="166" fontId="32" fillId="0" borderId="0" xfId="0" applyNumberFormat="1" applyFont="1"/>
    <xf numFmtId="0" fontId="29" fillId="0" borderId="4" xfId="0" applyFont="1" applyBorder="1"/>
    <xf numFmtId="166" fontId="29" fillId="0" borderId="4" xfId="1" applyNumberFormat="1" applyFont="1" applyFill="1" applyBorder="1"/>
    <xf numFmtId="167" fontId="34" fillId="0" borderId="0" xfId="2" applyNumberFormat="1" applyFont="1" applyFill="1" applyBorder="1" applyAlignment="1">
      <alignment horizontal="right"/>
    </xf>
    <xf numFmtId="167" fontId="34" fillId="0" borderId="0" xfId="2" applyNumberFormat="1" applyFont="1" applyFill="1" applyBorder="1"/>
    <xf numFmtId="166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6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164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7" fontId="22" fillId="0" borderId="0" xfId="2" applyNumberFormat="1" applyFont="1"/>
    <xf numFmtId="167" fontId="0" fillId="0" borderId="0" xfId="0" applyNumberFormat="1"/>
    <xf numFmtId="9" fontId="0" fillId="0" borderId="0" xfId="2" applyFont="1"/>
    <xf numFmtId="164" fontId="15" fillId="0" borderId="0" xfId="0" applyNumberFormat="1" applyFont="1"/>
    <xf numFmtId="166" fontId="33" fillId="0" borderId="0" xfId="1" applyNumberFormat="1" applyFont="1" applyFill="1" applyBorder="1"/>
    <xf numFmtId="165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6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7" fontId="44" fillId="0" borderId="0" xfId="2" applyNumberFormat="1" applyFont="1"/>
    <xf numFmtId="10" fontId="0" fillId="0" borderId="0" xfId="2" applyNumberFormat="1" applyFont="1"/>
    <xf numFmtId="167" fontId="44" fillId="0" borderId="0" xfId="0" applyNumberFormat="1" applyFon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7" fontId="0" fillId="0" borderId="0" xfId="2" applyNumberFormat="1" applyFont="1" applyFill="1"/>
    <xf numFmtId="166" fontId="0" fillId="0" borderId="0" xfId="1" applyNumberFormat="1" applyFont="1" applyBorder="1"/>
    <xf numFmtId="167" fontId="19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10" borderId="0" xfId="0" applyFill="1"/>
    <xf numFmtId="1" fontId="0" fillId="0" borderId="0" xfId="0" applyNumberFormat="1"/>
    <xf numFmtId="167" fontId="19" fillId="0" borderId="0" xfId="2" applyNumberFormat="1" applyFont="1" applyFill="1" applyAlignment="1">
      <alignment horizontal="left"/>
    </xf>
    <xf numFmtId="167" fontId="19" fillId="0" borderId="0" xfId="2" applyNumberFormat="1" applyFont="1" applyFill="1" applyAlignment="1">
      <alignment horizontal="right"/>
    </xf>
    <xf numFmtId="3" fontId="2" fillId="13" borderId="0" xfId="0" applyNumberFormat="1" applyFont="1" applyFill="1"/>
    <xf numFmtId="168" fontId="0" fillId="0" borderId="0" xfId="0" applyNumberFormat="1"/>
    <xf numFmtId="168" fontId="2" fillId="0" borderId="0" xfId="0" applyNumberFormat="1" applyFont="1"/>
    <xf numFmtId="166" fontId="0" fillId="10" borderId="0" xfId="0" applyNumberFormat="1" applyFill="1"/>
    <xf numFmtId="1" fontId="0" fillId="0" borderId="0" xfId="0" applyNumberFormat="1" applyFill="1"/>
    <xf numFmtId="0" fontId="0" fillId="0" borderId="0" xfId="0" applyFill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245</v>
      </c>
    </row>
    <row r="2" spans="1:1" x14ac:dyDescent="0.3">
      <c r="A2" s="163" t="s">
        <v>246</v>
      </c>
    </row>
    <row r="3" spans="1:1" x14ac:dyDescent="0.3">
      <c r="A3" s="164"/>
    </row>
    <row r="4" spans="1:1" ht="23.4" x14ac:dyDescent="0.45">
      <c r="A4" s="18" t="s">
        <v>20</v>
      </c>
    </row>
    <row r="5" spans="1:1" x14ac:dyDescent="0.3">
      <c r="A5" s="165" t="s">
        <v>247</v>
      </c>
    </row>
    <row r="6" spans="1:1" x14ac:dyDescent="0.3">
      <c r="A6" s="165" t="s">
        <v>248</v>
      </c>
    </row>
    <row r="7" spans="1:1" x14ac:dyDescent="0.3">
      <c r="A7" s="166" t="s">
        <v>249</v>
      </c>
    </row>
    <row r="8" spans="1:1" x14ac:dyDescent="0.3">
      <c r="A8" s="165" t="s">
        <v>250</v>
      </c>
    </row>
    <row r="9" spans="1:1" x14ac:dyDescent="0.3">
      <c r="A9" s="19" t="s">
        <v>251</v>
      </c>
    </row>
    <row r="10" spans="1:1" ht="18" x14ac:dyDescent="0.35">
      <c r="A10" s="147"/>
    </row>
    <row r="11" spans="1:1" ht="18" x14ac:dyDescent="0.35">
      <c r="A11" s="147"/>
    </row>
    <row r="12" spans="1:1" ht="18" x14ac:dyDescent="0.35">
      <c r="A12" s="147"/>
    </row>
    <row r="13" spans="1:1" ht="18" x14ac:dyDescent="0.35">
      <c r="A13" s="147"/>
    </row>
    <row r="14" spans="1:1" ht="21" x14ac:dyDescent="0.4">
      <c r="A14" s="133"/>
    </row>
    <row r="15" spans="1:1" ht="20.399999999999999" x14ac:dyDescent="0.35">
      <c r="A15" s="134"/>
    </row>
    <row r="16" spans="1:1" ht="21" x14ac:dyDescent="0.4">
      <c r="A16" s="133"/>
    </row>
    <row r="17" spans="1:1" ht="21" x14ac:dyDescent="0.4">
      <c r="A17" s="133"/>
    </row>
    <row r="18" spans="1:1" ht="21" x14ac:dyDescent="0.4">
      <c r="A18" s="133"/>
    </row>
    <row r="19" spans="1:1" ht="20.399999999999999" x14ac:dyDescent="0.35">
      <c r="A19" s="134"/>
    </row>
    <row r="20" spans="1:1" ht="21" x14ac:dyDescent="0.4">
      <c r="A20" s="133"/>
    </row>
    <row r="21" spans="1:1" ht="21" x14ac:dyDescent="0.4">
      <c r="A21" s="133"/>
    </row>
    <row r="22" spans="1:1" ht="21" x14ac:dyDescent="0.4">
      <c r="A22" s="133"/>
    </row>
    <row r="23" spans="1:1" ht="21" x14ac:dyDescent="0.4">
      <c r="A23" s="133"/>
    </row>
    <row r="24" spans="1:1" ht="21" x14ac:dyDescent="0.4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2" max="12" width="5.88671875" customWidth="1"/>
  </cols>
  <sheetData>
    <row r="1" spans="1:12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" thickTop="1" x14ac:dyDescent="0.3">
      <c r="A13" s="1" t="s">
        <v>8</v>
      </c>
    </row>
    <row r="14" spans="1:12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3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3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3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3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3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3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3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3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3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3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3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3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3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3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3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3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3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3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3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3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3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7" t="s">
        <v>127</v>
      </c>
    </row>
    <row r="181" spans="1:9" x14ac:dyDescent="0.3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3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3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3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3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3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3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3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3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3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3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3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3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3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3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3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3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3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3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3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3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3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3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3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3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3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3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3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3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3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" thickBot="1" x14ac:dyDescent="0.35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" thickTop="1" x14ac:dyDescent="0.3"/>
    <row r="220" spans="1:9" x14ac:dyDescent="0.3">
      <c r="A220" s="27" t="s">
        <v>145</v>
      </c>
    </row>
    <row r="221" spans="1:9" x14ac:dyDescent="0.3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3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3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3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3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3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3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3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3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3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3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3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3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3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3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3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3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3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3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3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3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3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3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3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3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3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3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3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3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3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3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3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3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3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3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3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" thickBot="1" x14ac:dyDescent="0.35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4.4" x14ac:dyDescent="0.3"/>
  <cols>
    <col min="1" max="1" width="48.6640625" customWidth="1"/>
    <col min="2" max="14" width="11.6640625" customWidth="1"/>
    <col min="15" max="15" width="16.33203125" customWidth="1"/>
    <col min="19" max="19" width="8.5546875" customWidth="1"/>
  </cols>
  <sheetData>
    <row r="1" spans="1:21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3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3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3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3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3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3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3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3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3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3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3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3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3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3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3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3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3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3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3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3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3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3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3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3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3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3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3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3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3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3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3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3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3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3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3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3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3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3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3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3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3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3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3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3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3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3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3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3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3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3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3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3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3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3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3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3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3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3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3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3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3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3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3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3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3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3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3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3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3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3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3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3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3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3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3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3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3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3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3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3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3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3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3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3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3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3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3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3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3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3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3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3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3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3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3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3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3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3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3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3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3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3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3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3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3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3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3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3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3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3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3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3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3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3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3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3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3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3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3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3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3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3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3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3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3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3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3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3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3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3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3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3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3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3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3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3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3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3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3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3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3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3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3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3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3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3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3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3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3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3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3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3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3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3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3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3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3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3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3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3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3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3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3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3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3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3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3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3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3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3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3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3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3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3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3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3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3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3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3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3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3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3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3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3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3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3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3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3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3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3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3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3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3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3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3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3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3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3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3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3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3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3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3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3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3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3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3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3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3">
      <c r="B212" s="77"/>
    </row>
    <row r="213" spans="1:15" x14ac:dyDescent="0.3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opLeftCell="A40" zoomScale="90" zoomScaleNormal="90" workbookViewId="0">
      <selection activeCell="N53" sqref="N53"/>
    </sheetView>
  </sheetViews>
  <sheetFormatPr defaultRowHeight="14.4" x14ac:dyDescent="0.3"/>
  <cols>
    <col min="1" max="1" width="45.88671875" customWidth="1"/>
    <col min="2" max="2" width="11.88671875" customWidth="1"/>
    <col min="3" max="3" width="11.44140625" customWidth="1"/>
    <col min="4" max="4" width="12.33203125" customWidth="1"/>
    <col min="5" max="5" width="12.5546875" customWidth="1"/>
    <col min="6" max="6" width="12.44140625" customWidth="1"/>
    <col min="7" max="7" width="12" customWidth="1"/>
    <col min="8" max="8" width="10.6640625" customWidth="1"/>
    <col min="9" max="10" width="12.88671875" customWidth="1"/>
    <col min="11" max="12" width="11.33203125" customWidth="1"/>
    <col min="13" max="14" width="11.6640625" bestFit="1" customWidth="1"/>
    <col min="15" max="15" width="4.5546875" customWidth="1"/>
  </cols>
  <sheetData>
    <row r="1" spans="1:15" ht="66" customHeight="1" x14ac:dyDescent="0.3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3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3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3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3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3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3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3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3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3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3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3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3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" thickBot="1" x14ac:dyDescent="0.35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" thickTop="1" x14ac:dyDescent="0.3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3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3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3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3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3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3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3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3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3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3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3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3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3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3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3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" thickBot="1" x14ac:dyDescent="0.35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" thickTop="1" x14ac:dyDescent="0.3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3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3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3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3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3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3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3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3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3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3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" thickBot="1" x14ac:dyDescent="0.35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" thickTop="1" x14ac:dyDescent="0.3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3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3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3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3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3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3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3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3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3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3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3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3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3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3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3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3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3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3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3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3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3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3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3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" thickBot="1" x14ac:dyDescent="0.35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" thickTop="1" x14ac:dyDescent="0.3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3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3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3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3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3">
      <c r="B74" s="148"/>
      <c r="C74" s="59"/>
      <c r="D74" s="59"/>
      <c r="E74" s="59"/>
      <c r="F74" s="59"/>
      <c r="G74" s="59"/>
      <c r="H74" s="59"/>
      <c r="I74" s="59"/>
    </row>
    <row r="76" spans="1:14" x14ac:dyDescent="0.3">
      <c r="A76" s="118">
        <v>2014</v>
      </c>
      <c r="B76" s="118"/>
    </row>
    <row r="77" spans="1:14" x14ac:dyDescent="0.3">
      <c r="A77" s="118" t="s">
        <v>35</v>
      </c>
      <c r="B77" s="119">
        <v>2922</v>
      </c>
    </row>
    <row r="78" spans="1:14" x14ac:dyDescent="0.3">
      <c r="A78" s="118" t="s">
        <v>197</v>
      </c>
      <c r="B78" s="119">
        <v>3434</v>
      </c>
    </row>
    <row r="79" spans="1:14" x14ac:dyDescent="0.3">
      <c r="A79" s="118" t="s">
        <v>198</v>
      </c>
      <c r="B79" s="119">
        <v>1930</v>
      </c>
    </row>
    <row r="80" spans="1:14" x14ac:dyDescent="0.3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Y32"/>
  <sheetViews>
    <sheetView tabSelected="1" topLeftCell="I10" workbookViewId="0">
      <selection activeCell="U29" sqref="U29"/>
    </sheetView>
  </sheetViews>
  <sheetFormatPr defaultRowHeight="14.4" x14ac:dyDescent="0.3"/>
  <cols>
    <col min="1" max="1" width="42.33203125" customWidth="1"/>
    <col min="2" max="2" width="15.6640625" customWidth="1"/>
    <col min="3" max="3" width="12.33203125" customWidth="1"/>
    <col min="4" max="4" width="15" customWidth="1"/>
    <col min="5" max="5" width="13.6640625" customWidth="1"/>
    <col min="6" max="6" width="14.44140625" customWidth="1"/>
    <col min="7" max="7" width="13.88671875" customWidth="1"/>
    <col min="8" max="8" width="13.109375" customWidth="1"/>
    <col min="9" max="9" width="14.33203125" customWidth="1"/>
    <col min="10" max="10" width="15.5546875" customWidth="1"/>
    <col min="11" max="11" width="8" customWidth="1"/>
    <col min="12" max="12" width="9.33203125" customWidth="1"/>
    <col min="13" max="13" width="44.88671875" customWidth="1"/>
    <col min="14" max="14" width="12" bestFit="1" customWidth="1"/>
    <col min="15" max="18" width="9.5546875" bestFit="1" customWidth="1"/>
    <col min="19" max="19" width="10.6640625" bestFit="1" customWidth="1"/>
    <col min="20" max="20" width="10.88671875" bestFit="1" customWidth="1"/>
    <col min="21" max="22" width="9.6640625" bestFit="1" customWidth="1"/>
    <col min="23" max="23" width="10.33203125" bestFit="1" customWidth="1"/>
    <col min="24" max="24" width="11.6640625" customWidth="1"/>
  </cols>
  <sheetData>
    <row r="1" spans="1:25" ht="75.75" customHeight="1" x14ac:dyDescent="0.3">
      <c r="A1" s="157" t="s">
        <v>202</v>
      </c>
      <c r="B1" s="153"/>
      <c r="C1" s="153">
        <v>2015</v>
      </c>
      <c r="D1" s="153">
        <f t="shared" ref="D1:W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263</v>
      </c>
      <c r="L1" s="153" t="s">
        <v>20</v>
      </c>
      <c r="M1" s="153" t="s">
        <v>262</v>
      </c>
      <c r="N1" s="154">
        <f>+J1+1</f>
        <v>2023</v>
      </c>
      <c r="O1" s="154">
        <f t="shared" si="0"/>
        <v>2024</v>
      </c>
      <c r="P1" s="154">
        <f t="shared" si="0"/>
        <v>2025</v>
      </c>
      <c r="Q1" s="154">
        <f t="shared" si="0"/>
        <v>2026</v>
      </c>
      <c r="R1" s="154">
        <f t="shared" si="0"/>
        <v>2027</v>
      </c>
      <c r="S1" s="154">
        <f t="shared" si="0"/>
        <v>2028</v>
      </c>
      <c r="T1" s="154">
        <f t="shared" si="0"/>
        <v>2029</v>
      </c>
      <c r="U1" s="154">
        <f t="shared" si="0"/>
        <v>2030</v>
      </c>
      <c r="V1" s="154">
        <f t="shared" si="0"/>
        <v>2031</v>
      </c>
      <c r="W1" s="154">
        <f t="shared" si="0"/>
        <v>2032</v>
      </c>
      <c r="X1" s="154" t="s">
        <v>203</v>
      </c>
      <c r="Y1" s="154"/>
    </row>
    <row r="2" spans="1:25" ht="21.75" customHeight="1" x14ac:dyDescent="0.3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152"/>
      <c r="U2" s="152"/>
      <c r="V2" s="152"/>
      <c r="W2" s="152"/>
      <c r="X2" s="152"/>
      <c r="Y2" s="152"/>
    </row>
    <row r="3" spans="1:25" x14ac:dyDescent="0.3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  <c r="R3" s="149"/>
    </row>
    <row r="4" spans="1:25" x14ac:dyDescent="0.3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  <c r="M4" s="77"/>
    </row>
    <row r="5" spans="1:25" x14ac:dyDescent="0.3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  <c r="M5" s="149"/>
    </row>
    <row r="6" spans="1:25" x14ac:dyDescent="0.3">
      <c r="A6" t="s">
        <v>244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255</v>
      </c>
      <c r="M6" s="149"/>
    </row>
    <row r="7" spans="1:25" x14ac:dyDescent="0.3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  <c r="M7" s="149"/>
    </row>
    <row r="8" spans="1:25" x14ac:dyDescent="0.3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  <c r="M8" s="149"/>
    </row>
    <row r="9" spans="1:25" x14ac:dyDescent="0.3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  <c r="M9" s="149"/>
    </row>
    <row r="10" spans="1:25" x14ac:dyDescent="0.3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255</v>
      </c>
      <c r="M10" s="149"/>
    </row>
    <row r="11" spans="1:25" x14ac:dyDescent="0.3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256</v>
      </c>
      <c r="M11" s="148"/>
    </row>
    <row r="12" spans="1:25" x14ac:dyDescent="0.3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257</v>
      </c>
      <c r="M12" s="136"/>
    </row>
    <row r="15" spans="1:25" x14ac:dyDescent="0.3">
      <c r="T15" s="180" t="s">
        <v>264</v>
      </c>
    </row>
    <row r="16" spans="1:25" x14ac:dyDescent="0.3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254</v>
      </c>
      <c r="M16" t="s">
        <v>259</v>
      </c>
      <c r="N16" s="77">
        <f>'Three Statements'!J53</f>
        <v>12638.887814343043</v>
      </c>
      <c r="O16" s="77">
        <f>'Three Statements'!K53</f>
        <v>15392.527303202496</v>
      </c>
      <c r="P16" s="77">
        <f>'Three Statements'!L53</f>
        <v>19123.637007867692</v>
      </c>
      <c r="Q16" s="77">
        <f>'Three Statements'!M53</f>
        <v>23693.158239864442</v>
      </c>
      <c r="R16" s="77">
        <f>'Three Statements'!N53</f>
        <v>27541.987206777572</v>
      </c>
      <c r="S16" s="77">
        <f>R16*(1+8%)</f>
        <v>29745.34618331978</v>
      </c>
      <c r="T16" s="77">
        <f>S16*(1+(S17+0.65%))</f>
        <v>32318.318628176941</v>
      </c>
      <c r="U16" s="77">
        <f t="shared" ref="U16:X16" si="2">T16*(1+(T17+0.65%))</f>
        <v>35323.922260597399</v>
      </c>
      <c r="V16" s="77">
        <f t="shared" si="2"/>
        <v>38838.652525526843</v>
      </c>
      <c r="W16" s="77">
        <f t="shared" si="2"/>
        <v>42955.549693232693</v>
      </c>
      <c r="X16" s="77">
        <f t="shared" si="2"/>
        <v>47788.049033721371</v>
      </c>
      <c r="Y16" s="77"/>
    </row>
    <row r="17" spans="1:25" x14ac:dyDescent="0.3">
      <c r="A17" s="150" t="s">
        <v>129</v>
      </c>
      <c r="B17" s="150"/>
      <c r="C17" s="60" t="str">
        <f>IFERROR((C16-B16)/B16,"nm")</f>
        <v>nm</v>
      </c>
      <c r="D17" s="60">
        <f t="shared" ref="D17:J17" si="3">IFERROR((D16-C16)/C16,"nm")</f>
        <v>-0.12574760765550239</v>
      </c>
      <c r="E17" s="60">
        <f t="shared" si="3"/>
        <v>0.19428766889002907</v>
      </c>
      <c r="F17" s="60">
        <f t="shared" si="3"/>
        <v>0.11370471144207361</v>
      </c>
      <c r="G17" s="60">
        <f t="shared" si="3"/>
        <v>0.14144271570014144</v>
      </c>
      <c r="H17" s="60">
        <f t="shared" si="3"/>
        <v>-0.62295820660132928</v>
      </c>
      <c r="I17" s="60">
        <f t="shared" si="3"/>
        <v>2.4980579623543471</v>
      </c>
      <c r="J17" s="60">
        <f t="shared" si="3"/>
        <v>-0.14118551417833961</v>
      </c>
      <c r="K17" s="169"/>
      <c r="L17" s="170"/>
      <c r="M17" s="173" t="s">
        <v>258</v>
      </c>
      <c r="N17" s="174">
        <f>IFERROR((N16-J16)/J16,"nm")</f>
        <v>0.25697541664276907</v>
      </c>
      <c r="O17" s="174">
        <f>IFERROR((O16-N16)/N16,"nm")</f>
        <v>0.21787039566365396</v>
      </c>
      <c r="P17" s="174">
        <f t="shared" ref="P17:R17" si="4">IFERROR((P16-O16)/O16,"nm")</f>
        <v>0.24239747191410982</v>
      </c>
      <c r="Q17" s="174">
        <f t="shared" si="4"/>
        <v>0.23894624386129035</v>
      </c>
      <c r="R17" s="174">
        <f t="shared" si="4"/>
        <v>0.16244474155570196</v>
      </c>
      <c r="S17" s="174">
        <f>IFERROR((S16-R16)/R16,"nm")</f>
        <v>8.0000000000000057E-2</v>
      </c>
      <c r="T17" s="174">
        <f t="shared" ref="T17:X17" si="5">IFERROR((T16-S16)/S16,"nm")</f>
        <v>8.6500000000000021E-2</v>
      </c>
      <c r="U17" s="174">
        <f t="shared" si="5"/>
        <v>9.3000000000000069E-2</v>
      </c>
      <c r="V17" s="174">
        <f t="shared" si="5"/>
        <v>9.9500000000000061E-2</v>
      </c>
      <c r="W17" s="174">
        <f t="shared" si="5"/>
        <v>0.10600000000000014</v>
      </c>
      <c r="X17" s="174">
        <f t="shared" si="5"/>
        <v>0.11249999999999999</v>
      </c>
      <c r="Y17" s="174"/>
    </row>
    <row r="18" spans="1:25" x14ac:dyDescent="0.3">
      <c r="A18" t="s">
        <v>215</v>
      </c>
      <c r="C18" s="161">
        <f>C24*C23+(1-C24)*C20</f>
        <v>1.7375459658269043E-2</v>
      </c>
      <c r="D18" s="161">
        <f t="shared" ref="D18:J18" si="6">D24*D23+(1-D24)*D20</f>
        <v>0.14409225288362595</v>
      </c>
      <c r="E18" s="161">
        <f t="shared" si="6"/>
        <v>0.24804497865516467</v>
      </c>
      <c r="F18" s="161">
        <f t="shared" si="6"/>
        <v>-5.2142312523149173E-2</v>
      </c>
      <c r="G18" s="161">
        <f t="shared" si="6"/>
        <v>0.34153899460688292</v>
      </c>
      <c r="H18" s="161">
        <f t="shared" si="6"/>
        <v>0.16599537558786676</v>
      </c>
      <c r="I18" s="161">
        <f t="shared" si="6"/>
        <v>0.23920523091512808</v>
      </c>
      <c r="J18" s="161">
        <f t="shared" si="6"/>
        <v>0.1432480001228415</v>
      </c>
      <c r="K18" s="161"/>
      <c r="L18" t="s">
        <v>216</v>
      </c>
      <c r="M18" s="161"/>
      <c r="N18" s="77"/>
      <c r="O18" s="77"/>
      <c r="P18" s="77"/>
      <c r="Q18" s="77"/>
      <c r="R18" s="77"/>
    </row>
    <row r="19" spans="1:25" x14ac:dyDescent="0.3">
      <c r="A19" t="s">
        <v>217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218</v>
      </c>
      <c r="M19" s="158"/>
    </row>
    <row r="20" spans="1:25" x14ac:dyDescent="0.3">
      <c r="A20" t="s">
        <v>219</v>
      </c>
      <c r="C20" s="136">
        <f>C21+C19*(C22-C21)</f>
        <v>1.7472000000000001E-2</v>
      </c>
      <c r="D20" s="136">
        <f t="shared" ref="D20:J20" si="7">D21+D19*(D22-D21)</f>
        <v>0.158224</v>
      </c>
      <c r="E20" s="136">
        <f t="shared" si="7"/>
        <v>0.28854400000000002</v>
      </c>
      <c r="F20" s="136">
        <f t="shared" si="7"/>
        <v>-6.6342000000000012E-2</v>
      </c>
      <c r="G20" s="136">
        <f t="shared" si="7"/>
        <v>0.4063500000000001</v>
      </c>
      <c r="H20" s="136">
        <f t="shared" si="7"/>
        <v>0.239924</v>
      </c>
      <c r="I20" s="136">
        <f t="shared" si="7"/>
        <v>0.31218399999999996</v>
      </c>
      <c r="J20" s="136">
        <f t="shared" si="7"/>
        <v>0.17310399999999995</v>
      </c>
      <c r="K20" s="136"/>
      <c r="L20" t="s">
        <v>220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5" x14ac:dyDescent="0.3">
      <c r="A21" t="s">
        <v>221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222</v>
      </c>
      <c r="M21" s="16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5" x14ac:dyDescent="0.3">
      <c r="A22" t="s">
        <v>223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7" t="s">
        <v>252</v>
      </c>
      <c r="L22" t="s">
        <v>224</v>
      </c>
      <c r="M22" s="167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5" x14ac:dyDescent="0.3">
      <c r="A23" t="s">
        <v>225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226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5" x14ac:dyDescent="0.3">
      <c r="A24" t="s">
        <v>227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226</v>
      </c>
      <c r="M24" s="148" t="s">
        <v>261</v>
      </c>
      <c r="N24" s="172"/>
      <c r="O24" s="172"/>
      <c r="P24" s="172"/>
      <c r="Q24" s="179" t="s">
        <v>265</v>
      </c>
      <c r="S24" t="s">
        <v>264</v>
      </c>
      <c r="T24" s="136"/>
      <c r="U24" s="136"/>
      <c r="V24" s="136"/>
      <c r="X24" s="175">
        <f>X16*X17/(J18-X17)</f>
        <v>174845.69711250631</v>
      </c>
    </row>
    <row r="25" spans="1:25" x14ac:dyDescent="0.3">
      <c r="A25" t="s">
        <v>228</v>
      </c>
      <c r="J25" s="77"/>
      <c r="L25" t="s">
        <v>229</v>
      </c>
      <c r="M25" t="s">
        <v>260</v>
      </c>
      <c r="N25" s="77">
        <f>PV($J$18,1,0,-N16,0)</f>
        <v>11055.245942249625</v>
      </c>
      <c r="O25" s="77">
        <f>PV($J$18,2,0,-O16,0)</f>
        <v>11776.846973185056</v>
      </c>
      <c r="P25" s="77">
        <f>PV($J$18,3,0,-P16,0)</f>
        <v>12798.207305004949</v>
      </c>
      <c r="Q25" s="77">
        <f>PV($J$18,4,0,-Q16,0)</f>
        <v>13869.511135808028</v>
      </c>
      <c r="R25" s="77">
        <f>PV($J$18,5,0,-R16,0)</f>
        <v>14102.399729573926</v>
      </c>
      <c r="S25" s="77">
        <f>PV($J$18,6,0,-S16,0)</f>
        <v>13322.211546666445</v>
      </c>
      <c r="T25" s="77">
        <f>PV($J$18,7,0,-T16,0)</f>
        <v>12660.929950367556</v>
      </c>
      <c r="U25" s="77">
        <f>PV($J$18,8,0,-U16,0)</f>
        <v>12104.45715563448</v>
      </c>
      <c r="V25" s="77">
        <f>PV($J$18,9,0,-V16,0)</f>
        <v>11641.26299909563</v>
      </c>
      <c r="W25" s="77">
        <f>PV($J$18,10,0,-W16,0)</f>
        <v>11261.980668775566</v>
      </c>
      <c r="X25" s="178">
        <f>PV($J$18,11,0,-X16,0)</f>
        <v>10959.086298569153</v>
      </c>
      <c r="Y25" t="s">
        <v>267</v>
      </c>
    </row>
    <row r="26" spans="1:25" x14ac:dyDescent="0.3">
      <c r="N26" s="77"/>
      <c r="O26" s="77"/>
      <c r="P26" s="77"/>
      <c r="Q26" s="77"/>
      <c r="R26" s="77"/>
    </row>
    <row r="27" spans="1:25" x14ac:dyDescent="0.3">
      <c r="A27" t="s">
        <v>230</v>
      </c>
      <c r="B27" t="s">
        <v>231</v>
      </c>
      <c r="C27" s="176">
        <f>PV(C18,1,0,-C16,0)</f>
        <v>6573.7775926367076</v>
      </c>
      <c r="D27" s="171" t="s">
        <v>269</v>
      </c>
      <c r="K27" s="168" t="s">
        <v>253</v>
      </c>
      <c r="M27" s="168"/>
      <c r="N27" s="77"/>
      <c r="O27" s="77"/>
      <c r="P27" s="77"/>
      <c r="Q27" s="77"/>
      <c r="R27" s="77"/>
    </row>
    <row r="28" spans="1:25" x14ac:dyDescent="0.3">
      <c r="A28" t="s">
        <v>232</v>
      </c>
      <c r="B28" t="s">
        <v>231</v>
      </c>
      <c r="C28" s="177">
        <f>PV(J18,10,0,-X24,0)</f>
        <v>45840.616054550257</v>
      </c>
      <c r="D28" s="171" t="s">
        <v>268</v>
      </c>
      <c r="N28" s="77"/>
      <c r="O28" s="77"/>
      <c r="P28" s="77"/>
      <c r="Q28" s="77"/>
      <c r="R28" s="77"/>
    </row>
    <row r="29" spans="1:25" x14ac:dyDescent="0.3">
      <c r="A29" t="s">
        <v>233</v>
      </c>
      <c r="B29" t="s">
        <v>266</v>
      </c>
      <c r="C29" s="176">
        <f>C27+C28</f>
        <v>52414.393647186967</v>
      </c>
    </row>
    <row r="30" spans="1:25" x14ac:dyDescent="0.3">
      <c r="A30" t="s">
        <v>234</v>
      </c>
      <c r="C30" s="8">
        <f>'Three Statements'!B36+'Three Statements'!B32</f>
        <v>1260</v>
      </c>
      <c r="K30" s="8"/>
      <c r="M30" s="8"/>
    </row>
    <row r="31" spans="1:25" x14ac:dyDescent="0.3">
      <c r="A31" t="s">
        <v>235</v>
      </c>
      <c r="C31" s="149">
        <f>'Three Statements'!B15*CAPM_PV!C3</f>
        <v>97507.942601980976</v>
      </c>
      <c r="K31" s="149"/>
      <c r="M31" s="149"/>
    </row>
    <row r="32" spans="1:25" x14ac:dyDescent="0.3">
      <c r="A32" t="s">
        <v>236</v>
      </c>
      <c r="C32" s="148">
        <f>Historicals!B58/'Three Statements'!B15</f>
        <v>7.1839665309814569</v>
      </c>
      <c r="K32" s="148"/>
      <c r="M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4.4" x14ac:dyDescent="0.3"/>
  <cols>
    <col min="1" max="1" width="18" customWidth="1"/>
  </cols>
  <sheetData>
    <row r="1" spans="1:7" x14ac:dyDescent="0.3">
      <c r="A1" t="s">
        <v>237</v>
      </c>
      <c r="B1" t="s">
        <v>238</v>
      </c>
      <c r="C1" t="s">
        <v>239</v>
      </c>
      <c r="D1" t="s">
        <v>240</v>
      </c>
      <c r="E1" t="s">
        <v>241</v>
      </c>
      <c r="F1" t="s">
        <v>242</v>
      </c>
      <c r="G1" t="s">
        <v>243</v>
      </c>
    </row>
    <row r="2" spans="1:7" x14ac:dyDescent="0.3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3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3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3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3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3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3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3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3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3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3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3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3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3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3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3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3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3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3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3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3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3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3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3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3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3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3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3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3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3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3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3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3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3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3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3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3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3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3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3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3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3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3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3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3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3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3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3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3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3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3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3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3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3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3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3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3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3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3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3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3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3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3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3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3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3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3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3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3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3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3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3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3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3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3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3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3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3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3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3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3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3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3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3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3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3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3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3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3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3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3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3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3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3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3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3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3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3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3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3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3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3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3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3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3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3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3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3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3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3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3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3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3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3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3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3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3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3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3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3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3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3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3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3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3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3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3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3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3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3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3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3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3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3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3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3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3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3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3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3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3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3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3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3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3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3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3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3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3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3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3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3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3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3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3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3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3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3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3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3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3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3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3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3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3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3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3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3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3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3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3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3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3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3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3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3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3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3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3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3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3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3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3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3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3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3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3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3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3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3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3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3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3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3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3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3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3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3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3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3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3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3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3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3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3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3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3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3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3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3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3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3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3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3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3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3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3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3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3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3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3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3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3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3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3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3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3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3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3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3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3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3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3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3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3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3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3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3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3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3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3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3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3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3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3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3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3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3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3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3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3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3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3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3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3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3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3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3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3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3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3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3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3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3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3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3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3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3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3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3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3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3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3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3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3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3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3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3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3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3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3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3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3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3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3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3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3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3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3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3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3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3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3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3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3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3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3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3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3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3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3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3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3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3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3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3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3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3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3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3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3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3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3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3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3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3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3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3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3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3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3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3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3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3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3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3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3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3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3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3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3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3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3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3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3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3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3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3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3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3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3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3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3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3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3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3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3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3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3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3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3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3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3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3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3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3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3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3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3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3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3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3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3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3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3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3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3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3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3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3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3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3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3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3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3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3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3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3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3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3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3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3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3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3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3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3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3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3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3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3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3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3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3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3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3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3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3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3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3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3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3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3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3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3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3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3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3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3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3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3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3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3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3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3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3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3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3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3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3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3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3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3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3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3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3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3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3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3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3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3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3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3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3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3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3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3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3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3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3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3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3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3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3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3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3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3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3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3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3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3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3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3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3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3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3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3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3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3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3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3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3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3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3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3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3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3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3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3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3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3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3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3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3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3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3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3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3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3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3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3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3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3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3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3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3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3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3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3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3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3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3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3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3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3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3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3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3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3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3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3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3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3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3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3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3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3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3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3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3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3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3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3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3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3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3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3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3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3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3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3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3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3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3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3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3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3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3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3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3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3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3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3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3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3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3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3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3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3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3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3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3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3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3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3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3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3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3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3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3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3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3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3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3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3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3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3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3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3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3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3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3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3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3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3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3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3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3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3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3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3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3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3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3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3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3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3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3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3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3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3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3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3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3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3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3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3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3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3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3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3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3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3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3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3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3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3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3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3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3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3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3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3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3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3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3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3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3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3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3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3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3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3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3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3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3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3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3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3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3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3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3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3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3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3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3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3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3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3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3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3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3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3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3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3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3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3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3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3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3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3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3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3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3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3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3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3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3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3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3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3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3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3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3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3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3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3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3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3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3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3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3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3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3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3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3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3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3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3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3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3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3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3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3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3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3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3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3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3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3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3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3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3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3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3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3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3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3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3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3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3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3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3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3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3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3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3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3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3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3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3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3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3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3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3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3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3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3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3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3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3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3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3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3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3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3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3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3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3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3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3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3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3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3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3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3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3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3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3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3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3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3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3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3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3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3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3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3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3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3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3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3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3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3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3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3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3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3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3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3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3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3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3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3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3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3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3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3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3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3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3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3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3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3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3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3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3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3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3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3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3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3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3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3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3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3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3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3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3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3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3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3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3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3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3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3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3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3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3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3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3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3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3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3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3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3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3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3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3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3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3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3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3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3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3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3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3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3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3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3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3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3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3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3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3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3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3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3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3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3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3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3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3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3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3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3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3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3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3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3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3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3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3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3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3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3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3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3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3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3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3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3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3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3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3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3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3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3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3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3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3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3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3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3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3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3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3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3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3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3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3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3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3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3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3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3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3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3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3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3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3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3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3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3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3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3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3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3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3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3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3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3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3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3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3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3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3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3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3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3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3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3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3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3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3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3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3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3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3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3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3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3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3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3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3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3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3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3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3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3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3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3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3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3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3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3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3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3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3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3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3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3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3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3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3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3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3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3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3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3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3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3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3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3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3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3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3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3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3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3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3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3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3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3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3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3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3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3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3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3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3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3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3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3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3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3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3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3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3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3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3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3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3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3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3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3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3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3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3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3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3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3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3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3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3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3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3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3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3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3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3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3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3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3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3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3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3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3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3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3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3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3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3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3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3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3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3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3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3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3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3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3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3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3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3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3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3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3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3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3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3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3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3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3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3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3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3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3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3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3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3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3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3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3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3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3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3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3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3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3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3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3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3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3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3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3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3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3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3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3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3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3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3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3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3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3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3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3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3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3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3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3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3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3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3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3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3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3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3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3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3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3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3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3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3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3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3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3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3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3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3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3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3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3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3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3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3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3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3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3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3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3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3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3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3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3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3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3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3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3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3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3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3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3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3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3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3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3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3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3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3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3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3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3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3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3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3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3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3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3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3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3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3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3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3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3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3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3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3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3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3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3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3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3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3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3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3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3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3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3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3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3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3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3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3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3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3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3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3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3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3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3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3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3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3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3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3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3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3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3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3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3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3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3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3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3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3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3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3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3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3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3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3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3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3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3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3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3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3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3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3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3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3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3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3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3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3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3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3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3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3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3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3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3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3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3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3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3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3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3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3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3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3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3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3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3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3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3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3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3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3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3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3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3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3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3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3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3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3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3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3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3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3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3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3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3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3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3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3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3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3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3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3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3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3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3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3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3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3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3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3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3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3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3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3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3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3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3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3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3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3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3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3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3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3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3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3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3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3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3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3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3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3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3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3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3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3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3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3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3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3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3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3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3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3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3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3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3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3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3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3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3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3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3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3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3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3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3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3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3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3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3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3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3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3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3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3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3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3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3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3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3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3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3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3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3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3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3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3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3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3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3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3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3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3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3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3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3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3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3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3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3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3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3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3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3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3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3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3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3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3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3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3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3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3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3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3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3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3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3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3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3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3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3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3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3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3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3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3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3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3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3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3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3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3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3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3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3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3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3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3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3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3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3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3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3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3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3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3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3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3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3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3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3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3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3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3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3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3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3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3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3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3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3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3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3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3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3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3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3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3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3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3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3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3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3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3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3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3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3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3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3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3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3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3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3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3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3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3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3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3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3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3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3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3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3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3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3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3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3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3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3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3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3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3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3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3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3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3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3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3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3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3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3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3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3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3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3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3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3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3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3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3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3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3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3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3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3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3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3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3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3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3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3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3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3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3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3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3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3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3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3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3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3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3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3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3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3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3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3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3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3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3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3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3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3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3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3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3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3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3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3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3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3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3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3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3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3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3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3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3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3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3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3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3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3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3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3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3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3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3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3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3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3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3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3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3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3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3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3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3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3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3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3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3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3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3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3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3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3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3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3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3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3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3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3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3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3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3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3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3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3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3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3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3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3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3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3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3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3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3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3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3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3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3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3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3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3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3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3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3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3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3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3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3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3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3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3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3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3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3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3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3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3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3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3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3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3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3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3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3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3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3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3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3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3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3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3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3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3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3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3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3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3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3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3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3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3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3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3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3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3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3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3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3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3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3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3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3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3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3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3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3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3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3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3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3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3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3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3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3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3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3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3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3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3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3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3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3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3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3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3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3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3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3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3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3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3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3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3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3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3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3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3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3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3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3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3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3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3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3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3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3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3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3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3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3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3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3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3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3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3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3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3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3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3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3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3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3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3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3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3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3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3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3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3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3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3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3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3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3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3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3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3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3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3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3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3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3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3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3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3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3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3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3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3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3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3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3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3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3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3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3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3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3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3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3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3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3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3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3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3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3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3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3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3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3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3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3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3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3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3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3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3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3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3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3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3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3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3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3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3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3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3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3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3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3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3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3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3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3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3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3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3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3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3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3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3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3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3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3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3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3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3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3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3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3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3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3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3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3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3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3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3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3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3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3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3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3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3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3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3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3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3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3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3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3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3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3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3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3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3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3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3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3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3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3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3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3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3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3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3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3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3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3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3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3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3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3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3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3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3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3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3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3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3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3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3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3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3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3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3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3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3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3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3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3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3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3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3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3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3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3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3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3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3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3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3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3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3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3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3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3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3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3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3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3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3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3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3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3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3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3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3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3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3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3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3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3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3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3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3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3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3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3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3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3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3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3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3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3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3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3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3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3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3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3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3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3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3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3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3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3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3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3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3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3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3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3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3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3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3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3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3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3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3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3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3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3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3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3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3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3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3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3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3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3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3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3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3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3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3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3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3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3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3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3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3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3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3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3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3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3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3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3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3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3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3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3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3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3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3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3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3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3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3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3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3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3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3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3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3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3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3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3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3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3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3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3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3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3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3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3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3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3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3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3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3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3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3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3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3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3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3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3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3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3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3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3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3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3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3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3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3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3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3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3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3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3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3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3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3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3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3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3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3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3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3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3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3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3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3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3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3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3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3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3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3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3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3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3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3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3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3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3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3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3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3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3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3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3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3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3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3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3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3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3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3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3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3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3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3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3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3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3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3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3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3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3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3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3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3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3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3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3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3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3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3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3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3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3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3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3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3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3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2023-11-27T17:21:42Z</dcterms:modified>
</cp:coreProperties>
</file>