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A1B23A6-938B-4C87-9447-EDBB5F699E6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Additional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E44" i="3"/>
  <c r="C44" i="3"/>
  <c r="D45" i="3"/>
  <c r="D46" i="3" s="1"/>
  <c r="E45" i="3"/>
  <c r="E46" i="3" s="1"/>
  <c r="C45" i="3"/>
  <c r="C46" i="3" s="1"/>
  <c r="D40" i="3"/>
  <c r="E40" i="3"/>
  <c r="C40" i="3"/>
  <c r="D41" i="3"/>
  <c r="E41" i="3"/>
  <c r="C41" i="3"/>
  <c r="D52" i="4"/>
  <c r="E52" i="4"/>
  <c r="C52" i="4"/>
  <c r="D35" i="4"/>
  <c r="C35" i="4"/>
  <c r="D34" i="4"/>
  <c r="C34" i="4"/>
  <c r="D19" i="4"/>
  <c r="D20" i="4"/>
  <c r="D22" i="4"/>
  <c r="D26" i="4"/>
  <c r="D27" i="4"/>
  <c r="D29" i="4"/>
  <c r="D30" i="4"/>
  <c r="C19" i="4"/>
  <c r="C20" i="4"/>
  <c r="C22" i="4"/>
  <c r="C26" i="4"/>
  <c r="C27" i="4"/>
  <c r="C29" i="4"/>
  <c r="C30" i="4"/>
  <c r="D18" i="4"/>
  <c r="C18" i="4"/>
  <c r="D14" i="4"/>
  <c r="C14" i="4"/>
  <c r="D13" i="4"/>
  <c r="C13" i="4"/>
  <c r="D8" i="4"/>
  <c r="C8" i="4"/>
  <c r="D7" i="4"/>
  <c r="C7" i="4"/>
  <c r="D108" i="1"/>
  <c r="C108" i="1"/>
  <c r="B108" i="1"/>
  <c r="D99" i="1"/>
  <c r="C99" i="1"/>
  <c r="B99" i="1"/>
  <c r="D44" i="3" l="1"/>
  <c r="D68" i="1"/>
  <c r="C68" i="1"/>
  <c r="B68" i="1"/>
  <c r="D61" i="1"/>
  <c r="C61" i="1"/>
  <c r="D31" i="4" s="1"/>
  <c r="B61" i="1"/>
  <c r="D56" i="1"/>
  <c r="E7" i="3" s="1"/>
  <c r="C56" i="1"/>
  <c r="B56" i="1"/>
  <c r="D47" i="1"/>
  <c r="C47" i="1"/>
  <c r="D23" i="4" s="1"/>
  <c r="B47" i="1"/>
  <c r="D42" i="1"/>
  <c r="C42" i="1"/>
  <c r="B42" i="1"/>
  <c r="D17" i="1"/>
  <c r="E45" i="4" s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48" i="1" l="1"/>
  <c r="C23" i="4"/>
  <c r="D15" i="4"/>
  <c r="D45" i="4"/>
  <c r="E43" i="3"/>
  <c r="E42" i="3" s="1"/>
  <c r="E27" i="3"/>
  <c r="E25" i="3"/>
  <c r="C8" i="3"/>
  <c r="C21" i="4"/>
  <c r="C5" i="3"/>
  <c r="C6" i="3"/>
  <c r="C14" i="3"/>
  <c r="C13" i="3" s="1"/>
  <c r="D6" i="3"/>
  <c r="D21" i="4"/>
  <c r="D5" i="3"/>
  <c r="D14" i="3"/>
  <c r="D13" i="3" s="1"/>
  <c r="D8" i="3"/>
  <c r="D43" i="3"/>
  <c r="D42" i="3" s="1"/>
  <c r="D27" i="3"/>
  <c r="D36" i="4"/>
  <c r="D25" i="3"/>
  <c r="C44" i="4"/>
  <c r="C9" i="4"/>
  <c r="C51" i="4"/>
  <c r="C11" i="3"/>
  <c r="C35" i="3"/>
  <c r="C43" i="4"/>
  <c r="C7" i="3"/>
  <c r="C28" i="4"/>
  <c r="C43" i="3"/>
  <c r="C42" i="3" s="1"/>
  <c r="C27" i="3"/>
  <c r="C36" i="4"/>
  <c r="C25" i="3"/>
  <c r="C40" i="4"/>
  <c r="C9" i="3"/>
  <c r="C10" i="3"/>
  <c r="E6" i="3"/>
  <c r="E8" i="3"/>
  <c r="E14" i="3"/>
  <c r="E13" i="3" s="1"/>
  <c r="E5" i="3"/>
  <c r="D9" i="4"/>
  <c r="D51" i="4"/>
  <c r="D11" i="3"/>
  <c r="D35" i="3"/>
  <c r="D44" i="4"/>
  <c r="D34" i="3"/>
  <c r="D43" i="4"/>
  <c r="E44" i="4"/>
  <c r="E11" i="3"/>
  <c r="E51" i="4"/>
  <c r="E35" i="3"/>
  <c r="E34" i="3"/>
  <c r="E43" i="4"/>
  <c r="D40" i="4"/>
  <c r="D10" i="3"/>
  <c r="D9" i="3"/>
  <c r="D7" i="3"/>
  <c r="D28" i="4"/>
  <c r="D13" i="1"/>
  <c r="E10" i="3"/>
  <c r="E40" i="4"/>
  <c r="E9" i="3"/>
  <c r="C45" i="4"/>
  <c r="C15" i="4"/>
  <c r="C31" i="4"/>
  <c r="B13" i="1"/>
  <c r="C13" i="1"/>
  <c r="B62" i="1"/>
  <c r="C62" i="1"/>
  <c r="D32" i="4" s="1"/>
  <c r="B18" i="1"/>
  <c r="C48" i="1"/>
  <c r="D62" i="1"/>
  <c r="D69" i="1" s="1"/>
  <c r="D48" i="1"/>
  <c r="E26" i="3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8" i="1" l="1"/>
  <c r="E41" i="4"/>
  <c r="E17" i="3"/>
  <c r="B20" i="1"/>
  <c r="B22" i="1" s="1"/>
  <c r="C46" i="4"/>
  <c r="C21" i="3"/>
  <c r="B69" i="1"/>
  <c r="C37" i="4" s="1"/>
  <c r="C32" i="4"/>
  <c r="C41" i="4"/>
  <c r="C10" i="4"/>
  <c r="C17" i="3"/>
  <c r="C12" i="3"/>
  <c r="C36" i="3"/>
  <c r="D24" i="4"/>
  <c r="D26" i="3"/>
  <c r="C18" i="1"/>
  <c r="D10" i="4"/>
  <c r="D17" i="3"/>
  <c r="D41" i="4"/>
  <c r="E12" i="3"/>
  <c r="E36" i="3"/>
  <c r="D12" i="3"/>
  <c r="D36" i="3"/>
  <c r="C34" i="3"/>
  <c r="C69" i="1"/>
  <c r="D37" i="4" s="1"/>
  <c r="C24" i="4"/>
  <c r="C26" i="3"/>
  <c r="A24" i="3"/>
  <c r="A25" i="3" s="1"/>
  <c r="A26" i="3" s="1"/>
  <c r="A27" i="3" s="1"/>
  <c r="A28" i="3" s="1"/>
  <c r="A29" i="3" s="1"/>
  <c r="A30" i="3" s="1"/>
  <c r="A33" i="3"/>
  <c r="B76" i="1" l="1"/>
  <c r="B91" i="1" s="1"/>
  <c r="C22" i="3"/>
  <c r="C50" i="4"/>
  <c r="C47" i="4"/>
  <c r="C37" i="3"/>
  <c r="C47" i="3"/>
  <c r="C49" i="3"/>
  <c r="C19" i="3"/>
  <c r="C48" i="3"/>
  <c r="C20" i="3"/>
  <c r="C20" i="1"/>
  <c r="C22" i="1" s="1"/>
  <c r="D21" i="3"/>
  <c r="D46" i="4"/>
  <c r="D20" i="1"/>
  <c r="D22" i="1" s="1"/>
  <c r="E21" i="3"/>
  <c r="E46" i="4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76" i="1" l="1"/>
  <c r="C91" i="1" s="1"/>
  <c r="D50" i="4"/>
  <c r="D22" i="3"/>
  <c r="D37" i="3"/>
  <c r="D47" i="3"/>
  <c r="D47" i="4"/>
  <c r="D49" i="3"/>
  <c r="C28" i="3"/>
  <c r="C29" i="3"/>
  <c r="C18" i="3"/>
  <c r="C50" i="3"/>
  <c r="E19" i="3"/>
  <c r="E48" i="3"/>
  <c r="E20" i="3"/>
  <c r="D19" i="3"/>
  <c r="D48" i="3"/>
  <c r="D20" i="3"/>
  <c r="D76" i="1"/>
  <c r="D91" i="1" s="1"/>
  <c r="E37" i="3"/>
  <c r="E49" i="3"/>
  <c r="E22" i="3"/>
  <c r="E50" i="4"/>
  <c r="E47" i="3"/>
  <c r="E47" i="4"/>
  <c r="B109" i="1"/>
  <c r="C31" i="3"/>
  <c r="C30" i="3" s="1"/>
  <c r="E29" i="3" l="1"/>
  <c r="E18" i="3"/>
  <c r="E28" i="3"/>
  <c r="E50" i="3"/>
  <c r="D29" i="3"/>
  <c r="D18" i="3"/>
  <c r="D28" i="3"/>
  <c r="D50" i="3"/>
  <c r="D109" i="1"/>
  <c r="E31" i="3"/>
  <c r="E30" i="3" s="1"/>
  <c r="C109" i="1"/>
  <c r="D31" i="3"/>
  <c r="D30" i="3" s="1"/>
</calcChain>
</file>

<file path=xl/sharedStrings.xml><?xml version="1.0" encoding="utf-8"?>
<sst xmlns="http://schemas.openxmlformats.org/spreadsheetml/2006/main" count="254" uniqueCount="167">
  <si>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</si>
  <si>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</si>
  <si>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</si>
  <si>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</si>
  <si>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</si>
  <si>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</si>
  <si>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</si>
  <si>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</si>
  <si>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</si>
  <si>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</si>
  <si>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</si>
  <si>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</si>
  <si>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</si>
  <si>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</si>
  <si>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</si>
  <si>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</si>
  <si>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</si>
  <si>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</si>
  <si>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</si>
  <si>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</si>
  <si>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</si>
  <si>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</si>
  <si>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</si>
  <si>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</si>
  <si>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</si>
  <si>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</si>
  <si>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</si>
  <si>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</si>
  <si>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</si>
  <si>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</si>
  <si>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</si>
  <si>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</si>
  <si>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</si>
  <si>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</si>
  <si>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</si>
  <si>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</si>
  <si>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</si>
  <si>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</si>
  <si>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</si>
  <si>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</si>
  <si>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</si>
  <si>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</si>
  <si>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</si>
  <si>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</si>
  <si>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</si>
  <si>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</si>
  <si>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</si>
  <si>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</si>
  <si>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</si>
  <si>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</si>
  <si>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</si>
  <si>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</si>
  <si>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</si>
  <si>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</si>
  <si>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</si>
  <si>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</si>
  <si>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</si>
  <si>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</si>
  <si>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</si>
  <si>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</si>
  <si>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</si>
  <si>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</si>
  <si>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</si>
  <si>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</si>
  <si>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</si>
  <si>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</si>
  <si>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</si>
  <si>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</si>
  <si>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</si>
  <si>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</si>
  <si>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</si>
  <si>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</si>
  <si>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</si>
  <si>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</si>
  <si>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</si>
  <si>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</si>
  <si>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</si>
  <si>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</si>
  <si>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</si>
  <si>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</si>
  <si>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</si>
  <si>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</si>
  <si>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</si>
  <si>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</si>
  <si>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</si>
  <si>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</si>
  <si>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</si>
  <si>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</si>
  <si>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</si>
  <si>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</si>
  <si>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</si>
  <si>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</si>
  <si>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</si>
  <si>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</si>
  <si>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</si>
  <si>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</si>
  <si>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</si>
  <si>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</si>
  <si>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</si>
  <si>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</si>
  <si>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</si>
  <si>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</si>
  <si>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</si>
  <si>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</si>
  <si>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</si>
  <si>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</si>
  <si>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</si>
  <si>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</si>
  <si>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</si>
  <si>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</si>
  <si>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</si>
  <si>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</si>
  <si>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</si>
  <si>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</si>
  <si>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</si>
  <si>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</si>
  <si>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</si>
  <si>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</si>
  <si>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</si>
  <si>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</si>
  <si>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</si>
  <si>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</si>
  <si>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</si>
  <si>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</si>
  <si>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</si>
  <si>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</si>
  <si>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</si>
  <si>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</si>
  <si>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</si>
  <si>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</si>
  <si>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</si>
  <si>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</si>
  <si>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</si>
  <si>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</si>
  <si>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</si>
  <si>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</si>
  <si>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</si>
  <si>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</si>
  <si>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</si>
  <si>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</si>
  <si>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</si>
  <si>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</si>
  <si>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</si>
  <si>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</si>
  <si>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</si>
  <si>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</si>
  <si>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</si>
  <si>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</si>
  <si>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</si>
  <si>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</si>
  <si>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Product Sales </t>
  </si>
  <si>
    <t>Services Sales</t>
  </si>
  <si>
    <t>Net Sales</t>
  </si>
  <si>
    <t>Growth Rates:</t>
  </si>
  <si>
    <t>Total Operating expenses</t>
  </si>
  <si>
    <t xml:space="preserve">Closing Price Nov 27th, 2023 </t>
  </si>
  <si>
    <t>Margins as a % of net sales</t>
  </si>
  <si>
    <t xml:space="preserve">Additional </t>
  </si>
  <si>
    <t>-</t>
  </si>
  <si>
    <t>Cash flow from operation - Capex + Net debt issuance (capex and debt issuance can be found in cash flow)</t>
  </si>
  <si>
    <t>Should be linked to Diluted EPS</t>
  </si>
  <si>
    <t>Denominator should be linked to Diluted No. of shares</t>
  </si>
  <si>
    <t xml:space="preserve"> Capital employed = Term debt + Total shareholder equity</t>
  </si>
  <si>
    <t xml:space="preserve">Market cap calculation should have Diluted no. of shares </t>
  </si>
  <si>
    <t>Remove 0.1*'Financial Statements'!D59 from formula</t>
  </si>
  <si>
    <t>Subtract Depreciation from operational expenses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</si>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</sst>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0.00_);\(0.00\)"/>
    <numFmt numFmtId="169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9" fontId="0" fillId="0" borderId="0" xfId="3" applyFont="1" applyBorder="1"/>
    <xf numFmtId="167" fontId="0" fillId="0" borderId="0" xfId="3" applyNumberFormat="1" applyFont="1" applyBorder="1"/>
    <xf numFmtId="168" fontId="0" fillId="0" borderId="0" xfId="0" applyNumberFormat="1"/>
    <xf numFmtId="168" fontId="2" fillId="0" borderId="0" xfId="0" applyNumberFormat="1" applyFont="1"/>
    <xf numFmtId="168" fontId="2" fillId="0" borderId="0" xfId="0" applyNumberFormat="1" applyFont="1" applyAlignment="1">
      <alignment horizontal="left"/>
    </xf>
    <xf numFmtId="168" fontId="2" fillId="0" borderId="0" xfId="3" applyNumberFormat="1" applyFont="1" applyBorder="1" applyAlignment="1">
      <alignment horizontal="left" indent="1"/>
    </xf>
    <xf numFmtId="168" fontId="0" fillId="0" borderId="0" xfId="3" applyNumberFormat="1" applyFont="1" applyBorder="1"/>
    <xf numFmtId="168" fontId="0" fillId="0" borderId="0" xfId="3" applyNumberFormat="1" applyFont="1" applyBorder="1" applyAlignment="1">
      <alignment horizontal="left" indent="1"/>
    </xf>
    <xf numFmtId="168" fontId="0" fillId="0" borderId="0" xfId="0" applyNumberFormat="1" applyAlignment="1">
      <alignment horizontal="left" indent="1"/>
    </xf>
    <xf numFmtId="168" fontId="2" fillId="0" borderId="0" xfId="3" applyNumberFormat="1" applyFont="1" applyBorder="1"/>
    <xf numFmtId="168" fontId="0" fillId="0" borderId="0" xfId="3" applyNumberFormat="1" applyFont="1" applyBorder="1" applyAlignment="1">
      <alignment horizontal="left" wrapText="1" indent="1"/>
    </xf>
    <xf numFmtId="169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 indent="1"/>
    </xf>
    <xf numFmtId="168" fontId="8" fillId="0" borderId="0" xfId="3" applyNumberFormat="1" applyFont="1" applyBorder="1" applyAlignment="1">
      <alignment horizontal="left" indent="1"/>
    </xf>
    <xf numFmtId="168" fontId="2" fillId="0" borderId="0" xfId="0" applyNumberFormat="1" applyFont="1" applyAlignment="1">
      <alignment horizontal="left" indent="1"/>
    </xf>
    <xf numFmtId="168" fontId="8" fillId="0" borderId="0" xfId="0" applyNumberFormat="1" applyFont="1" applyAlignment="1">
      <alignment horizontal="left" indent="1"/>
    </xf>
    <xf numFmtId="164" fontId="0" fillId="0" borderId="0" xfId="1" applyFont="1"/>
    <xf numFmtId="165" fontId="0" fillId="0" borderId="0" xfId="1" applyNumberFormat="1" applyFont="1" applyFill="1"/>
    <xf numFmtId="9" fontId="0" fillId="0" borderId="0" xfId="3" applyFont="1" applyAlignment="1">
      <alignment horizontal="center"/>
    </xf>
    <xf numFmtId="168" fontId="1" fillId="0" borderId="0" xfId="3" applyNumberFormat="1" applyFont="1" applyBorder="1"/>
    <xf numFmtId="168" fontId="1" fillId="0" borderId="0" xfId="3" applyNumberFormat="1" applyFont="1" applyBorder="1" applyAlignment="1">
      <alignment horizontal="left" indent="1"/>
    </xf>
    <xf numFmtId="168" fontId="1" fillId="0" borderId="0" xfId="3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2" fontId="9" fillId="0" borderId="0" xfId="0" applyNumberFormat="1" applyFont="1"/>
    <xf numFmtId="10" fontId="0" fillId="0" borderId="0" xfId="3" applyNumberFormat="1" applyFont="1"/>
    <xf numFmtId="0" fontId="10" fillId="0" borderId="0" xfId="4"/>
    <xf numFmtId="0" fontId="11" fillId="2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70540C5D-1F4A-4AAE-BE6E-8921CAA3608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9" workbookViewId="0">
      <selection activeCell="A109" sqref="A109"/>
    </sheetView>
  </sheetViews>
  <sheetFormatPr defaultColWidth="8.77734375" defaultRowHeight="14.4" x14ac:dyDescent="0.3"/>
  <cols>
    <col min="1" max="1" width="59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9" t="s">
        <v>1</v>
      </c>
      <c r="B2" s="49"/>
      <c r="C2" s="49"/>
      <c r="D2" s="49"/>
    </row>
    <row r="3" spans="1:10" x14ac:dyDescent="0.3">
      <c r="B3" s="48" t="s">
        <v>23</v>
      </c>
      <c r="C3" s="48"/>
      <c r="D3" s="4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49" t="s">
        <v>24</v>
      </c>
      <c r="B31" s="49"/>
      <c r="C31" s="49"/>
      <c r="D31" s="49"/>
    </row>
    <row r="32" spans="1:4" x14ac:dyDescent="0.3">
      <c r="B32" s="48" t="s">
        <v>142</v>
      </c>
      <c r="C32" s="48"/>
      <c r="D32" s="48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49" t="s">
        <v>55</v>
      </c>
      <c r="B71" s="49"/>
      <c r="C71" s="49"/>
      <c r="D71" s="49"/>
    </row>
    <row r="72" spans="1:4" x14ac:dyDescent="0.3">
      <c r="B72" s="48" t="s">
        <v>23</v>
      </c>
      <c r="C72" s="48"/>
      <c r="D72" s="48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2.6640625" bestFit="1" customWidth="1"/>
    <col min="4" max="5" width="12.77734375" bestFit="1" customWidth="1"/>
    <col min="6" max="6" width="40.5546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54" t="s">
        <v>166</v>
      </c>
      <c r="G1" s="19"/>
      <c r="H1" s="19"/>
      <c r="I1" s="19"/>
      <c r="J1" s="19"/>
    </row>
    <row r="2" spans="1:10" x14ac:dyDescent="0.3">
      <c r="C2" s="48" t="s">
        <v>23</v>
      </c>
      <c r="D2" s="48"/>
      <c r="E2" s="48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36">
        <f>'Financial Statements'!B42/'Financial Statements'!B56</f>
        <v>0.87935602862672257</v>
      </c>
      <c r="D5" s="36">
        <f>'Financial Statements'!C42/'Financial Statements'!C56</f>
        <v>1.0745531195957954</v>
      </c>
      <c r="E5" s="36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36">
        <f>('Financial Statements'!B42-'Financial Statements'!B39)/'Financial Statements'!B56</f>
        <v>0.84723539114961488</v>
      </c>
      <c r="D6" s="36">
        <f>('Financial Statements'!C42-'Financial Statements'!C39)/'Financial Statements'!C56</f>
        <v>1.0221149018576519</v>
      </c>
      <c r="E6" s="36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36">
        <f>'Financial Statements'!B36/'Financial Statements'!B56</f>
        <v>0.15356340351469652</v>
      </c>
      <c r="D7" s="36">
        <f>'Financial Statements'!C36/'Financial Statements'!C56</f>
        <v>0.27844853005634318</v>
      </c>
      <c r="E7" s="36">
        <f>'Financial Statements'!D36/'Financial Statements'!D56</f>
        <v>0.36071049035979963</v>
      </c>
    </row>
    <row r="8" spans="1:10" s="37" customFormat="1" x14ac:dyDescent="0.3">
      <c r="A8" s="37">
        <f t="shared" si="0"/>
        <v>1.4000000000000004</v>
      </c>
      <c r="B8" s="38" t="s">
        <v>103</v>
      </c>
      <c r="C8" s="37">
        <f>'Financial Statements'!B42/('Financial Statements'!B17/365)</f>
        <v>962.56354075372474</v>
      </c>
      <c r="D8" s="37">
        <f>'Financial Statements'!C42/('Financial Statements'!C17/365)</f>
        <v>1121.4058832911796</v>
      </c>
      <c r="E8" s="37">
        <f>'Financial Statements'!D42/('Financial Statements'!D17/365)</f>
        <v>1356.5543860556534</v>
      </c>
      <c r="F8" s="36" t="s">
        <v>165</v>
      </c>
    </row>
    <row r="9" spans="1:10" x14ac:dyDescent="0.3">
      <c r="A9" s="18">
        <f t="shared" si="0"/>
        <v>1.5000000000000004</v>
      </c>
      <c r="B9" s="1" t="s">
        <v>104</v>
      </c>
      <c r="C9" s="37">
        <f>365*((('Financial Statements'!B39+'Financial Statements'!C39)/2)/'Financial Statements'!B12)</f>
        <v>9.4096740715557434</v>
      </c>
      <c r="D9" s="37">
        <f>365*((('Financial Statements'!C39+'Financial Statements'!D39)/2)/'Financial Statements'!C12)</f>
        <v>9.1181020842234748</v>
      </c>
      <c r="E9" s="37">
        <f>365*((('Financial Statements'!D39)/'Financial Statements'!D12))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37">
        <f>365*((('Financial Statements'!B51+'Financial Statements'!C51)/2)/'Financial Statements'!B12)</f>
        <v>97.050428099809452</v>
      </c>
      <c r="D10" s="37">
        <f>365*((('Financial Statements'!C51+'Financial Statements'!D51)/2)/'Financial Statements'!C12)</f>
        <v>83.168299050150011</v>
      </c>
      <c r="E10" s="37">
        <f>365*((('Financial Statements'!D51)/'Financial Statements'!D12))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37">
        <f>365*((('Financial Statements'!B38+'Financial Statements'!C38)/2)/'Financial Statements'!B8)</f>
        <v>25.205704388225033</v>
      </c>
      <c r="D11" s="37">
        <f>365*((('Financial Statements'!C38+'Financial Statements'!D38)/2)/'Financial Statements'!C8)</f>
        <v>21.151655062503931</v>
      </c>
      <c r="E11" s="37">
        <f>365*((('Financial Statements'!D38)/'Financial Statements'!D8))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37">
        <f>C9+C11-C10</f>
        <v>-62.435049640028673</v>
      </c>
      <c r="D12" s="37">
        <f t="shared" ref="D12:E12" si="1">D9+D11-D10</f>
        <v>-52.898541903422604</v>
      </c>
      <c r="E12" s="37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3">
      <c r="A14" s="18"/>
      <c r="B14" s="3" t="s">
        <v>109</v>
      </c>
      <c r="C14" s="42">
        <f>'Financial Statements'!B42-'Financial Statements'!B56</f>
        <v>-18577</v>
      </c>
      <c r="D14" s="42">
        <f>'Financial Statements'!C42-'Financial Statements'!C56</f>
        <v>9355</v>
      </c>
      <c r="E14" s="42">
        <f>'Financial Statements'!D42-'Financial Statements'!D56</f>
        <v>38321</v>
      </c>
    </row>
    <row r="15" spans="1:10" x14ac:dyDescent="0.3">
      <c r="A15" s="18"/>
      <c r="C15" s="37"/>
      <c r="D15" s="37"/>
      <c r="E15" s="37"/>
    </row>
    <row r="16" spans="1:10" x14ac:dyDescent="0.3">
      <c r="A16" s="18">
        <f>+A4+1</f>
        <v>2</v>
      </c>
      <c r="B16" s="17" t="s">
        <v>110</v>
      </c>
      <c r="C16" s="36"/>
      <c r="D16" s="36"/>
      <c r="E16" s="36"/>
    </row>
    <row r="17" spans="1:6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6" x14ac:dyDescent="0.3">
      <c r="A19" s="18"/>
      <c r="B19" s="3" t="s">
        <v>112</v>
      </c>
      <c r="C19" s="37">
        <f>C21+'Financial Statements'!B79</f>
        <v>130541</v>
      </c>
      <c r="D19" s="37">
        <f>D21+'Financial Statements'!C79</f>
        <v>120233</v>
      </c>
      <c r="E19" s="37">
        <f>E21+'Financial Statements'!D79</f>
        <v>77344</v>
      </c>
    </row>
    <row r="20" spans="1:6" x14ac:dyDescent="0.3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6" x14ac:dyDescent="0.3">
      <c r="A21" s="18"/>
      <c r="B21" s="3" t="s">
        <v>114</v>
      </c>
      <c r="C21" s="37">
        <f>'Financial Statements'!B18</f>
        <v>119437</v>
      </c>
      <c r="D21" s="37">
        <f>'Financial Statements'!C18</f>
        <v>108949</v>
      </c>
      <c r="E21" s="37">
        <f>'Financial Statements'!D18</f>
        <v>66288</v>
      </c>
    </row>
    <row r="22" spans="1:6" x14ac:dyDescent="0.3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3">
      <c r="A23" s="18"/>
      <c r="C23" s="36"/>
      <c r="D23" s="36"/>
      <c r="E23" s="36"/>
    </row>
    <row r="24" spans="1:6" x14ac:dyDescent="0.3">
      <c r="A24" s="18">
        <f>+A16+1</f>
        <v>3</v>
      </c>
      <c r="B24" s="7" t="s">
        <v>116</v>
      </c>
      <c r="C24" s="36"/>
      <c r="D24" s="36"/>
      <c r="E24" s="36"/>
    </row>
    <row r="25" spans="1:6" x14ac:dyDescent="0.3">
      <c r="A25" s="18">
        <f>+A24+0.1</f>
        <v>3.1</v>
      </c>
      <c r="B25" s="1" t="s">
        <v>117</v>
      </c>
      <c r="C25" s="36">
        <f>('Financial Statements'!B55+'Financial Statements'!B59)/'Financial Statements'!B68</f>
        <v>2.1725410483107042</v>
      </c>
      <c r="D25" s="36">
        <f>('Financial Statements'!C55+'Financial Statements'!C59)/'Financial Statements'!C68</f>
        <v>1.8817403708987162</v>
      </c>
      <c r="E25" s="36">
        <f>('Financial Statements'!D55+'Financial Statements'!D59)/'Financial Statements'!D68</f>
        <v>1.6443471739696047</v>
      </c>
    </row>
    <row r="26" spans="1:6" x14ac:dyDescent="0.3">
      <c r="A26" s="18">
        <f t="shared" ref="A26:A30" si="2">+A25+0.1</f>
        <v>3.2</v>
      </c>
      <c r="B26" s="1" t="s">
        <v>118</v>
      </c>
      <c r="C26" s="36">
        <f>('Financial Statements'!B55+'Financial Statements'!B59)/'Financial Statements'!B48</f>
        <v>0.31207778769967826</v>
      </c>
      <c r="D26" s="36">
        <f>('Financial Statements'!C55+'Financial Statements'!C59)/'Financial Statements'!C48</f>
        <v>0.33822884200090025</v>
      </c>
      <c r="E26" s="36">
        <f>('Financial Statements'!D55+'Financial Statements'!D59)/'Financial Statements'!D48</f>
        <v>0.33171960677765155</v>
      </c>
    </row>
    <row r="27" spans="1:6" x14ac:dyDescent="0.3">
      <c r="A27" s="18">
        <f t="shared" si="2"/>
        <v>3.3000000000000003</v>
      </c>
      <c r="B27" s="1" t="s">
        <v>119</v>
      </c>
      <c r="C27" s="36">
        <f>'Financial Statements'!B59/('Financial Statements'!B59+'Financial Statements'!B68)</f>
        <v>0.66135359651409131</v>
      </c>
      <c r="D27" s="36">
        <f>'Financial Statements'!C59/('Financial Statements'!C59+'Financial Statements'!C68)</f>
        <v>0.63361518269878514</v>
      </c>
      <c r="E27" s="36">
        <f>'Financial Statements'!D59/('Financial Statements'!D59+'Financial Statements'!D68)</f>
        <v>0.60160603880345842</v>
      </c>
    </row>
    <row r="28" spans="1:6" x14ac:dyDescent="0.3">
      <c r="A28" s="18">
        <f t="shared" si="2"/>
        <v>3.4000000000000004</v>
      </c>
      <c r="B28" s="1" t="s">
        <v>120</v>
      </c>
      <c r="C28" s="36">
        <f>C19/-'Financial Statements'!B105</f>
        <v>13.679241328722624</v>
      </c>
      <c r="D28" s="36">
        <f>D19/-'Financial Statements'!C105</f>
        <v>13.740914285714286</v>
      </c>
      <c r="E28" s="36">
        <f>E19/-'Financial Statements'!D105</f>
        <v>6.1243170480639799</v>
      </c>
      <c r="F28" s="51" t="s">
        <v>164</v>
      </c>
    </row>
    <row r="29" spans="1:6" x14ac:dyDescent="0.3">
      <c r="A29" s="18">
        <f t="shared" si="2"/>
        <v>3.5000000000000004</v>
      </c>
      <c r="B29" s="1" t="s">
        <v>121</v>
      </c>
      <c r="C29" s="36">
        <f>C19/('Financial Statements'!B114+'Financial Statements'!B113+'Financial Statements'!B96+0.1*'Financial Statements'!B59)</f>
        <v>6.0363268118321081</v>
      </c>
      <c r="D29" s="36">
        <f>D19/('Financial Statements'!C114+'Financial Statements'!C113+'Financial Statements'!C96+0.1*'Financial Statements'!C59)</f>
        <v>4.3097972585455384</v>
      </c>
      <c r="E29" s="36">
        <f>E19/('Financial Statements'!D114+'Financial Statements'!D113+'Financial Statements'!D96+0.1*'Financial Statements'!D59)</f>
        <v>5.1354850704150534</v>
      </c>
      <c r="F29" s="51" t="s">
        <v>164</v>
      </c>
    </row>
    <row r="30" spans="1:6" x14ac:dyDescent="0.3">
      <c r="A30" s="18">
        <f t="shared" si="2"/>
        <v>3.6000000000000005</v>
      </c>
      <c r="B30" s="1" t="s">
        <v>122</v>
      </c>
      <c r="C30" s="36">
        <f>(C31/'Financial Statements'!B27)*1000</f>
        <v>6.8724256462598001</v>
      </c>
      <c r="D30" s="36">
        <f>(D31/'Financial Statements'!C27)*1000</f>
        <v>5.56562398361035</v>
      </c>
      <c r="E30" s="36">
        <f>(E31/'Financial Statements'!D27)*1000</f>
        <v>4.2280138811864996</v>
      </c>
    </row>
    <row r="31" spans="1:6" x14ac:dyDescent="0.3">
      <c r="A31" s="18"/>
      <c r="B31" s="3" t="s">
        <v>123</v>
      </c>
      <c r="C31" s="43">
        <f>'Financial Statements'!B91+'Financial Statements'!B96</f>
        <v>111443</v>
      </c>
      <c r="D31" s="43">
        <f>'Financial Statements'!C91+'Financial Statements'!C96</f>
        <v>92953</v>
      </c>
      <c r="E31" s="43">
        <f>'Financial Statements'!D91+'Financial Statements'!D96</f>
        <v>73365</v>
      </c>
      <c r="F31" t="s">
        <v>159</v>
      </c>
    </row>
    <row r="32" spans="1:6" x14ac:dyDescent="0.3">
      <c r="A32" s="18"/>
      <c r="C32" s="36"/>
      <c r="D32" s="36"/>
      <c r="E32" s="36"/>
    </row>
    <row r="33" spans="1:6" x14ac:dyDescent="0.3">
      <c r="A33" s="18">
        <f>+A24+1</f>
        <v>4</v>
      </c>
      <c r="B33" s="17" t="s">
        <v>124</v>
      </c>
      <c r="C33" s="36"/>
      <c r="D33" s="36"/>
      <c r="E33" s="36"/>
    </row>
    <row r="34" spans="1:6" x14ac:dyDescent="0.3">
      <c r="A34" s="18">
        <f>+A33+0.1</f>
        <v>4.0999999999999996</v>
      </c>
      <c r="B34" s="1" t="s">
        <v>125</v>
      </c>
      <c r="C34" s="18">
        <f>'Financial Statements'!B8/(AVERAGE('Financial Statements'!B48:C48))</f>
        <v>1.1206368107173357</v>
      </c>
      <c r="D34" s="18">
        <f>'Financial Statements'!C8/(AVERAGE('Financial Statements'!C48:D48))</f>
        <v>1.084078886929722</v>
      </c>
      <c r="E34" s="18">
        <f>'Financial Statements'!D8/(AVERAGE('Financial Statements'!D48:E48))</f>
        <v>0.84756150274168851</v>
      </c>
    </row>
    <row r="35" spans="1:6" x14ac:dyDescent="0.3">
      <c r="A35" s="18">
        <f t="shared" ref="A35:A37" si="3">+A34+0.1</f>
        <v>4.1999999999999993</v>
      </c>
      <c r="B35" s="1" t="s">
        <v>126</v>
      </c>
      <c r="C35" s="18">
        <f>'Financial Statements'!B8/AVERAGE('Financial Statements'!B45:C45)</f>
        <v>9.6699976703409884</v>
      </c>
      <c r="D35" s="18">
        <f>'Financial Statements'!C8/AVERAGE('Financial Statements'!C45:D45)</f>
        <v>9.6007400992047867</v>
      </c>
      <c r="E35" s="18">
        <f>'Financial Statements'!D8/AVERAGE('Financial Statements'!D45:E45)</f>
        <v>7.4665451776097482</v>
      </c>
    </row>
    <row r="36" spans="1:6" x14ac:dyDescent="0.3">
      <c r="A36" s="18">
        <f t="shared" si="3"/>
        <v>4.2999999999999989</v>
      </c>
      <c r="B36" s="1" t="s">
        <v>127</v>
      </c>
      <c r="C36" s="18">
        <f>1/(C9/365)</f>
        <v>38.789866389033484</v>
      </c>
      <c r="D36" s="18">
        <f t="shared" ref="D36:E36" si="4">1/(D9/365)</f>
        <v>40.030260313880277</v>
      </c>
      <c r="E36" s="18">
        <f t="shared" si="4"/>
        <v>41.753016498399411</v>
      </c>
    </row>
    <row r="37" spans="1:6" x14ac:dyDescent="0.3">
      <c r="A37" s="18">
        <f t="shared" si="3"/>
        <v>4.3999999999999986</v>
      </c>
      <c r="B37" s="1" t="s">
        <v>128</v>
      </c>
      <c r="C37" s="36">
        <f>'Financial Statements'!B22/'Financial Statements'!B48</f>
        <v>0.28292440929256851</v>
      </c>
      <c r="D37" s="36">
        <f>'Financial Statements'!C22/'Financial Statements'!C48</f>
        <v>0.26974205275183616</v>
      </c>
      <c r="E37" s="36">
        <f>'Financial Statements'!D22/'Financial Statements'!D48</f>
        <v>0.1772557180259843</v>
      </c>
    </row>
    <row r="38" spans="1:6" x14ac:dyDescent="0.3">
      <c r="A38" s="18"/>
      <c r="C38" s="36"/>
      <c r="D38" s="36"/>
      <c r="E38" s="36"/>
    </row>
    <row r="39" spans="1:6" x14ac:dyDescent="0.3">
      <c r="A39" s="18">
        <f>+A33+1</f>
        <v>5</v>
      </c>
      <c r="B39" s="17" t="s">
        <v>129</v>
      </c>
      <c r="C39" s="36"/>
      <c r="D39" s="36"/>
      <c r="E39" s="36"/>
    </row>
    <row r="40" spans="1:6" x14ac:dyDescent="0.3">
      <c r="A40" s="18">
        <f>+A39+0.1</f>
        <v>5.0999999999999996</v>
      </c>
      <c r="B40" s="1" t="s">
        <v>130</v>
      </c>
      <c r="C40" s="18">
        <f>$C$53/C41</f>
        <v>30.874796747967476</v>
      </c>
      <c r="D40" s="18">
        <f t="shared" ref="D40:E40" si="5">$C$53/D41</f>
        <v>33.488536155202823</v>
      </c>
      <c r="E40" s="18">
        <f t="shared" si="5"/>
        <v>57.365558912386703</v>
      </c>
    </row>
    <row r="41" spans="1:6" x14ac:dyDescent="0.3">
      <c r="A41" s="18">
        <f t="shared" ref="A41:A44" si="6">+A40+0.1</f>
        <v>5.1999999999999993</v>
      </c>
      <c r="B41" s="3" t="s">
        <v>131</v>
      </c>
      <c r="C41" s="36">
        <f>'Financial Statements'!B24</f>
        <v>6.15</v>
      </c>
      <c r="D41" s="36">
        <f>'Financial Statements'!C24</f>
        <v>5.67</v>
      </c>
      <c r="E41" s="36">
        <f>'Financial Statements'!D24</f>
        <v>3.31</v>
      </c>
      <c r="F41" t="s">
        <v>160</v>
      </c>
    </row>
    <row r="42" spans="1:6" x14ac:dyDescent="0.3">
      <c r="A42" s="18">
        <f t="shared" si="6"/>
        <v>5.2999999999999989</v>
      </c>
      <c r="B42" s="1" t="s">
        <v>132</v>
      </c>
      <c r="C42" s="18">
        <f>$C$53/C43</f>
        <v>60.765058699873698</v>
      </c>
      <c r="D42" s="18">
        <f t="shared" ref="D42:E42" si="7">$C$53/D43</f>
        <v>50.265296043113018</v>
      </c>
      <c r="E42" s="18">
        <f t="shared" si="7"/>
        <v>50.42655008065627</v>
      </c>
    </row>
    <row r="43" spans="1:6" x14ac:dyDescent="0.3">
      <c r="A43" s="18">
        <f t="shared" si="6"/>
        <v>5.3999999999999986</v>
      </c>
      <c r="B43" s="3" t="s">
        <v>133</v>
      </c>
      <c r="C43" s="36">
        <f>('Financial Statements'!B68/'Financial Statements'!B27)*1000</f>
        <v>3.124822127430853</v>
      </c>
      <c r="D43" s="36">
        <f>('Financial Statements'!C68/'Financial Statements'!C27)*1000</f>
        <v>3.7775565837141025</v>
      </c>
      <c r="E43" s="36">
        <f>('Financial Statements'!D68/'Financial Statements'!D27)*1000</f>
        <v>3.765476712094932</v>
      </c>
      <c r="F43" t="s">
        <v>161</v>
      </c>
    </row>
    <row r="44" spans="1:6" x14ac:dyDescent="0.3">
      <c r="A44" s="18">
        <f t="shared" si="6"/>
        <v>5.4999999999999982</v>
      </c>
      <c r="B44" s="1" t="s">
        <v>134</v>
      </c>
      <c r="C44" s="36">
        <f>C45/'Financial Statements'!B24</f>
        <v>0.14881451886066324</v>
      </c>
      <c r="D44" s="36">
        <f>D45/'Financial Statements'!C24</f>
        <v>0.15277274199029781</v>
      </c>
      <c r="E44" s="36">
        <f>E45/'Financial Statements'!D24</f>
        <v>0.24516190500128213</v>
      </c>
    </row>
    <row r="45" spans="1:6" x14ac:dyDescent="0.3">
      <c r="A45" s="18"/>
      <c r="B45" s="3" t="s">
        <v>135</v>
      </c>
      <c r="C45" s="36">
        <f>(-'Financial Statements'!B102/'Financial Statements'!B27)*1000</f>
        <v>0.91520929099307891</v>
      </c>
      <c r="D45" s="36">
        <f>(-'Financial Statements'!C102/'Financial Statements'!C27)*1000</f>
        <v>0.86622144708498849</v>
      </c>
      <c r="E45" s="36">
        <f>(-'Financial Statements'!D102/'Financial Statements'!D27)*1000</f>
        <v>0.81148590555424382</v>
      </c>
      <c r="F45" t="s">
        <v>161</v>
      </c>
    </row>
    <row r="46" spans="1:6" x14ac:dyDescent="0.3">
      <c r="A46" s="18">
        <f>+A44+0.1</f>
        <v>5.5999999999999979</v>
      </c>
      <c r="B46" s="1" t="s">
        <v>136</v>
      </c>
      <c r="C46" s="35">
        <f>C45/$C$53</f>
        <v>4.8199351748108221E-3</v>
      </c>
      <c r="D46" s="35">
        <f t="shared" ref="D46:E46" si="8">D45/$C$53</f>
        <v>4.5619414740098408E-3</v>
      </c>
      <c r="E46" s="52">
        <f t="shared" si="8"/>
        <v>4.2736776150950279E-3</v>
      </c>
    </row>
    <row r="47" spans="1:6" x14ac:dyDescent="0.3">
      <c r="A47" s="18">
        <f t="shared" ref="A47:A50" si="9">+A45+0.1</f>
        <v>0.1</v>
      </c>
      <c r="B47" s="1" t="s">
        <v>137</v>
      </c>
      <c r="C47" s="36">
        <f>'Financial Statements'!B22/'Financial Statements'!B68</f>
        <v>1.9695887275023682</v>
      </c>
      <c r="D47" s="36">
        <f>'Financial Statements'!C22/'Financial Statements'!C68</f>
        <v>1.5007132667617689</v>
      </c>
      <c r="E47" s="36">
        <f>'Financial Statements'!D22/'Financial Statements'!D68</f>
        <v>0.87866358530127486</v>
      </c>
    </row>
    <row r="48" spans="1:6" x14ac:dyDescent="0.3">
      <c r="A48" s="18">
        <f t="shared" si="9"/>
        <v>5.6999999999999975</v>
      </c>
      <c r="B48" s="1" t="s">
        <v>138</v>
      </c>
      <c r="C48" s="36">
        <f>C21/('Financial Statements'!B48-'Financial Statements'!B56)</f>
        <v>0.60087134570590572</v>
      </c>
      <c r="D48" s="36">
        <f>D21/('Financial Statements'!C48-'Financial Statements'!C56)</f>
        <v>0.48309913489209433</v>
      </c>
      <c r="E48" s="36">
        <f>E21/('Financial Statements'!D48-'Financial Statements'!D56)</f>
        <v>0.30338312829525482</v>
      </c>
      <c r="F48" s="53" t="s">
        <v>162</v>
      </c>
    </row>
    <row r="49" spans="1:6" x14ac:dyDescent="0.3">
      <c r="A49" s="18">
        <f t="shared" si="9"/>
        <v>0.2</v>
      </c>
      <c r="B49" s="1" t="s">
        <v>128</v>
      </c>
      <c r="C49" s="36">
        <f>'Financial Statements'!B22/'Financial Statements'!B48</f>
        <v>0.28292440929256851</v>
      </c>
      <c r="D49" s="36">
        <f>'Financial Statements'!C22/'Financial Statements'!C48</f>
        <v>0.26974205275183616</v>
      </c>
      <c r="E49" s="36">
        <f>'Financial Statements'!D22/'Financial Statements'!D48</f>
        <v>0.1772557180259843</v>
      </c>
    </row>
    <row r="50" spans="1:6" x14ac:dyDescent="0.3">
      <c r="A50" s="18">
        <f t="shared" si="9"/>
        <v>5.7999999999999972</v>
      </c>
      <c r="B50" s="1" t="s">
        <v>139</v>
      </c>
      <c r="C50" s="36">
        <f>C51/C19</f>
        <v>24.249301402930882</v>
      </c>
      <c r="D50" s="36">
        <f t="shared" ref="D50:E50" si="10">D51/D19</f>
        <v>27.072571817720593</v>
      </c>
      <c r="E50" s="36">
        <f t="shared" si="10"/>
        <v>43.497160163942901</v>
      </c>
    </row>
    <row r="51" spans="1:6" x14ac:dyDescent="0.3">
      <c r="A51" s="18"/>
      <c r="B51" s="3" t="s">
        <v>140</v>
      </c>
      <c r="C51" s="12">
        <f>($C$53*'Financial Statements'!B27/1000)+'Financial Statements'!B55+'Financial Statements'!B59-'Financial Statements'!B36</f>
        <v>3165528.0544400001</v>
      </c>
      <c r="D51" s="12">
        <f>($C$53*'Financial Statements'!C27/1000)+'Financial Statements'!C55+'Financial Statements'!C59-'Financial Statements'!C36</f>
        <v>3255016.5273600002</v>
      </c>
      <c r="E51" s="12">
        <f>($C$53*'Financial Statements'!D27/1000)+'Financial Statements'!D55+'Financial Statements'!D59-'Financial Statements'!D36</f>
        <v>3364244.3557199999</v>
      </c>
      <c r="F51" t="s">
        <v>163</v>
      </c>
    </row>
    <row r="53" spans="1:6" x14ac:dyDescent="0.3">
      <c r="B53" s="1" t="s">
        <v>155</v>
      </c>
      <c r="C53">
        <v>189.88</v>
      </c>
    </row>
  </sheetData>
  <mergeCells count="1">
    <mergeCell ref="C2:E2"/>
  </mergeCells>
  <pageMargins left="0.7" right="0.7" top="0.75" bottom="0.75" header="0.3" footer="0.3"/>
  <ignoredErrors>
    <ignoredError sqref="C19:E19 C41:E41" formula="1"/>
    <ignoredError sqref="C35:E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9548-8F03-B440-BBE4-CED49A4FB46E}">
  <dimension ref="A1:L59"/>
  <sheetViews>
    <sheetView workbookViewId="0">
      <selection activeCell="D7" sqref="D7"/>
    </sheetView>
  </sheetViews>
  <sheetFormatPr defaultColWidth="10.77734375" defaultRowHeight="14.4" x14ac:dyDescent="0.3"/>
  <cols>
    <col min="1" max="1" width="5.44140625" style="18" customWidth="1"/>
    <col min="2" max="2" width="49.6640625" style="26" customWidth="1"/>
    <col min="3" max="7" width="10.77734375" style="26"/>
    <col min="8" max="8" width="28" style="26" customWidth="1"/>
    <col min="9" max="9" width="10.33203125" style="26" customWidth="1"/>
    <col min="10" max="16384" width="10.77734375" style="26"/>
  </cols>
  <sheetData>
    <row r="1" spans="1:12" customFormat="1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2" x14ac:dyDescent="0.3">
      <c r="C2" s="50" t="s">
        <v>23</v>
      </c>
      <c r="D2" s="50"/>
      <c r="E2" s="50"/>
    </row>
    <row r="3" spans="1:12" x14ac:dyDescent="0.3">
      <c r="C3" s="7">
        <v>2022</v>
      </c>
      <c r="D3" s="7">
        <v>2021</v>
      </c>
      <c r="E3" s="7">
        <v>2020</v>
      </c>
    </row>
    <row r="4" spans="1:12" x14ac:dyDescent="0.3">
      <c r="C4" s="27"/>
      <c r="D4" s="27"/>
      <c r="E4" s="27"/>
    </row>
    <row r="5" spans="1:12" x14ac:dyDescent="0.3">
      <c r="B5" s="28"/>
    </row>
    <row r="6" spans="1:12" x14ac:dyDescent="0.3">
      <c r="A6" s="18">
        <v>1</v>
      </c>
      <c r="B6" s="29" t="s">
        <v>153</v>
      </c>
      <c r="C6" s="30"/>
      <c r="D6" s="30"/>
    </row>
    <row r="7" spans="1:12" x14ac:dyDescent="0.3">
      <c r="A7" s="18">
        <v>1.1000000000000001</v>
      </c>
      <c r="B7" s="31" t="s">
        <v>150</v>
      </c>
      <c r="C7" s="24">
        <f>('Financial Statements'!B6-'Financial Statements'!C6)/'Financial Statements'!C6</f>
        <v>6.3239764351428418E-2</v>
      </c>
      <c r="D7" s="24">
        <f>('Financial Statements'!C6-'Financial Statements'!D6)/'Financial Statements'!D6</f>
        <v>0.34720743656765435</v>
      </c>
      <c r="E7" s="44" t="s">
        <v>158</v>
      </c>
    </row>
    <row r="8" spans="1:12" x14ac:dyDescent="0.3">
      <c r="A8" s="18">
        <v>1.2</v>
      </c>
      <c r="B8" s="31" t="s">
        <v>151</v>
      </c>
      <c r="C8" s="24">
        <f>('Financial Statements'!B7-'Financial Statements'!C7)/'Financial Statements'!C7</f>
        <v>0.14181951041286078</v>
      </c>
      <c r="D8" s="24">
        <f>('Financial Statements'!C7-'Financial Statements'!D7)/'Financial Statements'!D7</f>
        <v>0.27259708376729652</v>
      </c>
      <c r="E8" s="44" t="s">
        <v>158</v>
      </c>
    </row>
    <row r="9" spans="1:12" x14ac:dyDescent="0.3">
      <c r="A9" s="18">
        <v>1.3</v>
      </c>
      <c r="B9" s="31" t="s">
        <v>152</v>
      </c>
      <c r="C9" s="24">
        <f>('Financial Statements'!B8-'Financial Statements'!C8)/'Financial Statements'!C8</f>
        <v>7.7937876041846058E-2</v>
      </c>
      <c r="D9" s="24">
        <f>('Financial Statements'!C8-'Financial Statements'!D8)/'Financial Statements'!D8</f>
        <v>0.33259384733074693</v>
      </c>
      <c r="E9" s="44" t="s">
        <v>158</v>
      </c>
    </row>
    <row r="10" spans="1:12" x14ac:dyDescent="0.3">
      <c r="A10" s="18">
        <v>1.4</v>
      </c>
      <c r="B10" s="31" t="s">
        <v>89</v>
      </c>
      <c r="C10" s="24">
        <f>('Financial Statements'!B13-'Financial Statements'!C13)/'Financial Statements'!C13</f>
        <v>0.11741997958596143</v>
      </c>
      <c r="D10" s="24">
        <f>('Financial Statements'!C13-'Financial Statements'!D13)/'Financial Statements'!D13</f>
        <v>0.45619116582186819</v>
      </c>
      <c r="E10" s="44" t="s">
        <v>158</v>
      </c>
    </row>
    <row r="11" spans="1:12" x14ac:dyDescent="0.3">
      <c r="B11" s="31"/>
      <c r="C11" s="24"/>
      <c r="D11" s="24"/>
      <c r="E11" s="44"/>
    </row>
    <row r="12" spans="1:12" x14ac:dyDescent="0.3">
      <c r="B12" s="39" t="s">
        <v>90</v>
      </c>
      <c r="C12" s="24"/>
      <c r="D12" s="24"/>
      <c r="E12" s="44" t="s">
        <v>158</v>
      </c>
      <c r="J12" s="27"/>
      <c r="K12" s="27"/>
      <c r="L12" s="27"/>
    </row>
    <row r="13" spans="1:12" x14ac:dyDescent="0.3">
      <c r="A13" s="18">
        <v>1.5</v>
      </c>
      <c r="B13" s="31" t="s">
        <v>11</v>
      </c>
      <c r="C13" s="24">
        <f>'Financial Statements'!B15/'Financial Statements'!C15-1</f>
        <v>0.19791001186456136</v>
      </c>
      <c r="D13" s="24">
        <f>'Financial Statements'!C15/'Financial Statements'!D15-1</f>
        <v>0.16862201365187723</v>
      </c>
      <c r="E13" s="44" t="s">
        <v>158</v>
      </c>
    </row>
    <row r="14" spans="1:12" x14ac:dyDescent="0.3">
      <c r="A14" s="18">
        <v>1.6</v>
      </c>
      <c r="B14" s="31" t="s">
        <v>12</v>
      </c>
      <c r="C14" s="24">
        <f>'Financial Statements'!B16/'Financial Statements'!C16-1</f>
        <v>0.14203795567287125</v>
      </c>
      <c r="D14" s="24">
        <f>'Financial Statements'!C16/'Financial Statements'!D16-1</f>
        <v>0.10328379192608961</v>
      </c>
      <c r="E14" s="44" t="s">
        <v>158</v>
      </c>
    </row>
    <row r="15" spans="1:12" x14ac:dyDescent="0.3">
      <c r="A15" s="18">
        <v>1.7</v>
      </c>
      <c r="B15" s="30" t="s">
        <v>154</v>
      </c>
      <c r="C15" s="24">
        <f>'Financial Statements'!B17/'Financial Statements'!C17-1</f>
        <v>0.16993642764372141</v>
      </c>
      <c r="D15" s="24">
        <f>'Financial Statements'!C17/'Financial Statements'!D17-1</f>
        <v>0.13496948381090301</v>
      </c>
      <c r="E15" s="44" t="s">
        <v>158</v>
      </c>
      <c r="H15" s="32"/>
      <c r="I15" s="32"/>
    </row>
    <row r="16" spans="1:12" x14ac:dyDescent="0.3">
      <c r="B16" s="30"/>
      <c r="C16" s="24"/>
      <c r="D16" s="24"/>
      <c r="E16" s="44"/>
      <c r="H16" s="32"/>
      <c r="I16" s="32"/>
    </row>
    <row r="17" spans="1:9" x14ac:dyDescent="0.3">
      <c r="B17" s="39" t="s">
        <v>91</v>
      </c>
      <c r="C17" s="24"/>
      <c r="D17" s="24"/>
      <c r="E17" s="44" t="s">
        <v>158</v>
      </c>
    </row>
    <row r="18" spans="1:9" x14ac:dyDescent="0.3">
      <c r="A18" s="18">
        <v>1.8</v>
      </c>
      <c r="B18" s="31" t="s">
        <v>26</v>
      </c>
      <c r="C18" s="24">
        <f>'Financial Statements'!B36/'Financial Statements'!C36-1</f>
        <v>-0.32323983972524328</v>
      </c>
      <c r="D18" s="24">
        <f>'Financial Statements'!C36/'Financial Statements'!D36-1</f>
        <v>-8.0913299663299632E-2</v>
      </c>
      <c r="E18" s="44" t="s">
        <v>158</v>
      </c>
    </row>
    <row r="19" spans="1:9" x14ac:dyDescent="0.3">
      <c r="A19" s="18">
        <v>1.9</v>
      </c>
      <c r="B19" s="31" t="s">
        <v>28</v>
      </c>
      <c r="C19" s="24">
        <f>'Financial Statements'!B38/'Financial Statements'!C38-1</f>
        <v>7.2532156176269069E-2</v>
      </c>
      <c r="D19" s="24">
        <f>'Financial Statements'!C38/'Financial Statements'!D38-1</f>
        <v>0.63014888337468977</v>
      </c>
      <c r="E19" s="44" t="s">
        <v>158</v>
      </c>
      <c r="H19" s="32"/>
      <c r="I19" s="32"/>
    </row>
    <row r="20" spans="1:9" x14ac:dyDescent="0.3">
      <c r="A20" s="36">
        <v>1.1000000000000001</v>
      </c>
      <c r="B20" s="31" t="s">
        <v>29</v>
      </c>
      <c r="C20" s="24">
        <f>'Financial Statements'!B39/'Financial Statements'!C39-1</f>
        <v>-0.2483282674772036</v>
      </c>
      <c r="D20" s="24">
        <f>'Financial Statements'!C39/'Financial Statements'!D39-1</f>
        <v>0.62029056882541256</v>
      </c>
      <c r="E20" s="44" t="s">
        <v>158</v>
      </c>
      <c r="H20" s="32"/>
      <c r="I20" s="32"/>
    </row>
    <row r="21" spans="1:9" x14ac:dyDescent="0.3">
      <c r="A21" s="36">
        <v>1.1100000000000001</v>
      </c>
      <c r="B21" s="45" t="s">
        <v>31</v>
      </c>
      <c r="C21" s="25">
        <f>'Financial Statements'!B42/'Financial Statements'!C42-1</f>
        <v>4.2199412619774446E-3</v>
      </c>
      <c r="D21" s="24">
        <f>'Financial Statements'!C42/'Financial Statements'!D42-1</f>
        <v>-6.1768942266879123E-2</v>
      </c>
      <c r="E21" s="44" t="s">
        <v>158</v>
      </c>
    </row>
    <row r="22" spans="1:9" x14ac:dyDescent="0.3">
      <c r="A22" s="36">
        <v>1.1200000000000001</v>
      </c>
      <c r="B22" s="46" t="s">
        <v>32</v>
      </c>
      <c r="C22" s="24">
        <f>'Financial Statements'!B45/'Financial Statements'!C45-1</f>
        <v>6.7875253549695813E-2</v>
      </c>
      <c r="D22" s="24">
        <f>'Financial Statements'!C45/'Financial Statements'!D45-1</f>
        <v>7.2730239895555604E-2</v>
      </c>
      <c r="E22" s="44" t="s">
        <v>158</v>
      </c>
    </row>
    <row r="23" spans="1:9" x14ac:dyDescent="0.3">
      <c r="A23" s="36">
        <v>1.1299999999999999</v>
      </c>
      <c r="B23" s="45" t="s">
        <v>50</v>
      </c>
      <c r="C23" s="24">
        <f>'Financial Statements'!B47/'Financial Statements'!C47-1</f>
        <v>5.477272096444441E-3</v>
      </c>
      <c r="D23" s="24">
        <f>'Financial Statements'!C47/'Financial Statements'!D47-1</f>
        <v>0.19975579297904811</v>
      </c>
      <c r="E23" s="44" t="s">
        <v>158</v>
      </c>
      <c r="H23" s="32"/>
      <c r="I23" s="32"/>
    </row>
    <row r="24" spans="1:9" x14ac:dyDescent="0.3">
      <c r="A24" s="36">
        <v>1.1399999999999999</v>
      </c>
      <c r="B24" s="45" t="s">
        <v>33</v>
      </c>
      <c r="C24" s="25">
        <f>'Financial Statements'!B48/'Financial Statements'!C48-1</f>
        <v>4.994273536902849E-3</v>
      </c>
      <c r="D24" s="24">
        <f>'Financial Statements'!C48/'Financial Statements'!D48-1</f>
        <v>8.3714123400681739E-2</v>
      </c>
      <c r="E24" s="44" t="s">
        <v>158</v>
      </c>
    </row>
    <row r="25" spans="1:9" x14ac:dyDescent="0.3">
      <c r="H25" s="32"/>
      <c r="I25" s="32"/>
    </row>
    <row r="26" spans="1:9" x14ac:dyDescent="0.3">
      <c r="A26" s="36">
        <v>1.1499999999999999</v>
      </c>
      <c r="B26" s="46" t="s">
        <v>35</v>
      </c>
      <c r="C26" s="24">
        <f>'Financial Statements'!B51/'Financial Statements'!C51-1</f>
        <v>0.17077223672917841</v>
      </c>
      <c r="D26" s="24">
        <f>'Financial Statements'!C51/'Financial Statements'!D51-1</f>
        <v>0.29475600529600898</v>
      </c>
      <c r="E26" s="44" t="s">
        <v>158</v>
      </c>
    </row>
    <row r="27" spans="1:9" x14ac:dyDescent="0.3">
      <c r="A27" s="36">
        <v>1.1599999999999999</v>
      </c>
      <c r="B27" s="46" t="s">
        <v>39</v>
      </c>
      <c r="C27" s="24">
        <f>'Financial Statements'!B55/'Financial Statements'!C55-1</f>
        <v>0.157599084572974</v>
      </c>
      <c r="D27" s="24">
        <f>'Financial Statements'!C55/'Financial Statements'!D55-1</f>
        <v>9.5748318705118018E-2</v>
      </c>
      <c r="E27" s="44" t="s">
        <v>158</v>
      </c>
    </row>
    <row r="28" spans="1:9" x14ac:dyDescent="0.3">
      <c r="A28" s="36">
        <v>1.17</v>
      </c>
      <c r="B28" s="45" t="s">
        <v>40</v>
      </c>
      <c r="C28" s="24">
        <f>'Financial Statements'!B56/'Financial Statements'!C56-1</f>
        <v>0.22713398841258825</v>
      </c>
      <c r="D28" s="24">
        <f>'Financial Statements'!C56/'Financial Statements'!D56-1</f>
        <v>0.19061219067860935</v>
      </c>
      <c r="E28" s="44" t="s">
        <v>158</v>
      </c>
    </row>
    <row r="29" spans="1:9" x14ac:dyDescent="0.3">
      <c r="A29" s="36">
        <v>1.18</v>
      </c>
      <c r="B29" s="46" t="s">
        <v>39</v>
      </c>
      <c r="C29" s="24">
        <f>'Financial Statements'!B59/'Financial Statements'!C59-1</f>
        <v>-9.3001301486627663E-2</v>
      </c>
      <c r="D29" s="24">
        <f>'Financial Statements'!C59/'Financial Statements'!D59-1</f>
        <v>0.10580031824216807</v>
      </c>
      <c r="E29" s="44" t="s">
        <v>158</v>
      </c>
    </row>
    <row r="30" spans="1:9" x14ac:dyDescent="0.3">
      <c r="A30" s="36">
        <v>1.19</v>
      </c>
      <c r="B30" s="46" t="s">
        <v>52</v>
      </c>
      <c r="C30" s="24">
        <f>'Financial Statements'!B60/'Financial Statements'!C60-1</f>
        <v>-7.8443506797937212E-2</v>
      </c>
      <c r="D30" s="24">
        <f>'Financial Statements'!C60/'Financial Statements'!D60-1</f>
        <v>-2.1380069737566565E-2</v>
      </c>
      <c r="E30" s="44" t="s">
        <v>158</v>
      </c>
    </row>
    <row r="31" spans="1:9" x14ac:dyDescent="0.3">
      <c r="A31" s="36">
        <v>1.2</v>
      </c>
      <c r="B31" s="47" t="s">
        <v>53</v>
      </c>
      <c r="C31" s="24">
        <f>'Financial Statements'!B61/'Financial Statements'!C61-1</f>
        <v>-8.8222075835277747E-2</v>
      </c>
      <c r="D31" s="24">
        <f>'Financial Statements'!C61/'Financial Statements'!D61-1</f>
        <v>6.0552243775994663E-2</v>
      </c>
      <c r="E31" s="44" t="s">
        <v>158</v>
      </c>
    </row>
    <row r="32" spans="1:9" x14ac:dyDescent="0.3">
      <c r="A32" s="36">
        <v>1.21</v>
      </c>
      <c r="B32" s="45" t="s">
        <v>41</v>
      </c>
      <c r="C32" s="24">
        <f>'Financial Statements'!B62/'Financial Statements'!C62-1</f>
        <v>4.9219900525160565E-2</v>
      </c>
      <c r="D32" s="24">
        <f>'Financial Statements'!C62/'Financial Statements'!D62-1</f>
        <v>0.11356841449783217</v>
      </c>
      <c r="E32" s="44" t="s">
        <v>158</v>
      </c>
      <c r="H32" s="32"/>
      <c r="I32" s="32"/>
    </row>
    <row r="33" spans="1:9" x14ac:dyDescent="0.3">
      <c r="A33" s="36"/>
      <c r="B33" s="33"/>
      <c r="C33" s="24"/>
      <c r="D33" s="24"/>
      <c r="E33" s="44"/>
      <c r="H33" s="32"/>
      <c r="I33" s="32"/>
    </row>
    <row r="34" spans="1:9" ht="43.2" x14ac:dyDescent="0.3">
      <c r="A34" s="36">
        <v>1.22</v>
      </c>
      <c r="B34" s="34" t="s">
        <v>54</v>
      </c>
      <c r="C34" s="24">
        <f>'Financial Statements'!B65/'Financial Statements'!C65-1</f>
        <v>0.13046282576483925</v>
      </c>
      <c r="D34" s="24">
        <f>'Financial Statements'!C65/'Financial Statements'!D65-1</f>
        <v>0.12969928513755691</v>
      </c>
      <c r="E34" s="44" t="s">
        <v>158</v>
      </c>
      <c r="H34" s="32"/>
      <c r="I34" s="32"/>
    </row>
    <row r="35" spans="1:9" x14ac:dyDescent="0.3">
      <c r="A35" s="36">
        <v>1.23</v>
      </c>
      <c r="B35" s="31" t="s">
        <v>43</v>
      </c>
      <c r="C35" s="24">
        <f>'Financial Statements'!B66/'Financial Statements'!C66-1</f>
        <v>-1.5516001438331535</v>
      </c>
      <c r="D35" s="24">
        <f>'Financial Statements'!C66/'Financial Statements'!D66-1</f>
        <v>-0.62835761058399031</v>
      </c>
      <c r="E35" s="44" t="s">
        <v>158</v>
      </c>
      <c r="H35" s="32"/>
      <c r="I35" s="32"/>
    </row>
    <row r="36" spans="1:9" x14ac:dyDescent="0.3">
      <c r="A36" s="36">
        <v>1.24</v>
      </c>
      <c r="B36" s="45" t="s">
        <v>45</v>
      </c>
      <c r="C36" s="24">
        <f>'Financial Statements'!B68/'Financial Statements'!C68-1</f>
        <v>-0.19682992550324929</v>
      </c>
      <c r="D36" s="24">
        <f>'Financial Statements'!C68/'Financial Statements'!D68-1</f>
        <v>-3.4420483937617652E-2</v>
      </c>
      <c r="E36" s="44" t="s">
        <v>158</v>
      </c>
    </row>
    <row r="37" spans="1:9" x14ac:dyDescent="0.3">
      <c r="A37" s="36">
        <v>1.25</v>
      </c>
      <c r="B37" s="45" t="s">
        <v>46</v>
      </c>
      <c r="C37" s="25">
        <f>'Financial Statements'!B69/'Financial Statements'!C69-1</f>
        <v>4.994273536902849E-3</v>
      </c>
      <c r="D37" s="24">
        <f>'Financial Statements'!C69/'Financial Statements'!D69-1</f>
        <v>8.3714123400681739E-2</v>
      </c>
      <c r="E37" s="44" t="s">
        <v>158</v>
      </c>
    </row>
    <row r="38" spans="1:9" x14ac:dyDescent="0.3">
      <c r="B38" s="27"/>
      <c r="C38" s="23"/>
      <c r="D38" s="23"/>
      <c r="E38" s="23"/>
    </row>
    <row r="39" spans="1:9" x14ac:dyDescent="0.3">
      <c r="A39" s="18">
        <v>2</v>
      </c>
      <c r="B39" s="28" t="s">
        <v>156</v>
      </c>
      <c r="C39" s="23"/>
      <c r="D39" s="23"/>
      <c r="E39" s="23"/>
    </row>
    <row r="40" spans="1:9" x14ac:dyDescent="0.3">
      <c r="A40" s="18">
        <v>2.1</v>
      </c>
      <c r="B40" s="32" t="s">
        <v>146</v>
      </c>
      <c r="C40" s="23">
        <f>'Financial Statements'!B12/'Financial Statements'!B8</f>
        <v>0.56690369438639909</v>
      </c>
      <c r="D40" s="23">
        <f>'Financial Statements'!C12/'Financial Statements'!C8</f>
        <v>0.58220640374832222</v>
      </c>
      <c r="E40" s="23">
        <f>'Financial Statements'!D12/'Financial Statements'!D8</f>
        <v>0.61766752272189129</v>
      </c>
      <c r="H40" s="32"/>
      <c r="I40" s="32"/>
    </row>
    <row r="41" spans="1:9" x14ac:dyDescent="0.3">
      <c r="A41" s="18">
        <v>2.2000000000000002</v>
      </c>
      <c r="B41" s="32" t="s">
        <v>89</v>
      </c>
      <c r="C41" s="23">
        <f>'Financial Statements'!B13/'Financial Statements'!B8</f>
        <v>0.43309630561360085</v>
      </c>
      <c r="D41" s="23">
        <f>'Financial Statements'!C13/'Financial Statements'!C8</f>
        <v>0.41779359625167778</v>
      </c>
      <c r="E41" s="23">
        <f>'Financial Statements'!D13/'Financial Statements'!D8</f>
        <v>0.38233247727810865</v>
      </c>
    </row>
    <row r="42" spans="1:9" x14ac:dyDescent="0.3">
      <c r="B42" s="41" t="s">
        <v>90</v>
      </c>
      <c r="C42" s="23"/>
      <c r="D42" s="23"/>
      <c r="E42" s="23"/>
    </row>
    <row r="43" spans="1:9" x14ac:dyDescent="0.3">
      <c r="A43" s="18">
        <v>2.2999999999999998</v>
      </c>
      <c r="B43" s="31" t="s">
        <v>11</v>
      </c>
      <c r="C43" s="23">
        <f>'Financial Statements'!B15/'Financial Statements'!B$8</f>
        <v>6.657148363798665E-2</v>
      </c>
      <c r="D43" s="23">
        <f>'Financial Statements'!C15/'Financial Statements'!C$8</f>
        <v>5.9904269074427925E-2</v>
      </c>
      <c r="E43" s="23">
        <f>'Financial Statements'!D15/'Financial Statements'!D$8</f>
        <v>6.8309564140393061E-2</v>
      </c>
    </row>
    <row r="44" spans="1:9" x14ac:dyDescent="0.3">
      <c r="A44" s="18">
        <v>2.4</v>
      </c>
      <c r="B44" s="31" t="s">
        <v>12</v>
      </c>
      <c r="C44" s="23">
        <f>'Financial Statements'!B16/'Financial Statements'!B$8</f>
        <v>6.3637378020328261E-2</v>
      </c>
      <c r="D44" s="23">
        <f>'Financial Statements'!C16/'Financial Statements'!C$8</f>
        <v>6.006555190163388E-2</v>
      </c>
      <c r="E44" s="23">
        <f>'Financial Statements'!D16/'Financial Statements'!D$8</f>
        <v>7.2549769593646979E-2</v>
      </c>
    </row>
    <row r="45" spans="1:9" x14ac:dyDescent="0.3">
      <c r="A45" s="18">
        <v>2.5</v>
      </c>
      <c r="B45" s="30" t="s">
        <v>154</v>
      </c>
      <c r="C45" s="23">
        <f>'Financial Statements'!B17/'Financial Statements'!B$8</f>
        <v>0.13020886165831491</v>
      </c>
      <c r="D45" s="23">
        <f>'Financial Statements'!C17/'Financial Statements'!C$8</f>
        <v>0.11996982097606181</v>
      </c>
      <c r="E45" s="23">
        <f>'Financial Statements'!D17/'Financial Statements'!D$8</f>
        <v>0.14085933373404003</v>
      </c>
    </row>
    <row r="46" spans="1:9" x14ac:dyDescent="0.3">
      <c r="A46" s="18">
        <v>2.6</v>
      </c>
      <c r="B46" s="32" t="s">
        <v>14</v>
      </c>
      <c r="C46" s="23">
        <f>'Financial Statements'!B18/'Financial Statements'!B$8</f>
        <v>0.30288744395528594</v>
      </c>
      <c r="D46" s="23">
        <f>'Financial Statements'!C18/'Financial Statements'!C$8</f>
        <v>0.29782377527561593</v>
      </c>
      <c r="E46" s="23">
        <f>'Financial Statements'!D18/'Financial Statements'!D$8</f>
        <v>0.24147314354406862</v>
      </c>
    </row>
    <row r="47" spans="1:9" x14ac:dyDescent="0.3">
      <c r="A47" s="18">
        <v>2.7</v>
      </c>
      <c r="B47" s="32" t="s">
        <v>93</v>
      </c>
      <c r="C47" s="23">
        <f>'Financial Statements'!B22/'Financial Statements'!B8</f>
        <v>0.25309640705199732</v>
      </c>
      <c r="D47" s="23">
        <f>'Financial Statements'!C22/'Financial Statements'!C8</f>
        <v>0.25881793355694238</v>
      </c>
      <c r="E47" s="23">
        <f>'Financial Statements'!D22/'Financial Statements'!D8</f>
        <v>0.20913611278072236</v>
      </c>
    </row>
    <row r="48" spans="1:9" x14ac:dyDescent="0.3">
      <c r="B48" s="32"/>
      <c r="C48" s="23"/>
      <c r="D48" s="23"/>
      <c r="E48" s="23"/>
    </row>
    <row r="49" spans="1:9" x14ac:dyDescent="0.3">
      <c r="A49" s="18">
        <v>3</v>
      </c>
      <c r="B49" s="40" t="s">
        <v>157</v>
      </c>
      <c r="C49" s="23"/>
      <c r="D49" s="23"/>
      <c r="E49" s="23"/>
      <c r="H49" s="32"/>
    </row>
    <row r="50" spans="1:9" x14ac:dyDescent="0.3">
      <c r="A50" s="18">
        <v>3.1</v>
      </c>
      <c r="B50" s="32" t="s">
        <v>94</v>
      </c>
      <c r="C50" s="23">
        <f>'Financial Statements'!B21/'Financial Statements'!B22</f>
        <v>0.19338096049216957</v>
      </c>
      <c r="D50" s="23">
        <f>'Financial Statements'!C21/'Financial Statements'!C22</f>
        <v>0.15343261512463033</v>
      </c>
      <c r="E50" s="23">
        <f>'Financial Statements'!D21/'Financial Statements'!D22</f>
        <v>0.16860880319102611</v>
      </c>
    </row>
    <row r="51" spans="1:9" x14ac:dyDescent="0.3">
      <c r="A51" s="18">
        <v>3.2</v>
      </c>
      <c r="B51" s="32" t="s">
        <v>95</v>
      </c>
      <c r="C51" s="23">
        <f>'Financial Statements'!B96/'Financial Statements'!B8</f>
        <v>-2.7155058732831552E-2</v>
      </c>
      <c r="D51" s="23">
        <f>'Financial Statements'!C96/'Financial Statements'!C8</f>
        <v>-3.0302036264033657E-2</v>
      </c>
      <c r="E51" s="23">
        <f>'Financial Statements'!D96/'Financial Statements'!D8</f>
        <v>-2.6625138881299748E-2</v>
      </c>
    </row>
    <row r="52" spans="1:9" x14ac:dyDescent="0.3">
      <c r="A52" s="18">
        <v>3.3</v>
      </c>
      <c r="B52" s="32" t="s">
        <v>96</v>
      </c>
      <c r="C52" s="23">
        <f>'Financial Statements'!B96/'Financial Statements'!B45</f>
        <v>-0.25424412944891611</v>
      </c>
      <c r="D52" s="23">
        <f>'Financial Statements'!C96/'Financial Statements'!C45</f>
        <v>-0.28105983772819471</v>
      </c>
      <c r="E52" s="23">
        <f>'Financial Statements'!D96/'Financial Statements'!D45</f>
        <v>-0.19879780231735844</v>
      </c>
      <c r="H52" s="32"/>
      <c r="I52" s="32"/>
    </row>
    <row r="59" spans="1:9" x14ac:dyDescent="0.3">
      <c r="H59" s="32"/>
      <c r="I59" s="3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2023-11-28T18:54:55Z</dcterms:modified>
</cp:coreProperties>
</file>