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833F462A-1BD4-41EE-9234-21D8E7349121}" xr6:coauthVersionLast="47" xr6:coauthVersionMax="47" xr10:uidLastSave="{00000000-0000-0000-0000-000000000000}"/>
  <bookViews>
    <workbookView xWindow="-108" yWindow="-108" windowWidth="23256" windowHeight="13896" tabRatio="500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95" i="3" l="1"/>
  <c r="C95" i="3"/>
  <c r="D93" i="3"/>
  <c r="C93" i="3"/>
  <c r="D92" i="3"/>
  <c r="C92" i="3"/>
  <c r="D91" i="3"/>
  <c r="C91" i="3"/>
  <c r="D90" i="3"/>
  <c r="C90" i="3"/>
  <c r="D89" i="3"/>
  <c r="C89" i="3"/>
  <c r="D88" i="3"/>
  <c r="C88" i="3"/>
  <c r="D85" i="3"/>
  <c r="C85" i="3"/>
  <c r="D83" i="3"/>
  <c r="C83" i="3"/>
  <c r="C80" i="3"/>
  <c r="C77" i="3"/>
  <c r="C76" i="3"/>
  <c r="C74" i="3"/>
  <c r="C73" i="3"/>
  <c r="C72" i="3"/>
  <c r="C70" i="3"/>
  <c r="C69" i="3"/>
  <c r="C68" i="3"/>
  <c r="C67" i="3"/>
  <c r="C66" i="3"/>
  <c r="C65" i="3"/>
  <c r="C64" i="3"/>
  <c r="C63" i="3"/>
  <c r="C62" i="3"/>
  <c r="C59" i="3"/>
  <c r="C57" i="3"/>
  <c r="C56" i="3"/>
  <c r="C55" i="3"/>
  <c r="D49" i="3"/>
  <c r="C49" i="3"/>
  <c r="A49" i="3"/>
  <c r="D48" i="3"/>
  <c r="C48" i="3"/>
  <c r="D47" i="3"/>
  <c r="C47" i="3"/>
  <c r="A47" i="3"/>
  <c r="D43" i="3"/>
  <c r="C43" i="3"/>
  <c r="D42" i="3"/>
  <c r="C42" i="3"/>
  <c r="D41" i="3"/>
  <c r="C41" i="3"/>
  <c r="D40" i="3"/>
  <c r="C40" i="3"/>
  <c r="D37" i="3"/>
  <c r="C37" i="3"/>
  <c r="D36" i="3"/>
  <c r="C36" i="3"/>
  <c r="D35" i="3"/>
  <c r="C35" i="3"/>
  <c r="D26" i="3"/>
  <c r="C26" i="3"/>
  <c r="D25" i="3"/>
  <c r="C25" i="3"/>
  <c r="D22" i="3"/>
  <c r="C22" i="3"/>
  <c r="D21" i="3"/>
  <c r="C21" i="3"/>
  <c r="D20" i="3"/>
  <c r="C20" i="3"/>
  <c r="D19" i="3"/>
  <c r="C19" i="3"/>
  <c r="D18" i="3"/>
  <c r="A16" i="3"/>
  <c r="A17" i="3" s="1"/>
  <c r="A18" i="3" s="1"/>
  <c r="A20" i="3" s="1"/>
  <c r="A22" i="3" s="1"/>
  <c r="D14" i="3"/>
  <c r="C14" i="3"/>
  <c r="D13" i="3"/>
  <c r="C13" i="3"/>
  <c r="D11" i="3"/>
  <c r="D12" i="3" s="1"/>
  <c r="C11" i="3"/>
  <c r="C12" i="3" s="1"/>
  <c r="D10" i="3"/>
  <c r="C10" i="3"/>
  <c r="D9" i="3"/>
  <c r="C9" i="3"/>
  <c r="D6" i="3"/>
  <c r="C6" i="3"/>
  <c r="A6" i="3"/>
  <c r="A7" i="3" s="1"/>
  <c r="A8" i="3" s="1"/>
  <c r="A9" i="3" s="1"/>
  <c r="A10" i="3" s="1"/>
  <c r="A11" i="3" s="1"/>
  <c r="A12" i="3" s="1"/>
  <c r="A13" i="3" s="1"/>
  <c r="D5" i="3"/>
  <c r="C5" i="3"/>
  <c r="A5" i="3"/>
  <c r="C127" i="2"/>
  <c r="B127" i="2"/>
  <c r="C117" i="2"/>
  <c r="B117" i="2"/>
  <c r="C105" i="2"/>
  <c r="D98" i="3" s="1"/>
  <c r="B105" i="2"/>
  <c r="C98" i="3" s="1"/>
  <c r="C97" i="2"/>
  <c r="H8" i="2" s="1"/>
  <c r="D30" i="3" s="1"/>
  <c r="B97" i="2"/>
  <c r="G8" i="2" s="1"/>
  <c r="C30" i="3" s="1"/>
  <c r="C60" i="2"/>
  <c r="B60" i="2"/>
  <c r="C59" i="2"/>
  <c r="B59" i="2"/>
  <c r="C50" i="2"/>
  <c r="D34" i="3" s="1"/>
  <c r="B50" i="2"/>
  <c r="C34" i="3" s="1"/>
  <c r="H27" i="2"/>
  <c r="G27" i="2"/>
  <c r="C79" i="3" s="1"/>
  <c r="H22" i="2"/>
  <c r="H25" i="2" s="1"/>
  <c r="G22" i="2"/>
  <c r="G25" i="2" s="1"/>
  <c r="H21" i="2"/>
  <c r="G21" i="2"/>
  <c r="H19" i="2"/>
  <c r="G19" i="2"/>
  <c r="H17" i="2"/>
  <c r="G17" i="2"/>
  <c r="G18" i="2" s="1"/>
  <c r="H12" i="2"/>
  <c r="G12" i="2"/>
  <c r="H10" i="2"/>
  <c r="D27" i="3" s="1"/>
  <c r="G10" i="2"/>
  <c r="C27" i="3" s="1"/>
  <c r="C10" i="2"/>
  <c r="D84" i="3" s="1"/>
  <c r="B10" i="2"/>
  <c r="C84" i="3" s="1"/>
  <c r="H7" i="2"/>
  <c r="G7" i="2"/>
  <c r="C18" i="3" s="1"/>
  <c r="H6" i="2"/>
  <c r="D29" i="3" s="1"/>
  <c r="G6" i="2"/>
  <c r="C29" i="3" s="1"/>
  <c r="D51" i="3" l="1"/>
  <c r="D50" i="3" s="1"/>
  <c r="D8" i="3"/>
  <c r="C51" i="3"/>
  <c r="C50" i="3" s="1"/>
  <c r="C8" i="3"/>
  <c r="G24" i="2"/>
  <c r="H24" i="2"/>
  <c r="D31" i="3"/>
  <c r="C86" i="3"/>
  <c r="C31" i="3"/>
  <c r="D86" i="3"/>
  <c r="C96" i="3"/>
  <c r="J7" i="2"/>
  <c r="C28" i="3"/>
  <c r="D96" i="3"/>
  <c r="C17" i="3"/>
  <c r="D17" i="3"/>
  <c r="K7" i="2"/>
  <c r="A24" i="3"/>
  <c r="D28" i="3"/>
  <c r="C97" i="3"/>
  <c r="C60" i="3"/>
  <c r="C7" i="3"/>
  <c r="D7" i="3"/>
  <c r="D97" i="3"/>
  <c r="A25" i="3" l="1"/>
  <c r="A26" i="3" s="1"/>
  <c r="A27" i="3" s="1"/>
  <c r="A28" i="3" s="1"/>
  <c r="A29" i="3" s="1"/>
  <c r="A30" i="3" s="1"/>
  <c r="A33" i="3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<sst xmlns="http://schemas.openxmlformats.org/spreadsheetml/2006/main" count="272" uniqueCount="233">
  <si>
    <t>Instructions</t>
  </si>
  <si>
    <t>Perform a management report, analyzing the financial health of Amazon Inc. based on its recent two annual reports (2022 &amp; 2021).</t>
  </si>
  <si>
    <t>Please refer to the below website in order to download the company financial statements:</t>
  </si>
  <si>
    <t>https://ir.aboutamazon.com/annual-reports-proxies-and-shareholder-letters/default.aspx</t>
  </si>
  <si>
    <t>Please input the three financial statements in the format from previous task, attached here in the second tab</t>
  </si>
  <si>
    <t>Perform the calculations on tab three similar to previous task.</t>
  </si>
  <si>
    <t>You are required write up a 1-2 page report commenting on the financial health of Amazon Inc. based on the ratios you have calculated, addressing the five key topics mentioned in the ratios tab.</t>
  </si>
  <si>
    <t>You are free to use any additional publicly available information/ news articles whilst mentioning the sources at the end page</t>
  </si>
  <si>
    <t>However make sure you have covered the five key topics in the ratio analysis</t>
  </si>
  <si>
    <t>Formats:</t>
  </si>
  <si>
    <t>The report should be submitted as a word document</t>
  </si>
  <si>
    <t>The supporting calculations should be submitted in excel document as same as the previous task.</t>
  </si>
  <si>
    <t>Company name</t>
  </si>
  <si>
    <t>(In millions, except number of shares which are reflected in thousands and per share amounts)</t>
  </si>
  <si>
    <t>CONSOLIDATED STATEMENTS OF OPERATIONS</t>
  </si>
  <si>
    <t xml:space="preserve">Years ended </t>
  </si>
  <si>
    <t xml:space="preserve"> Net sales:</t>
  </si>
  <si>
    <t xml:space="preserve">    Product   </t>
  </si>
  <si>
    <t>EBIT</t>
  </si>
  <si>
    <t xml:space="preserve">    Services </t>
  </si>
  <si>
    <t>EBITDA</t>
  </si>
  <si>
    <t>Total net sales</t>
  </si>
  <si>
    <t>FCFE</t>
  </si>
  <si>
    <t>Total cost of sales</t>
  </si>
  <si>
    <t>Gross Profits</t>
  </si>
  <si>
    <t>Capital employed</t>
  </si>
  <si>
    <t>Operating expenses:</t>
  </si>
  <si>
    <t xml:space="preserve">     Fulfillment</t>
  </si>
  <si>
    <t>Total capitalization</t>
  </si>
  <si>
    <t xml:space="preserve">     Technology and content  </t>
  </si>
  <si>
    <t xml:space="preserve">     Marketing  </t>
  </si>
  <si>
    <t>Share price</t>
  </si>
  <si>
    <t xml:space="preserve">     General and administrative  </t>
  </si>
  <si>
    <t xml:space="preserve">     Other operating expense (income), net </t>
  </si>
  <si>
    <t>Total operating expenses</t>
  </si>
  <si>
    <t>Net Working Capital =</t>
  </si>
  <si>
    <t xml:space="preserve">     Operating income </t>
  </si>
  <si>
    <t xml:space="preserve">                         Change:</t>
  </si>
  <si>
    <t xml:space="preserve">     Interest income </t>
  </si>
  <si>
    <t>Net Borrowing</t>
  </si>
  <si>
    <t xml:space="preserve">     Interest expense</t>
  </si>
  <si>
    <t xml:space="preserve">     Other income (expense), net </t>
  </si>
  <si>
    <t xml:space="preserve">     Total non-operating income (expense) </t>
  </si>
  <si>
    <t>Non cash charges</t>
  </si>
  <si>
    <t>Income before provision for income taxes</t>
  </si>
  <si>
    <t xml:space="preserve">     Provision for income taxes </t>
  </si>
  <si>
    <t>Annual Operating Exp</t>
  </si>
  <si>
    <t xml:space="preserve">     Equity-method investment activity, net of tax </t>
  </si>
  <si>
    <t>Daily Operational Exp</t>
  </si>
  <si>
    <t>Net income</t>
  </si>
  <si>
    <t>Interest + debt Repayments</t>
  </si>
  <si>
    <t xml:space="preserve">     Basic earnings per share </t>
  </si>
  <si>
    <t xml:space="preserve">     Diluted earnings per share</t>
  </si>
  <si>
    <t xml:space="preserve"> Weighted-average shares used in computation of earnings per share:</t>
  </si>
  <si>
    <t xml:space="preserve">      Basic</t>
  </si>
  <si>
    <t xml:space="preserve">      Diluted</t>
  </si>
  <si>
    <t>CONSOLIDATED BALANCE SHEETS</t>
  </si>
  <si>
    <t xml:space="preserve">As at </t>
  </si>
  <si>
    <t>Current assets:</t>
  </si>
  <si>
    <t xml:space="preserve">    Cash and cash equivalents</t>
  </si>
  <si>
    <t xml:space="preserve">    Marketable securities</t>
  </si>
  <si>
    <t xml:space="preserve">       Inventories</t>
  </si>
  <si>
    <t xml:space="preserve">       Accounts receivable, net and other </t>
  </si>
  <si>
    <t xml:space="preserve"> Total current assets </t>
  </si>
  <si>
    <t xml:space="preserve">    Property and equipment,  </t>
  </si>
  <si>
    <t xml:space="preserve">    Operating leases </t>
  </si>
  <si>
    <t xml:space="preserve">       Goodwill </t>
  </si>
  <si>
    <t xml:space="preserve">       Other assets  </t>
  </si>
  <si>
    <t xml:space="preserve"> Total non current assets</t>
  </si>
  <si>
    <t xml:space="preserve"> Total assets  </t>
  </si>
  <si>
    <t xml:space="preserve">   Current liabilities: </t>
  </si>
  <si>
    <t xml:space="preserve">   Accounts payable  </t>
  </si>
  <si>
    <t xml:space="preserve">   Accrued expenses and other</t>
  </si>
  <si>
    <t xml:space="preserve">   Unearned revenue  </t>
  </si>
  <si>
    <t xml:space="preserve"> Total current liabilities</t>
  </si>
  <si>
    <t xml:space="preserve">   Long-term lease liabilities   </t>
  </si>
  <si>
    <t xml:space="preserve">      Long-term debt  </t>
  </si>
  <si>
    <t xml:space="preserve">  Other long-term liabilities  </t>
  </si>
  <si>
    <t xml:space="preserve"> Total non current liabilities</t>
  </si>
  <si>
    <t xml:space="preserve"> Total liabilities</t>
  </si>
  <si>
    <t>Preferred stock, $0.01 par value:</t>
  </si>
  <si>
    <t xml:space="preserve">    Authorized shares — 500</t>
  </si>
  <si>
    <t xml:space="preserve">    Issued and outstanding shares — none —</t>
  </si>
  <si>
    <t xml:space="preserve">      Common stock, $0.01 par value:</t>
  </si>
  <si>
    <t xml:space="preserve">      Authorized shares — 100,000</t>
  </si>
  <si>
    <t xml:space="preserve">      Issued shares —  10,644 and 10,757</t>
  </si>
  <si>
    <t xml:space="preserve">   Outstanding shares — 10,175 and 10,242 </t>
  </si>
  <si>
    <t xml:space="preserve">   Treasury stock, at cost  </t>
  </si>
  <si>
    <t xml:space="preserve">   Additional paid-in capital </t>
  </si>
  <si>
    <t xml:space="preserve">      Accumulated other comprehensive income (loss) </t>
  </si>
  <si>
    <t xml:space="preserve">      Retained earnings  </t>
  </si>
  <si>
    <t xml:space="preserve"> Total stockholders’ equity </t>
  </si>
  <si>
    <t xml:space="preserve"> Total liabilities and stockholders’ equity  </t>
  </si>
  <si>
    <t>CONSOLIDATED STATEMENTS OF CASH FLOWS</t>
  </si>
  <si>
    <t>CASH, CASH EQUIVALENTS, AND RESTRICTED CASH, BEGINNING OF PERIOD</t>
  </si>
  <si>
    <t xml:space="preserve">  OPERATING ACTIVITIES:</t>
  </si>
  <si>
    <r>
      <rPr>
        <b/>
        <sz val="11"/>
        <color rgb="FF000000"/>
        <rFont val="Calibri"/>
        <family val="2"/>
        <charset val="1"/>
      </rPr>
      <t xml:space="preserve"> Net income </t>
    </r>
    <r>
      <rPr>
        <sz val="11"/>
        <color rgb="FF000000"/>
        <rFont val="Calibri"/>
        <family val="2"/>
        <charset val="1"/>
      </rPr>
      <t>(loss)</t>
    </r>
  </si>
  <si>
    <t xml:space="preserve">   Adjustments to reconcile net income to net cash from operating activities:</t>
  </si>
  <si>
    <t xml:space="preserve">      Depreciation and amortization</t>
  </si>
  <si>
    <t xml:space="preserve">      Stock-based compensation  </t>
  </si>
  <si>
    <t xml:space="preserve">      Other operating expense (income), net </t>
  </si>
  <si>
    <t>Other expense (income), net</t>
  </si>
  <si>
    <t xml:space="preserve">      Deferred income taxes </t>
  </si>
  <si>
    <t>Changes in operating assets and liabilities:</t>
  </si>
  <si>
    <t xml:space="preserve">   Inventories</t>
  </si>
  <si>
    <t xml:space="preserve">   Accounts receivable, net and other</t>
  </si>
  <si>
    <t xml:space="preserve">      Accounts payable</t>
  </si>
  <si>
    <t xml:space="preserve">   Net cash provided by (used in) operating activities</t>
  </si>
  <si>
    <t>Cash generated by operating activities</t>
  </si>
  <si>
    <t>INVESTING ACTIVITIES:</t>
  </si>
  <si>
    <t xml:space="preserve">   Purchases of property and equipment </t>
  </si>
  <si>
    <t xml:space="preserve">    Proceeds from property and equipment sales and incentives</t>
  </si>
  <si>
    <t xml:space="preserve">   Acquisitions, net of cash acquired, and other</t>
  </si>
  <si>
    <t xml:space="preserve">   Sales and maturities of marketable securities   </t>
  </si>
  <si>
    <t xml:space="preserve">   Purchases of marketable securities</t>
  </si>
  <si>
    <t xml:space="preserve">    Net cash provided by (used in) investing activities </t>
  </si>
  <si>
    <t>Cash generated by/(used in) investing activities</t>
  </si>
  <si>
    <t>FINANCING ACTIVITIES:</t>
  </si>
  <si>
    <t xml:space="preserve">       Common stock repurchased — </t>
  </si>
  <si>
    <t xml:space="preserve">— </t>
  </si>
  <si>
    <t xml:space="preserve">       Proceeds from short-term debt, and other </t>
  </si>
  <si>
    <t xml:space="preserve">       Repayments of short-term debt, and other</t>
  </si>
  <si>
    <t xml:space="preserve">   Proceeds from long-term debt</t>
  </si>
  <si>
    <t xml:space="preserve">   Repayments of long-term debt </t>
  </si>
  <si>
    <t xml:space="preserve">   Principal repayments of finance leases    </t>
  </si>
  <si>
    <t xml:space="preserve">   Principal repayments of financing obligations </t>
  </si>
  <si>
    <t xml:space="preserve">   Net cash provided by (used in) financing activities   </t>
  </si>
  <si>
    <t xml:space="preserve">   Foreign currency effect on cash, cash equivalents, and restricted cash</t>
  </si>
  <si>
    <t xml:space="preserve">   Net increase (decrease) in cash, cash equivalents, and restricted cash</t>
  </si>
  <si>
    <t>Cash used in financing activities</t>
  </si>
  <si>
    <t>Increase/(Decrease) in cash, cash equivalents and restricted</t>
  </si>
  <si>
    <t xml:space="preserve">CASH, CASH EQUIVALENTS, AND RESTRICTED CASH, END OF PERIOD </t>
  </si>
  <si>
    <t xml:space="preserve">   SUPPLEMENTAL CASH FLOW INFORMATION:</t>
  </si>
  <si>
    <t xml:space="preserve">      Cash paid for interest on debt  </t>
  </si>
  <si>
    <t xml:space="preserve">      Cash paid for operating leases  </t>
  </si>
  <si>
    <t xml:space="preserve">      Cash paid for interest on finance leases  </t>
  </si>
  <si>
    <t xml:space="preserve">      Cash paid for interest on financing obligations  </t>
  </si>
  <si>
    <t xml:space="preserve">      Cash paid for income taxes, net of refunds  </t>
  </si>
  <si>
    <t xml:space="preserve">      Assets acquired under operating leases</t>
  </si>
  <si>
    <t xml:space="preserve">      Property and equipment acquired under finance leases </t>
  </si>
  <si>
    <t xml:space="preserve">      Property and equipment acquired under build-to-suit lease arrangements </t>
  </si>
  <si>
    <t xml:space="preserve">      Derecognized after the construction period of build-to-suit lease </t>
  </si>
  <si>
    <t xml:space="preserve">   Shares used in computation of basic earnings per share  </t>
  </si>
  <si>
    <t xml:space="preserve">     Total dilutive effect of outstanding stock awards </t>
  </si>
  <si>
    <t xml:space="preserve">     Shares used in computation of diluted earnings per share  </t>
  </si>
  <si>
    <t>North America</t>
  </si>
  <si>
    <t xml:space="preserve"> Net sales</t>
  </si>
  <si>
    <t>Operating expenses</t>
  </si>
  <si>
    <t>Operating income</t>
  </si>
  <si>
    <t>International</t>
  </si>
  <si>
    <t xml:space="preserve"> Operating expenses</t>
  </si>
  <si>
    <t>Operating income (loss)</t>
  </si>
  <si>
    <t>AWS Net sales</t>
  </si>
  <si>
    <t xml:space="preserve"> Consolidated Net sales</t>
  </si>
  <si>
    <t xml:space="preserve">Total non-operating income(expense) </t>
  </si>
  <si>
    <t>Provision for income taxes</t>
  </si>
  <si>
    <t xml:space="preserve"> Equity-method investment activity, net of tax</t>
  </si>
  <si>
    <t>Shares used in computation of basic earnings per share</t>
  </si>
  <si>
    <t>Total dilutive effect of outstanding stock awards</t>
  </si>
  <si>
    <t>Shares used in computation of diluted earnings per share</t>
  </si>
  <si>
    <t>Company Name</t>
  </si>
  <si>
    <t>Years ended ,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</si>
  <si>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</si>
  <si>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</si>
  <si>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</si>
  <si>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</si>
  <si>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</si>
  <si>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</si>
  <si>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</si>
  <si>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</si>
  <si>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</si>
  <si>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</si>
  <si>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</si>
  <si>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</si>
  <si>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Gross margin</t>
  </si>
  <si>
    <t>EBITDA margin</t>
  </si>
  <si>
    <t>EBIT margin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</si>
  <si>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</si>
  <si>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</si>
  <si>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</si>
  <si>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</si>
  <si>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</si>
  <si>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</si>
  <si>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</si>
  <si>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</si>
  <si>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</si>
  <si>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</si>
  <si>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</si>
  <si>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</si>
  <si>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</si>
  <si>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</si>
  <si>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</si>
  <si>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</si>
  <si>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</si>
  <si>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</si>
  <si>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</si>
  <si>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n/a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</si>
  <si>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</si>
  <si>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</si>
  <si>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</si>
  <si>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</si>
  <si>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</si>
  <si>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</si>
  <si>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Growth rates for the following:</t>
  </si>
  <si>
    <t>Net sales:</t>
  </si>
  <si>
    <t>Products</t>
  </si>
  <si>
    <t>Services</t>
  </si>
  <si>
    <t>Gross profits</t>
  </si>
  <si>
    <t>Total current assets</t>
  </si>
  <si>
    <t>Total non current assets</t>
  </si>
  <si>
    <t>Total assets</t>
  </si>
  <si>
    <t>Total current liabilities</t>
  </si>
  <si>
    <t>Total non current liabilities</t>
  </si>
  <si>
    <t>Total liabilities</t>
  </si>
  <si>
    <t>Total shareholders’ equity</t>
  </si>
  <si>
    <t>Total liabilities and shareholders’ equity</t>
  </si>
  <si>
    <t>Margins/ as a % of net sales for the following:</t>
  </si>
  <si>
    <t>COGS (Cost of goods sold)</t>
  </si>
  <si>
    <t>Net profit</t>
  </si>
  <si>
    <t>Income tax rate</t>
  </si>
  <si>
    <t xml:space="preserve">   Capex </t>
  </si>
  <si>
    <t>Capex as a percentage of sales</t>
  </si>
  <si>
    <t>Capex as a percentage of fixed assets</t>
  </si>
  <si>
    <t>Cash + Cash Equivalents / Current Liabilities</t>
  </si>
  <si>
    <t>Current Assets / Daily Operational Expenses  where Daily Operational Expenses = (Annual Operating Expenses - Noncash Charges) / 365</t>
  </si>
  <si>
    <t>Only operating income</t>
  </si>
  <si>
    <t xml:space="preserve"> Capital = Long term  debt + Total shareholder equity</t>
  </si>
  <si>
    <t>EBIT / Interest Expense</t>
  </si>
  <si>
    <t>EBIT =Only operating income</t>
  </si>
  <si>
    <t>EBIT =Only operating income/Capital employed</t>
  </si>
  <si>
    <t>Market Cap + Total Debt - (Cash + Cash Equivalents), where Market Cap = Share price * Diluted number of shares</t>
  </si>
  <si>
    <t>Cash from operations + Capex  + Debt issuance + Debt repayment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</si>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</sst>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_(* #,##0_);_(* \(#,##0\);_(* \-??_);_(@_)"/>
    <numFmt numFmtId="166" formatCode="0.0"/>
  </numFmts>
  <fonts count="10" x14ac:knownFonts="1">
    <font>
      <sz val="11"/>
      <color rgb="FF000000"/>
      <name val="Calibri"/>
      <family val="2"/>
      <charset val="1"/>
    </font>
    <font>
      <b/>
      <sz val="18"/>
      <color rgb="FFFFFFFF"/>
      <name val="Calibri"/>
      <family val="2"/>
      <charset val="1"/>
    </font>
    <font>
      <u/>
      <sz val="11"/>
      <color rgb="FF0563C1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20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20"/>
      <color rgb="FFFFFFFF"/>
      <name val="Calibri"/>
      <family val="2"/>
      <charset val="1"/>
    </font>
    <font>
      <sz val="11"/>
      <color rgb="FFC9211E"/>
      <name val="Calibri"/>
      <family val="2"/>
      <charset val="1"/>
    </font>
    <font>
      <sz val="11"/>
      <color rgb="FF000000"/>
      <name val="Calibri"/>
      <family val="2"/>
      <charset val="1"/>
    </font>
    <font>
      <sz val="14"/>
      <color rgb="FFFFFFF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rgb="FF000080"/>
      </patternFill>
    </fill>
    <fill>
      <patternFill patternType="solid">
        <fgColor rgb="FFADB9CA"/>
        <bgColor rgb="FF99CCFF"/>
      </patternFill>
    </fill>
    <fill>
      <patternFill patternType="solid">
        <fgColor rgb="FFF6F9D4"/>
        <bgColor rgb="FFFFFFFF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">
    <xf numFmtId="0" fontId="0" fillId="0" borderId="0"/>
    <xf numFmtId="164" fontId="8" fillId="0" borderId="0" applyBorder="0" applyProtection="0"/>
    <xf numFmtId="0" fontId="2" fillId="0" borderId="0" applyBorder="0" applyProtection="0"/>
    <xf numFmtId="0" fontId="8" fillId="0" borderId="0"/>
  </cellStyleXfs>
  <cellXfs count="55">
    <xf numFmtId="0" fontId="0" fillId="0" borderId="0" xfId="0"/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0" xfId="0" applyAlignment="1">
      <alignment wrapText="1"/>
    </xf>
    <xf numFmtId="0" fontId="1" fillId="2" borderId="0" xfId="0" applyFont="1" applyFill="1" applyAlignment="1">
      <alignment wrapText="1"/>
    </xf>
    <xf numFmtId="0" fontId="0" fillId="0" borderId="0" xfId="0" applyAlignment="1">
      <alignment horizontal="left" wrapText="1" indent="1"/>
    </xf>
    <xf numFmtId="0" fontId="2" fillId="0" borderId="0" xfId="2" applyBorder="1" applyAlignment="1" applyProtection="1">
      <alignment horizontal="left" wrapText="1" indent="1"/>
    </xf>
    <xf numFmtId="0" fontId="3" fillId="0" borderId="0" xfId="0" applyFont="1" applyAlignment="1">
      <alignment wrapText="1"/>
    </xf>
    <xf numFmtId="0" fontId="4" fillId="2" borderId="0" xfId="0" applyFont="1" applyFill="1" applyAlignment="1">
      <alignment vertical="center"/>
    </xf>
    <xf numFmtId="0" fontId="5" fillId="2" borderId="0" xfId="0" applyFont="1" applyFill="1"/>
    <xf numFmtId="0" fontId="3" fillId="0" borderId="0" xfId="0" applyFont="1"/>
    <xf numFmtId="0" fontId="0" fillId="0" borderId="0" xfId="0" applyAlignment="1">
      <alignment horizontal="left" indent="1"/>
    </xf>
    <xf numFmtId="0" fontId="3" fillId="0" borderId="0" xfId="0" applyFont="1" applyAlignment="1">
      <alignment horizontal="left" indent="2"/>
    </xf>
    <xf numFmtId="10" fontId="3" fillId="0" borderId="0" xfId="0" applyNumberFormat="1" applyFont="1"/>
    <xf numFmtId="0" fontId="3" fillId="0" borderId="1" xfId="0" applyFont="1" applyBorder="1"/>
    <xf numFmtId="0" fontId="3" fillId="0" borderId="0" xfId="0" applyFont="1" applyAlignment="1">
      <alignment horizontal="left"/>
    </xf>
    <xf numFmtId="0" fontId="3" fillId="0" borderId="2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3" xfId="0" applyBorder="1"/>
    <xf numFmtId="0" fontId="3" fillId="0" borderId="4" xfId="0" applyFont="1" applyBorder="1"/>
    <xf numFmtId="0" fontId="3" fillId="0" borderId="4" xfId="0" applyFont="1" applyBorder="1" applyAlignment="1">
      <alignment wrapText="1"/>
    </xf>
    <xf numFmtId="0" fontId="0" fillId="4" borderId="0" xfId="0" applyFill="1"/>
    <xf numFmtId="0" fontId="0" fillId="4" borderId="0" xfId="0" applyFill="1" applyAlignment="1">
      <alignment wrapText="1"/>
    </xf>
    <xf numFmtId="165" fontId="8" fillId="0" borderId="0" xfId="1" applyNumberFormat="1" applyBorder="1" applyProtection="1"/>
    <xf numFmtId="165" fontId="3" fillId="0" borderId="0" xfId="1" applyNumberFormat="1" applyFont="1" applyBorder="1" applyProtection="1"/>
    <xf numFmtId="0" fontId="3" fillId="0" borderId="2" xfId="0" applyFont="1" applyBorder="1" applyAlignment="1">
      <alignment horizontal="left"/>
    </xf>
    <xf numFmtId="165" fontId="3" fillId="0" borderId="2" xfId="1" applyNumberFormat="1" applyFont="1" applyBorder="1" applyProtection="1"/>
    <xf numFmtId="0" fontId="3" fillId="0" borderId="2" xfId="0" applyFont="1" applyBorder="1" applyAlignment="1">
      <alignment wrapText="1"/>
    </xf>
    <xf numFmtId="0" fontId="3" fillId="0" borderId="5" xfId="0" applyFont="1" applyBorder="1"/>
    <xf numFmtId="164" fontId="8" fillId="0" borderId="0" xfId="1" applyBorder="1" applyProtection="1"/>
    <xf numFmtId="0" fontId="0" fillId="0" borderId="1" xfId="0" applyBorder="1"/>
    <xf numFmtId="165" fontId="8" fillId="0" borderId="1" xfId="1" applyNumberFormat="1" applyBorder="1" applyProtection="1"/>
    <xf numFmtId="0" fontId="0" fillId="0" borderId="3" xfId="0" applyBorder="1" applyAlignment="1">
      <alignment wrapText="1"/>
    </xf>
    <xf numFmtId="165" fontId="8" fillId="0" borderId="3" xfId="1" applyNumberFormat="1" applyBorder="1" applyProtection="1"/>
    <xf numFmtId="0" fontId="3" fillId="0" borderId="3" xfId="0" applyFont="1" applyBorder="1"/>
    <xf numFmtId="0" fontId="0" fillId="0" borderId="0" xfId="0" applyAlignment="1">
      <alignment horizontal="left" indent="2"/>
    </xf>
    <xf numFmtId="165" fontId="8" fillId="0" borderId="0" xfId="1" applyNumberForma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0" fillId="0" borderId="2" xfId="0" applyBorder="1"/>
    <xf numFmtId="0" fontId="3" fillId="0" borderId="5" xfId="0" applyFont="1" applyBorder="1" applyAlignment="1">
      <alignment horizontal="left" indent="1"/>
    </xf>
    <xf numFmtId="165" fontId="3" fillId="0" borderId="5" xfId="1" applyNumberFormat="1" applyFont="1" applyBorder="1" applyProtection="1"/>
    <xf numFmtId="165" fontId="3" fillId="0" borderId="1" xfId="1" applyNumberFormat="1" applyFont="1" applyBorder="1" applyProtection="1"/>
    <xf numFmtId="0" fontId="0" fillId="0" borderId="6" xfId="0" applyBorder="1"/>
    <xf numFmtId="165" fontId="8" fillId="0" borderId="6" xfId="1" applyNumberFormat="1" applyBorder="1" applyProtection="1"/>
    <xf numFmtId="3" fontId="0" fillId="0" borderId="0" xfId="0" applyNumberFormat="1"/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166" fontId="0" fillId="0" borderId="0" xfId="0" applyNumberFormat="1"/>
    <xf numFmtId="10" fontId="0" fillId="0" borderId="0" xfId="0" applyNumberFormat="1"/>
    <xf numFmtId="0" fontId="7" fillId="0" borderId="0" xfId="0" applyFont="1" applyAlignment="1">
      <alignment horizontal="center"/>
    </xf>
    <xf numFmtId="0" fontId="3" fillId="0" borderId="6" xfId="0" applyFont="1" applyBorder="1"/>
    <xf numFmtId="0" fontId="0" fillId="0" borderId="2" xfId="0" applyBorder="1" applyAlignment="1">
      <alignment horizontal="left"/>
    </xf>
    <xf numFmtId="0" fontId="8" fillId="0" borderId="0" xfId="3"/>
    <xf numFmtId="0" fontId="9" fillId="2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Normal 2" xfId="3" xr:uid="{0482777E-C059-40BC-858D-B727B4D02111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9999FF"/>
      <rgbColor rgb="FF993366"/>
      <rgbColor rgb="FFF6F9D4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zoomScaleNormal="100" workbookViewId="0">
      <selection activeCell="A5" sqref="A5"/>
    </sheetView>
  </sheetViews>
  <sheetFormatPr defaultColWidth="8.5546875" defaultRowHeight="14.4" x14ac:dyDescent="0.3"/>
  <cols>
    <col min="1" max="1" width="157.88671875" style="3" customWidth="1"/>
  </cols>
  <sheetData>
    <row r="1" spans="1:1" ht="23.4" x14ac:dyDescent="0.45">
      <c r="A1" s="4" t="s">
        <v>0</v>
      </c>
    </row>
    <row r="3" spans="1:1" x14ac:dyDescent="0.3">
      <c r="A3" s="3" t="s">
        <v>1</v>
      </c>
    </row>
    <row r="4" spans="1:1" x14ac:dyDescent="0.3">
      <c r="A4" s="5" t="s">
        <v>2</v>
      </c>
    </row>
    <row r="5" spans="1:1" x14ac:dyDescent="0.3">
      <c r="A5" s="6" t="s">
        <v>3</v>
      </c>
    </row>
    <row r="7" spans="1:1" x14ac:dyDescent="0.3">
      <c r="A7" s="3" t="s">
        <v>4</v>
      </c>
    </row>
    <row r="8" spans="1:1" x14ac:dyDescent="0.3">
      <c r="A8" s="3" t="s">
        <v>5</v>
      </c>
    </row>
    <row r="9" spans="1:1" ht="28.8" x14ac:dyDescent="0.3">
      <c r="A9" s="3" t="s">
        <v>6</v>
      </c>
    </row>
    <row r="10" spans="1:1" x14ac:dyDescent="0.3">
      <c r="A10" s="3" t="s">
        <v>7</v>
      </c>
    </row>
    <row r="11" spans="1:1" x14ac:dyDescent="0.3">
      <c r="A11" s="3" t="s">
        <v>8</v>
      </c>
    </row>
    <row r="13" spans="1:1" x14ac:dyDescent="0.3">
      <c r="A13" s="7" t="s">
        <v>9</v>
      </c>
    </row>
    <row r="14" spans="1:1" x14ac:dyDescent="0.3">
      <c r="A14" s="3" t="s">
        <v>10</v>
      </c>
    </row>
    <row r="15" spans="1:1" x14ac:dyDescent="0.3">
      <c r="A15" s="3" t="s">
        <v>11</v>
      </c>
    </row>
  </sheetData>
  <hyperlinks>
    <hyperlink ref="A5" r:id="rId1" xr:uid="{00000000-0004-0000-0000-000000000000}"/>
  </hyperlink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94"/>
  <sheetViews>
    <sheetView topLeftCell="A23" zoomScaleNormal="100" workbookViewId="0">
      <selection activeCell="H25" sqref="H25"/>
    </sheetView>
  </sheetViews>
  <sheetFormatPr defaultColWidth="8.5546875" defaultRowHeight="14.4" x14ac:dyDescent="0.3"/>
  <cols>
    <col min="1" max="1" width="62.33203125" customWidth="1"/>
    <col min="2" max="3" width="11.5546875" customWidth="1"/>
    <col min="4" max="4" width="11.6640625" customWidth="1"/>
    <col min="6" max="6" width="20.44140625" customWidth="1"/>
    <col min="7" max="7" width="8.44140625" customWidth="1"/>
  </cols>
  <sheetData>
    <row r="1" spans="1:11" ht="60" customHeight="1" x14ac:dyDescent="0.3">
      <c r="A1" s="8" t="s">
        <v>12</v>
      </c>
      <c r="B1" s="9" t="s">
        <v>13</v>
      </c>
      <c r="C1" s="9"/>
      <c r="D1" s="9"/>
      <c r="E1" s="9"/>
      <c r="F1" s="9"/>
      <c r="G1" s="9"/>
      <c r="H1" s="9"/>
      <c r="I1" s="9"/>
      <c r="J1" s="9"/>
    </row>
    <row r="2" spans="1:11" x14ac:dyDescent="0.3">
      <c r="A2" s="2" t="s">
        <v>14</v>
      </c>
      <c r="B2" s="2"/>
      <c r="C2" s="2"/>
      <c r="D2" s="2"/>
    </row>
    <row r="3" spans="1:11" x14ac:dyDescent="0.3">
      <c r="B3" s="1" t="s">
        <v>15</v>
      </c>
      <c r="C3" s="1"/>
      <c r="D3" s="1"/>
    </row>
    <row r="4" spans="1:11" x14ac:dyDescent="0.3">
      <c r="B4" s="10">
        <v>2022</v>
      </c>
      <c r="C4" s="10">
        <v>2021</v>
      </c>
      <c r="D4" s="10"/>
    </row>
    <row r="5" spans="1:11" x14ac:dyDescent="0.3">
      <c r="A5" t="s">
        <v>16</v>
      </c>
      <c r="J5" s="11"/>
    </row>
    <row r="6" spans="1:11" x14ac:dyDescent="0.3">
      <c r="A6" t="s">
        <v>17</v>
      </c>
      <c r="B6">
        <v>242901</v>
      </c>
      <c r="C6">
        <v>241787</v>
      </c>
      <c r="F6" s="12" t="s">
        <v>18</v>
      </c>
      <c r="G6">
        <f>B18+B21</f>
        <v>-4558</v>
      </c>
      <c r="H6">
        <f>C18+C21</f>
        <v>39512</v>
      </c>
      <c r="J6" s="11"/>
    </row>
    <row r="7" spans="1:11" x14ac:dyDescent="0.3">
      <c r="A7" t="s">
        <v>19</v>
      </c>
      <c r="B7">
        <v>271082</v>
      </c>
      <c r="C7">
        <v>228035</v>
      </c>
      <c r="F7" s="12" t="s">
        <v>20</v>
      </c>
      <c r="G7">
        <f>B18+B84</f>
        <v>54169</v>
      </c>
      <c r="H7">
        <f>C18+C84</f>
        <v>59175</v>
      </c>
      <c r="J7" s="10">
        <f>B8/G6</f>
        <v>-112.76502852128127</v>
      </c>
      <c r="K7" s="13">
        <f>H6/C8</f>
        <v>8.4099935720336638E-2</v>
      </c>
    </row>
    <row r="8" spans="1:11" x14ac:dyDescent="0.3">
      <c r="A8" s="14" t="s">
        <v>21</v>
      </c>
      <c r="B8" s="14">
        <v>513983</v>
      </c>
      <c r="C8" s="14">
        <v>469822</v>
      </c>
      <c r="F8" s="12" t="s">
        <v>22</v>
      </c>
      <c r="G8">
        <f>B97+B105+B108</f>
        <v>62577</v>
      </c>
      <c r="H8">
        <f>C97+C105+C108</f>
        <v>-49062</v>
      </c>
    </row>
    <row r="9" spans="1:11" x14ac:dyDescent="0.3">
      <c r="A9" s="14" t="s">
        <v>23</v>
      </c>
      <c r="B9" s="14">
        <v>288831</v>
      </c>
      <c r="C9" s="14">
        <v>272344</v>
      </c>
      <c r="F9" s="10"/>
      <c r="J9" s="11"/>
    </row>
    <row r="10" spans="1:11" x14ac:dyDescent="0.3">
      <c r="A10" s="14" t="s">
        <v>24</v>
      </c>
      <c r="B10" s="10">
        <f>B8-B9</f>
        <v>225152</v>
      </c>
      <c r="C10" s="10">
        <f>C8-C9</f>
        <v>197478</v>
      </c>
      <c r="F10" s="10" t="s">
        <v>25</v>
      </c>
      <c r="G10">
        <f>B59+B73</f>
        <v>307282</v>
      </c>
      <c r="H10">
        <f>C59+C73</f>
        <v>278283</v>
      </c>
      <c r="J10" s="11"/>
    </row>
    <row r="11" spans="1:11" x14ac:dyDescent="0.3">
      <c r="A11" t="s">
        <v>26</v>
      </c>
      <c r="J11" s="10"/>
    </row>
    <row r="12" spans="1:11" x14ac:dyDescent="0.3">
      <c r="A12" s="3" t="s">
        <v>27</v>
      </c>
      <c r="B12">
        <v>84299</v>
      </c>
      <c r="C12">
        <v>75111</v>
      </c>
      <c r="F12" s="15" t="s">
        <v>28</v>
      </c>
      <c r="G12">
        <f>G14*B33</f>
        <v>1152375.8999999999</v>
      </c>
      <c r="H12">
        <f>H14*C33</f>
        <v>1690500.24</v>
      </c>
      <c r="J12" s="10"/>
    </row>
    <row r="13" spans="1:11" x14ac:dyDescent="0.3">
      <c r="A13" t="s">
        <v>29</v>
      </c>
      <c r="B13">
        <v>73213</v>
      </c>
      <c r="C13">
        <v>56052</v>
      </c>
    </row>
    <row r="14" spans="1:11" x14ac:dyDescent="0.3">
      <c r="A14" t="s">
        <v>30</v>
      </c>
      <c r="B14">
        <v>42238</v>
      </c>
      <c r="C14">
        <v>32551</v>
      </c>
      <c r="F14" s="15" t="s">
        <v>31</v>
      </c>
      <c r="G14">
        <v>113.1</v>
      </c>
      <c r="H14">
        <v>164.19</v>
      </c>
      <c r="J14" s="11"/>
    </row>
    <row r="15" spans="1:11" x14ac:dyDescent="0.3">
      <c r="A15" t="s">
        <v>32</v>
      </c>
      <c r="B15">
        <v>11891</v>
      </c>
      <c r="C15">
        <v>8823</v>
      </c>
      <c r="J15" s="11"/>
    </row>
    <row r="16" spans="1:11" x14ac:dyDescent="0.3">
      <c r="A16" t="s">
        <v>33</v>
      </c>
      <c r="B16">
        <v>1263</v>
      </c>
      <c r="C16">
        <v>62</v>
      </c>
      <c r="J16" s="10"/>
    </row>
    <row r="17" spans="1:15" x14ac:dyDescent="0.3">
      <c r="A17" s="16" t="s">
        <v>34</v>
      </c>
      <c r="B17" s="16">
        <v>501735</v>
      </c>
      <c r="C17" s="16">
        <v>444943</v>
      </c>
      <c r="F17" s="17" t="s">
        <v>35</v>
      </c>
      <c r="G17">
        <f>B44-B55</f>
        <v>-8602</v>
      </c>
      <c r="H17">
        <f>C44-C55</f>
        <v>19314</v>
      </c>
      <c r="J17" s="10"/>
    </row>
    <row r="18" spans="1:15" s="14" customFormat="1" x14ac:dyDescent="0.3">
      <c r="A18" s="10" t="s">
        <v>36</v>
      </c>
      <c r="B18" s="10">
        <v>12248</v>
      </c>
      <c r="C18" s="10">
        <v>24879</v>
      </c>
      <c r="D18"/>
      <c r="E18" s="10"/>
      <c r="F18" s="18" t="s">
        <v>37</v>
      </c>
      <c r="G18">
        <f>G17-H17</f>
        <v>-27916</v>
      </c>
      <c r="H18"/>
      <c r="I18" s="10"/>
      <c r="J18"/>
      <c r="K18" s="10"/>
      <c r="L18" s="10"/>
      <c r="M18" s="10"/>
      <c r="N18" s="10"/>
      <c r="O18" s="10"/>
    </row>
    <row r="19" spans="1:15" x14ac:dyDescent="0.3">
      <c r="A19" t="s">
        <v>38</v>
      </c>
      <c r="B19">
        <v>989</v>
      </c>
      <c r="C19">
        <v>448</v>
      </c>
      <c r="F19" s="17" t="s">
        <v>39</v>
      </c>
      <c r="G19">
        <f>B110-B111</f>
        <v>22424</v>
      </c>
      <c r="H19">
        <f>C110-C111</f>
        <v>20593</v>
      </c>
      <c r="J19" s="10"/>
    </row>
    <row r="20" spans="1:15" x14ac:dyDescent="0.3">
      <c r="A20" t="s">
        <v>40</v>
      </c>
      <c r="B20">
        <v>-2367</v>
      </c>
      <c r="C20">
        <v>-1809</v>
      </c>
    </row>
    <row r="21" spans="1:15" x14ac:dyDescent="0.3">
      <c r="A21" t="s">
        <v>41</v>
      </c>
      <c r="B21">
        <v>-16806</v>
      </c>
      <c r="C21">
        <v>14633</v>
      </c>
      <c r="F21" t="s">
        <v>25</v>
      </c>
      <c r="G21">
        <f>B59+B73</f>
        <v>307282</v>
      </c>
      <c r="H21">
        <f>C59+C73</f>
        <v>278283</v>
      </c>
      <c r="J21" s="10"/>
    </row>
    <row r="22" spans="1:15" x14ac:dyDescent="0.3">
      <c r="A22" t="s">
        <v>42</v>
      </c>
      <c r="B22" s="19">
        <v>-18184</v>
      </c>
      <c r="C22" s="19">
        <v>13272</v>
      </c>
      <c r="F22" t="s">
        <v>43</v>
      </c>
      <c r="G22">
        <f>B84+B85+B86+B88</f>
        <v>70360</v>
      </c>
      <c r="H22">
        <f>C84+C85+C86+C87+C88</f>
        <v>32574</v>
      </c>
    </row>
    <row r="23" spans="1:15" x14ac:dyDescent="0.3">
      <c r="A23" s="14" t="s">
        <v>44</v>
      </c>
      <c r="B23" s="10">
        <v>-5936</v>
      </c>
      <c r="C23" s="10">
        <v>38151</v>
      </c>
    </row>
    <row r="24" spans="1:15" x14ac:dyDescent="0.3">
      <c r="A24" t="s">
        <v>45</v>
      </c>
      <c r="B24">
        <v>3217</v>
      </c>
      <c r="C24">
        <v>-4791</v>
      </c>
      <c r="F24" t="s">
        <v>46</v>
      </c>
      <c r="G24">
        <f>(B17-G22)</f>
        <v>431375</v>
      </c>
      <c r="H24">
        <f>(C17-H22)</f>
        <v>412369</v>
      </c>
    </row>
    <row r="25" spans="1:15" x14ac:dyDescent="0.3">
      <c r="A25" t="s">
        <v>47</v>
      </c>
      <c r="B25">
        <v>-3</v>
      </c>
      <c r="C25">
        <v>4</v>
      </c>
      <c r="F25" t="s">
        <v>48</v>
      </c>
      <c r="G25">
        <f>(B17-G22)/365</f>
        <v>1181.8493150684931</v>
      </c>
      <c r="H25">
        <f>(C17-H22)/365</f>
        <v>1129.7780821917809</v>
      </c>
    </row>
    <row r="26" spans="1:15" x14ac:dyDescent="0.3">
      <c r="A26" s="20" t="s">
        <v>49</v>
      </c>
      <c r="B26" s="21">
        <v>-2722</v>
      </c>
      <c r="C26" s="20">
        <v>33364</v>
      </c>
    </row>
    <row r="27" spans="1:15" x14ac:dyDescent="0.3">
      <c r="F27" t="s">
        <v>50</v>
      </c>
      <c r="G27">
        <f>B111+B122+B125+B124</f>
        <v>884</v>
      </c>
      <c r="H27">
        <f>C111+C122+C125+C124</f>
        <v>182</v>
      </c>
    </row>
    <row r="28" spans="1:15" x14ac:dyDescent="0.3">
      <c r="A28" s="17" t="s">
        <v>51</v>
      </c>
      <c r="B28" s="22">
        <v>-0.27</v>
      </c>
      <c r="C28" s="22">
        <v>3.3</v>
      </c>
    </row>
    <row r="29" spans="1:15" x14ac:dyDescent="0.3">
      <c r="A29" s="17" t="s">
        <v>52</v>
      </c>
      <c r="B29" s="22">
        <v>-0.27</v>
      </c>
      <c r="C29" s="23">
        <v>3.24</v>
      </c>
    </row>
    <row r="31" spans="1:15" x14ac:dyDescent="0.3">
      <c r="A31" t="s">
        <v>53</v>
      </c>
    </row>
    <row r="32" spans="1:15" x14ac:dyDescent="0.3">
      <c r="A32" s="17" t="s">
        <v>54</v>
      </c>
      <c r="B32" s="22">
        <v>10189</v>
      </c>
      <c r="C32" s="23">
        <v>10117</v>
      </c>
    </row>
    <row r="33" spans="1:4" x14ac:dyDescent="0.3">
      <c r="A33" s="17" t="s">
        <v>55</v>
      </c>
      <c r="B33" s="23">
        <v>10189</v>
      </c>
      <c r="C33" s="22">
        <v>10296</v>
      </c>
    </row>
    <row r="35" spans="1:4" x14ac:dyDescent="0.3">
      <c r="A35" s="2" t="s">
        <v>56</v>
      </c>
      <c r="B35" s="2"/>
      <c r="C35" s="2"/>
      <c r="D35" s="2"/>
    </row>
    <row r="36" spans="1:4" x14ac:dyDescent="0.3">
      <c r="B36" s="1" t="s">
        <v>57</v>
      </c>
      <c r="C36" s="1"/>
      <c r="D36" s="1"/>
    </row>
    <row r="37" spans="1:4" x14ac:dyDescent="0.3">
      <c r="A37" s="11"/>
      <c r="B37" s="10">
        <v>2022</v>
      </c>
      <c r="C37" s="10">
        <v>2021</v>
      </c>
      <c r="D37" s="10"/>
    </row>
    <row r="38" spans="1:4" x14ac:dyDescent="0.3">
      <c r="A38" s="11"/>
      <c r="B38" s="24"/>
      <c r="C38" s="24"/>
      <c r="D38" s="24"/>
    </row>
    <row r="39" spans="1:4" x14ac:dyDescent="0.3">
      <c r="A39" s="11" t="s">
        <v>58</v>
      </c>
      <c r="B39" s="24"/>
      <c r="C39" s="24"/>
      <c r="D39" s="24"/>
    </row>
    <row r="40" spans="1:4" x14ac:dyDescent="0.3">
      <c r="A40" s="11" t="s">
        <v>59</v>
      </c>
      <c r="B40" s="24">
        <v>53888</v>
      </c>
      <c r="C40" s="24">
        <v>36220</v>
      </c>
      <c r="D40" s="24"/>
    </row>
    <row r="41" spans="1:4" x14ac:dyDescent="0.3">
      <c r="A41" s="11" t="s">
        <v>60</v>
      </c>
      <c r="B41" s="24">
        <v>16138</v>
      </c>
      <c r="C41" s="24">
        <v>59829</v>
      </c>
      <c r="D41" s="24"/>
    </row>
    <row r="42" spans="1:4" x14ac:dyDescent="0.3">
      <c r="A42" t="s">
        <v>61</v>
      </c>
      <c r="B42" s="24">
        <v>34405</v>
      </c>
      <c r="C42" s="24">
        <v>32640</v>
      </c>
      <c r="D42" s="25"/>
    </row>
    <row r="43" spans="1:4" x14ac:dyDescent="0.3">
      <c r="A43" t="s">
        <v>62</v>
      </c>
      <c r="B43" s="24">
        <v>42360</v>
      </c>
      <c r="C43" s="24">
        <v>32891</v>
      </c>
      <c r="D43" s="24"/>
    </row>
    <row r="44" spans="1:4" x14ac:dyDescent="0.3">
      <c r="A44" s="26" t="s">
        <v>63</v>
      </c>
      <c r="B44" s="27">
        <v>146791</v>
      </c>
      <c r="C44" s="27">
        <v>161580</v>
      </c>
      <c r="D44" s="24"/>
    </row>
    <row r="45" spans="1:4" x14ac:dyDescent="0.3">
      <c r="A45" s="11" t="s">
        <v>64</v>
      </c>
      <c r="B45" s="24">
        <v>186715</v>
      </c>
      <c r="C45" s="24">
        <v>160281</v>
      </c>
      <c r="D45" s="24"/>
    </row>
    <row r="46" spans="1:4" x14ac:dyDescent="0.3">
      <c r="A46" s="11" t="s">
        <v>65</v>
      </c>
      <c r="B46" s="24">
        <v>66123</v>
      </c>
      <c r="C46" s="24">
        <v>56082</v>
      </c>
      <c r="D46" s="24"/>
    </row>
    <row r="47" spans="1:4" x14ac:dyDescent="0.3">
      <c r="A47" t="s">
        <v>66</v>
      </c>
      <c r="B47" s="24">
        <v>20288</v>
      </c>
      <c r="C47" s="24">
        <v>15371</v>
      </c>
      <c r="D47" s="25"/>
    </row>
    <row r="48" spans="1:4" x14ac:dyDescent="0.3">
      <c r="A48" t="s">
        <v>67</v>
      </c>
      <c r="B48" s="24">
        <v>42758</v>
      </c>
      <c r="C48" s="24">
        <v>27235</v>
      </c>
      <c r="D48" s="25"/>
    </row>
    <row r="49" spans="1:6" x14ac:dyDescent="0.3">
      <c r="A49" s="16" t="s">
        <v>68</v>
      </c>
      <c r="B49" s="28">
        <v>462675</v>
      </c>
      <c r="C49" s="16">
        <v>420549</v>
      </c>
    </row>
    <row r="50" spans="1:6" x14ac:dyDescent="0.3">
      <c r="A50" s="29" t="s">
        <v>69</v>
      </c>
      <c r="B50" s="29">
        <f>B44+B49</f>
        <v>609466</v>
      </c>
      <c r="C50" s="29">
        <f>C44+C49</f>
        <v>582129</v>
      </c>
    </row>
    <row r="51" spans="1:6" x14ac:dyDescent="0.3">
      <c r="A51" s="3" t="s">
        <v>70</v>
      </c>
      <c r="D51" s="24"/>
    </row>
    <row r="52" spans="1:6" x14ac:dyDescent="0.3">
      <c r="A52" s="11" t="s">
        <v>71</v>
      </c>
      <c r="B52">
        <v>79600</v>
      </c>
      <c r="C52" s="24">
        <v>78664</v>
      </c>
      <c r="D52" s="24"/>
    </row>
    <row r="53" spans="1:6" x14ac:dyDescent="0.3">
      <c r="A53" s="11" t="s">
        <v>72</v>
      </c>
      <c r="B53">
        <v>62566</v>
      </c>
      <c r="C53" s="24">
        <v>51775</v>
      </c>
      <c r="D53" s="24"/>
    </row>
    <row r="54" spans="1:6" x14ac:dyDescent="0.3">
      <c r="A54" s="11" t="s">
        <v>73</v>
      </c>
      <c r="B54">
        <v>13227</v>
      </c>
      <c r="C54" s="24">
        <v>11827</v>
      </c>
      <c r="D54" s="24"/>
    </row>
    <row r="55" spans="1:6" x14ac:dyDescent="0.3">
      <c r="A55" s="26" t="s">
        <v>74</v>
      </c>
      <c r="B55" s="16">
        <v>155393</v>
      </c>
      <c r="C55" s="27">
        <v>142266</v>
      </c>
      <c r="D55" s="24"/>
      <c r="F55" s="3"/>
    </row>
    <row r="56" spans="1:6" x14ac:dyDescent="0.3">
      <c r="A56" s="11" t="s">
        <v>75</v>
      </c>
      <c r="B56">
        <v>72968</v>
      </c>
      <c r="C56" s="24">
        <v>67651</v>
      </c>
      <c r="D56" s="25"/>
    </row>
    <row r="57" spans="1:6" x14ac:dyDescent="0.3">
      <c r="A57" t="s">
        <v>76</v>
      </c>
      <c r="B57">
        <v>67150</v>
      </c>
      <c r="C57" s="24">
        <v>48744</v>
      </c>
      <c r="D57" s="24"/>
    </row>
    <row r="58" spans="1:6" x14ac:dyDescent="0.3">
      <c r="A58" t="s">
        <v>77</v>
      </c>
      <c r="B58">
        <v>21121</v>
      </c>
      <c r="C58" s="24">
        <v>23643</v>
      </c>
      <c r="D58" s="24"/>
    </row>
    <row r="59" spans="1:6" x14ac:dyDescent="0.3">
      <c r="A59" s="26" t="s">
        <v>78</v>
      </c>
      <c r="B59" s="27">
        <f>B56+B57+B58</f>
        <v>161239</v>
      </c>
      <c r="C59" s="27">
        <f>C56+C57+C58</f>
        <v>140038</v>
      </c>
    </row>
    <row r="60" spans="1:6" x14ac:dyDescent="0.3">
      <c r="A60" s="29" t="s">
        <v>79</v>
      </c>
      <c r="B60" s="29">
        <f>B55+B59</f>
        <v>316632</v>
      </c>
      <c r="C60" s="29">
        <f>C55+C59</f>
        <v>282304</v>
      </c>
    </row>
    <row r="61" spans="1:6" x14ac:dyDescent="0.3">
      <c r="A61" s="10"/>
      <c r="B61" s="10"/>
      <c r="C61" s="10"/>
    </row>
    <row r="62" spans="1:6" x14ac:dyDescent="0.3">
      <c r="A62" s="11" t="s">
        <v>80</v>
      </c>
      <c r="B62" s="24"/>
      <c r="C62" s="24"/>
      <c r="D62" s="24"/>
    </row>
    <row r="63" spans="1:6" x14ac:dyDescent="0.3">
      <c r="A63" s="11" t="s">
        <v>81</v>
      </c>
      <c r="B63" s="24"/>
      <c r="C63" s="24"/>
      <c r="D63" s="24"/>
    </row>
    <row r="64" spans="1:6" x14ac:dyDescent="0.3">
      <c r="A64" s="11" t="s">
        <v>82</v>
      </c>
      <c r="B64" s="24"/>
      <c r="C64" s="24"/>
      <c r="D64" s="24"/>
    </row>
    <row r="65" spans="1:4" x14ac:dyDescent="0.3">
      <c r="A65" t="s">
        <v>83</v>
      </c>
      <c r="B65" s="25"/>
      <c r="C65" s="25"/>
      <c r="D65" s="25"/>
    </row>
    <row r="66" spans="1:4" x14ac:dyDescent="0.3">
      <c r="A66" t="s">
        <v>84</v>
      </c>
      <c r="B66" s="24"/>
      <c r="C66" s="24"/>
      <c r="D66" s="24"/>
    </row>
    <row r="67" spans="1:4" x14ac:dyDescent="0.3">
      <c r="A67" t="s">
        <v>85</v>
      </c>
      <c r="B67" s="24"/>
      <c r="C67" s="24"/>
      <c r="D67" s="24"/>
    </row>
    <row r="68" spans="1:4" x14ac:dyDescent="0.3">
      <c r="A68" s="11" t="s">
        <v>86</v>
      </c>
      <c r="B68" s="30"/>
      <c r="C68" s="24"/>
      <c r="D68" s="24"/>
    </row>
    <row r="69" spans="1:4" x14ac:dyDescent="0.3">
      <c r="A69" s="11" t="s">
        <v>87</v>
      </c>
      <c r="B69" s="24">
        <v>-7837</v>
      </c>
      <c r="C69" s="24">
        <v>-1837</v>
      </c>
      <c r="D69" s="24"/>
    </row>
    <row r="70" spans="1:4" x14ac:dyDescent="0.3">
      <c r="A70" s="11" t="s">
        <v>88</v>
      </c>
      <c r="B70" s="24">
        <v>75066</v>
      </c>
      <c r="C70" s="24">
        <v>55538</v>
      </c>
      <c r="D70" s="24"/>
    </row>
    <row r="71" spans="1:4" x14ac:dyDescent="0.3">
      <c r="A71" s="31" t="s">
        <v>89</v>
      </c>
      <c r="B71" s="32">
        <v>-4487</v>
      </c>
      <c r="C71" s="32">
        <v>-1376</v>
      </c>
      <c r="D71" s="25"/>
    </row>
    <row r="72" spans="1:4" x14ac:dyDescent="0.3">
      <c r="A72" s="33" t="s">
        <v>90</v>
      </c>
      <c r="B72" s="34">
        <v>83193</v>
      </c>
      <c r="C72" s="34">
        <v>85915</v>
      </c>
    </row>
    <row r="73" spans="1:4" x14ac:dyDescent="0.3">
      <c r="A73" s="15" t="s">
        <v>91</v>
      </c>
      <c r="B73" s="10">
        <v>146043</v>
      </c>
      <c r="C73" s="10">
        <v>138245</v>
      </c>
    </row>
    <row r="74" spans="1:4" x14ac:dyDescent="0.3">
      <c r="A74" s="35" t="s">
        <v>92</v>
      </c>
      <c r="B74" s="35">
        <v>462675</v>
      </c>
      <c r="C74" s="35">
        <v>420549</v>
      </c>
    </row>
    <row r="76" spans="1:4" x14ac:dyDescent="0.3">
      <c r="A76" s="2" t="s">
        <v>93</v>
      </c>
      <c r="B76" s="2"/>
      <c r="C76" s="2"/>
      <c r="D76" s="2"/>
    </row>
    <row r="77" spans="1:4" x14ac:dyDescent="0.3">
      <c r="B77" s="1" t="s">
        <v>15</v>
      </c>
      <c r="C77" s="1"/>
      <c r="D77" s="1"/>
    </row>
    <row r="78" spans="1:4" x14ac:dyDescent="0.3">
      <c r="B78" s="10">
        <v>2022</v>
      </c>
      <c r="C78" s="10">
        <v>2021</v>
      </c>
      <c r="D78" s="10"/>
    </row>
    <row r="80" spans="1:4" x14ac:dyDescent="0.3">
      <c r="A80" s="29" t="s">
        <v>94</v>
      </c>
      <c r="B80" s="29">
        <v>36477</v>
      </c>
      <c r="C80" s="29">
        <v>42377</v>
      </c>
    </row>
    <row r="81" spans="1:4" x14ac:dyDescent="0.3">
      <c r="A81" t="s">
        <v>95</v>
      </c>
    </row>
    <row r="82" spans="1:4" x14ac:dyDescent="0.3">
      <c r="A82" s="35" t="s">
        <v>96</v>
      </c>
      <c r="B82" s="35">
        <v>-2722</v>
      </c>
      <c r="C82" s="35">
        <v>33364</v>
      </c>
    </row>
    <row r="83" spans="1:4" x14ac:dyDescent="0.3">
      <c r="A83" t="s">
        <v>97</v>
      </c>
    </row>
    <row r="84" spans="1:4" x14ac:dyDescent="0.3">
      <c r="A84" t="s">
        <v>98</v>
      </c>
      <c r="B84">
        <v>41921</v>
      </c>
      <c r="C84">
        <v>34296</v>
      </c>
    </row>
    <row r="85" spans="1:4" x14ac:dyDescent="0.3">
      <c r="A85" t="s">
        <v>99</v>
      </c>
      <c r="B85">
        <v>19621</v>
      </c>
      <c r="C85">
        <v>12757</v>
      </c>
    </row>
    <row r="86" spans="1:4" x14ac:dyDescent="0.3">
      <c r="A86" s="3" t="s">
        <v>100</v>
      </c>
      <c r="B86" s="24">
        <v>16966</v>
      </c>
      <c r="C86" s="24">
        <v>137</v>
      </c>
      <c r="D86" s="24"/>
    </row>
    <row r="87" spans="1:4" x14ac:dyDescent="0.3">
      <c r="A87" s="36" t="s">
        <v>101</v>
      </c>
      <c r="B87" s="24"/>
      <c r="C87" s="37">
        <v>-14306</v>
      </c>
      <c r="D87" s="24"/>
    </row>
    <row r="88" spans="1:4" x14ac:dyDescent="0.3">
      <c r="A88" t="s">
        <v>102</v>
      </c>
      <c r="B88" s="24">
        <v>-8148</v>
      </c>
      <c r="C88" s="37">
        <v>-310</v>
      </c>
      <c r="D88" s="24"/>
    </row>
    <row r="89" spans="1:4" x14ac:dyDescent="0.3">
      <c r="A89" s="11"/>
      <c r="B89" s="24"/>
      <c r="C89" s="24"/>
      <c r="D89" s="24"/>
    </row>
    <row r="90" spans="1:4" x14ac:dyDescent="0.3">
      <c r="A90" s="11" t="s">
        <v>103</v>
      </c>
      <c r="B90" s="24"/>
      <c r="C90" s="24"/>
      <c r="D90" s="24"/>
    </row>
    <row r="91" spans="1:4" x14ac:dyDescent="0.3">
      <c r="A91" s="11" t="s">
        <v>104</v>
      </c>
      <c r="B91" s="24">
        <v>-2592</v>
      </c>
      <c r="C91" s="24">
        <v>-9487</v>
      </c>
      <c r="D91" s="24"/>
    </row>
    <row r="92" spans="1:4" x14ac:dyDescent="0.3">
      <c r="A92" s="11" t="s">
        <v>105</v>
      </c>
      <c r="B92" s="24">
        <v>-21897</v>
      </c>
      <c r="C92" s="24">
        <v>-18163</v>
      </c>
      <c r="D92" s="24"/>
    </row>
    <row r="93" spans="1:4" x14ac:dyDescent="0.3">
      <c r="A93" s="3" t="s">
        <v>106</v>
      </c>
      <c r="B93" s="24">
        <v>2945</v>
      </c>
      <c r="C93" s="24">
        <v>3602</v>
      </c>
      <c r="D93" s="24"/>
    </row>
    <row r="94" spans="1:4" x14ac:dyDescent="0.3">
      <c r="A94" s="11" t="s">
        <v>72</v>
      </c>
      <c r="B94" s="24">
        <v>-1558</v>
      </c>
      <c r="C94" s="24">
        <v>2123</v>
      </c>
      <c r="D94" s="24"/>
    </row>
    <row r="95" spans="1:4" x14ac:dyDescent="0.3">
      <c r="A95" s="11" t="s">
        <v>73</v>
      </c>
      <c r="B95" s="24">
        <v>2216</v>
      </c>
      <c r="C95" s="24">
        <v>2314</v>
      </c>
      <c r="D95" s="24"/>
    </row>
    <row r="96" spans="1:4" x14ac:dyDescent="0.3">
      <c r="A96" t="s">
        <v>107</v>
      </c>
      <c r="B96" s="24">
        <v>46752</v>
      </c>
      <c r="C96" s="24">
        <v>46327</v>
      </c>
      <c r="D96" s="25"/>
    </row>
    <row r="97" spans="1:4" x14ac:dyDescent="0.3">
      <c r="A97" s="16" t="s">
        <v>108</v>
      </c>
      <c r="B97" s="27">
        <f>B96+B95+B94+B93+B92+B91+B88+B86+B85+B84</f>
        <v>96226</v>
      </c>
      <c r="C97" s="27">
        <f>C96+C95+C94+C93+C92+C91+C88+C86+C85+C84+C87</f>
        <v>59290</v>
      </c>
      <c r="D97" s="24"/>
    </row>
    <row r="98" spans="1:4" x14ac:dyDescent="0.3">
      <c r="A98" s="38" t="s">
        <v>109</v>
      </c>
      <c r="B98" s="24"/>
      <c r="C98" s="24"/>
      <c r="D98" s="24"/>
    </row>
    <row r="99" spans="1:4" x14ac:dyDescent="0.3">
      <c r="A99" s="11" t="s">
        <v>110</v>
      </c>
      <c r="B99" s="24">
        <v>-63645</v>
      </c>
      <c r="C99" s="24">
        <v>-61053</v>
      </c>
      <c r="D99" s="24"/>
    </row>
    <row r="100" spans="1:4" x14ac:dyDescent="0.3">
      <c r="A100" s="11" t="s">
        <v>111</v>
      </c>
      <c r="B100" s="24">
        <v>5324</v>
      </c>
      <c r="C100" s="24">
        <v>5657</v>
      </c>
      <c r="D100" s="24"/>
    </row>
    <row r="101" spans="1:4" x14ac:dyDescent="0.3">
      <c r="A101" s="11" t="s">
        <v>112</v>
      </c>
      <c r="B101" s="24">
        <v>-8316</v>
      </c>
      <c r="C101" s="24">
        <v>-1985</v>
      </c>
      <c r="D101" s="24"/>
    </row>
    <row r="102" spans="1:4" x14ac:dyDescent="0.3">
      <c r="A102" s="11" t="s">
        <v>113</v>
      </c>
      <c r="B102" s="24">
        <v>31601</v>
      </c>
      <c r="C102" s="24">
        <v>59384</v>
      </c>
      <c r="D102" s="24"/>
    </row>
    <row r="103" spans="1:4" x14ac:dyDescent="0.3">
      <c r="A103" s="11" t="s">
        <v>114</v>
      </c>
      <c r="B103" s="24">
        <v>-2565</v>
      </c>
      <c r="C103" s="24">
        <v>-60157</v>
      </c>
      <c r="D103" s="24"/>
    </row>
    <row r="104" spans="1:4" x14ac:dyDescent="0.3">
      <c r="A104" s="11" t="s">
        <v>115</v>
      </c>
      <c r="B104" s="24">
        <v>-37601</v>
      </c>
      <c r="C104" s="24">
        <v>-58154</v>
      </c>
      <c r="D104" s="24"/>
    </row>
    <row r="105" spans="1:4" x14ac:dyDescent="0.3">
      <c r="A105" s="16" t="s">
        <v>116</v>
      </c>
      <c r="B105" s="16">
        <f>B104+B103+B102+B101+B100+B99</f>
        <v>-75202</v>
      </c>
      <c r="C105" s="16">
        <f>C104+C103+C102+C101+C100+C99</f>
        <v>-116308</v>
      </c>
      <c r="D105" s="24"/>
    </row>
    <row r="106" spans="1:4" x14ac:dyDescent="0.3">
      <c r="A106" s="38" t="s">
        <v>117</v>
      </c>
      <c r="B106" s="24"/>
      <c r="C106" s="24"/>
      <c r="D106" s="25"/>
    </row>
    <row r="107" spans="1:4" x14ac:dyDescent="0.3">
      <c r="A107" s="3" t="s">
        <v>118</v>
      </c>
      <c r="B107" s="18">
        <v>-6000</v>
      </c>
      <c r="C107" s="18" t="s">
        <v>119</v>
      </c>
    </row>
    <row r="108" spans="1:4" x14ac:dyDescent="0.3">
      <c r="A108" t="s">
        <v>120</v>
      </c>
      <c r="B108" s="24">
        <v>41553</v>
      </c>
      <c r="C108" s="24">
        <v>7956</v>
      </c>
      <c r="D108" s="24"/>
    </row>
    <row r="109" spans="1:4" x14ac:dyDescent="0.3">
      <c r="A109" t="s">
        <v>121</v>
      </c>
      <c r="B109" s="24">
        <v>-37554</v>
      </c>
      <c r="C109" s="24">
        <v>-7753</v>
      </c>
      <c r="D109" s="24"/>
    </row>
    <row r="110" spans="1:4" x14ac:dyDescent="0.3">
      <c r="A110" s="11" t="s">
        <v>122</v>
      </c>
      <c r="B110" s="24">
        <v>21166</v>
      </c>
      <c r="C110" s="24">
        <v>19003</v>
      </c>
      <c r="D110" s="24"/>
    </row>
    <row r="111" spans="1:4" x14ac:dyDescent="0.3">
      <c r="A111" s="11" t="s">
        <v>123</v>
      </c>
      <c r="B111" s="24">
        <v>-1258</v>
      </c>
      <c r="C111" s="24">
        <v>-1590</v>
      </c>
      <c r="D111" s="24"/>
    </row>
    <row r="112" spans="1:4" x14ac:dyDescent="0.3">
      <c r="A112" s="11" t="s">
        <v>124</v>
      </c>
      <c r="B112" s="24">
        <v>-7941</v>
      </c>
      <c r="C112" s="24">
        <v>-11163</v>
      </c>
      <c r="D112" s="24"/>
    </row>
    <row r="113" spans="1:4" x14ac:dyDescent="0.3">
      <c r="A113" s="11" t="s">
        <v>125</v>
      </c>
      <c r="B113" s="24">
        <v>-248</v>
      </c>
      <c r="C113" s="24">
        <v>162</v>
      </c>
      <c r="D113" s="24"/>
    </row>
    <row r="114" spans="1:4" x14ac:dyDescent="0.3">
      <c r="A114" s="11" t="s">
        <v>126</v>
      </c>
      <c r="B114" s="24">
        <v>9718</v>
      </c>
      <c r="C114" s="24">
        <v>6291</v>
      </c>
      <c r="D114" s="24"/>
    </row>
    <row r="115" spans="1:4" x14ac:dyDescent="0.3">
      <c r="A115" s="11" t="s">
        <v>127</v>
      </c>
      <c r="B115" s="24">
        <v>-1093</v>
      </c>
      <c r="C115" s="24">
        <v>364</v>
      </c>
      <c r="D115" s="24"/>
    </row>
    <row r="116" spans="1:4" x14ac:dyDescent="0.3">
      <c r="A116" s="11" t="s">
        <v>128</v>
      </c>
      <c r="B116" s="24">
        <v>17776</v>
      </c>
      <c r="C116" s="24">
        <v>-5900</v>
      </c>
      <c r="D116" s="24"/>
    </row>
    <row r="117" spans="1:4" x14ac:dyDescent="0.3">
      <c r="A117" s="14" t="s">
        <v>129</v>
      </c>
      <c r="B117" s="14">
        <f>B116+B115+B114+B113+B112+B111+B110+B109+B108</f>
        <v>42119</v>
      </c>
      <c r="C117" s="14">
        <f>C116+C115+C114+C113+C112+C111+C110+C109+C108</f>
        <v>7370</v>
      </c>
      <c r="D117" s="24"/>
    </row>
    <row r="118" spans="1:4" x14ac:dyDescent="0.3">
      <c r="A118" s="14" t="s">
        <v>130</v>
      </c>
      <c r="B118" s="39"/>
      <c r="C118" s="39"/>
      <c r="D118" s="24"/>
    </row>
    <row r="119" spans="1:4" x14ac:dyDescent="0.3">
      <c r="A119" s="40" t="s">
        <v>131</v>
      </c>
      <c r="B119" s="41">
        <v>54253</v>
      </c>
      <c r="C119" s="41">
        <v>36477</v>
      </c>
      <c r="D119" s="24"/>
    </row>
    <row r="120" spans="1:4" x14ac:dyDescent="0.3">
      <c r="B120" s="24"/>
      <c r="C120" s="24"/>
      <c r="D120" s="24"/>
    </row>
    <row r="121" spans="1:4" x14ac:dyDescent="0.3">
      <c r="A121" s="10" t="s">
        <v>132</v>
      </c>
      <c r="B121" s="24"/>
      <c r="C121" s="24"/>
    </row>
    <row r="122" spans="1:4" x14ac:dyDescent="0.3">
      <c r="A122" t="s">
        <v>133</v>
      </c>
      <c r="B122" s="30">
        <v>1561</v>
      </c>
      <c r="C122" s="24">
        <v>1098</v>
      </c>
    </row>
    <row r="123" spans="1:4" x14ac:dyDescent="0.3">
      <c r="A123" t="s">
        <v>134</v>
      </c>
      <c r="B123" s="30">
        <v>8633</v>
      </c>
      <c r="C123" s="24">
        <v>6722</v>
      </c>
    </row>
    <row r="124" spans="1:4" x14ac:dyDescent="0.3">
      <c r="A124" t="s">
        <v>135</v>
      </c>
      <c r="B124" s="3">
        <v>374</v>
      </c>
      <c r="C124">
        <v>521</v>
      </c>
    </row>
    <row r="125" spans="1:4" x14ac:dyDescent="0.3">
      <c r="A125" t="s">
        <v>136</v>
      </c>
      <c r="B125" s="3">
        <v>207</v>
      </c>
      <c r="C125">
        <v>153</v>
      </c>
    </row>
    <row r="126" spans="1:4" x14ac:dyDescent="0.3">
      <c r="A126" t="s">
        <v>137</v>
      </c>
      <c r="B126" s="3">
        <v>6035</v>
      </c>
      <c r="C126">
        <v>3688</v>
      </c>
    </row>
    <row r="127" spans="1:4" x14ac:dyDescent="0.3">
      <c r="B127" s="7">
        <f>B122+B124+B125</f>
        <v>2142</v>
      </c>
      <c r="C127" s="7">
        <f>C122+C124+C125</f>
        <v>1772</v>
      </c>
    </row>
    <row r="128" spans="1:4" x14ac:dyDescent="0.3">
      <c r="A128" s="3" t="s">
        <v>138</v>
      </c>
      <c r="B128" s="3">
        <v>18800</v>
      </c>
      <c r="C128">
        <v>25369</v>
      </c>
    </row>
    <row r="129" spans="1:4" x14ac:dyDescent="0.3">
      <c r="A129" t="s">
        <v>139</v>
      </c>
      <c r="B129" s="3">
        <v>675</v>
      </c>
      <c r="C129">
        <v>7061</v>
      </c>
    </row>
    <row r="130" spans="1:4" x14ac:dyDescent="0.3">
      <c r="A130" t="s">
        <v>140</v>
      </c>
      <c r="B130" s="3">
        <v>3187</v>
      </c>
      <c r="C130" s="3">
        <v>5846</v>
      </c>
    </row>
    <row r="131" spans="1:4" x14ac:dyDescent="0.3">
      <c r="A131" s="3" t="s">
        <v>141</v>
      </c>
      <c r="B131" s="3">
        <v>5158</v>
      </c>
      <c r="C131" s="3">
        <v>230</v>
      </c>
    </row>
    <row r="133" spans="1:4" x14ac:dyDescent="0.3">
      <c r="A133" t="s">
        <v>142</v>
      </c>
      <c r="B133" s="3">
        <v>10189</v>
      </c>
      <c r="C133" s="3">
        <v>10117</v>
      </c>
    </row>
    <row r="134" spans="1:4" x14ac:dyDescent="0.3">
      <c r="A134" t="s">
        <v>143</v>
      </c>
      <c r="C134" s="3">
        <v>179</v>
      </c>
    </row>
    <row r="135" spans="1:4" x14ac:dyDescent="0.3">
      <c r="A135" t="s">
        <v>144</v>
      </c>
      <c r="B135" s="3">
        <v>10189</v>
      </c>
      <c r="C135" s="3">
        <v>10296</v>
      </c>
    </row>
    <row r="137" spans="1:4" x14ac:dyDescent="0.3">
      <c r="A137" s="14"/>
      <c r="B137" s="14"/>
      <c r="C137" s="14"/>
      <c r="D137" s="14"/>
    </row>
    <row r="140" spans="1:4" x14ac:dyDescent="0.3">
      <c r="B140" s="25"/>
      <c r="C140" s="25"/>
      <c r="D140" s="25"/>
    </row>
    <row r="141" spans="1:4" x14ac:dyDescent="0.3">
      <c r="B141" s="24"/>
      <c r="C141" s="24"/>
      <c r="D141" s="24"/>
    </row>
    <row r="142" spans="1:4" x14ac:dyDescent="0.3">
      <c r="A142" s="11"/>
      <c r="B142" s="25"/>
      <c r="C142" s="24"/>
      <c r="D142" s="24"/>
    </row>
    <row r="143" spans="1:4" x14ac:dyDescent="0.3">
      <c r="A143" s="11"/>
      <c r="B143" s="24"/>
      <c r="C143" s="24"/>
      <c r="D143" s="24"/>
    </row>
    <row r="144" spans="1:4" x14ac:dyDescent="0.3">
      <c r="A144" s="36"/>
      <c r="B144" s="24"/>
      <c r="C144" s="24"/>
      <c r="D144" s="24"/>
    </row>
    <row r="145" spans="1:4" x14ac:dyDescent="0.3">
      <c r="A145" s="36"/>
      <c r="B145" s="24"/>
      <c r="C145" s="24"/>
      <c r="D145" s="24"/>
    </row>
    <row r="146" spans="1:4" x14ac:dyDescent="0.3">
      <c r="A146" s="3"/>
    </row>
    <row r="170" spans="1:4" x14ac:dyDescent="0.3">
      <c r="A170" t="s">
        <v>145</v>
      </c>
    </row>
    <row r="171" spans="1:4" x14ac:dyDescent="0.3">
      <c r="A171" s="11" t="s">
        <v>146</v>
      </c>
      <c r="C171" s="24">
        <v>279833</v>
      </c>
      <c r="D171" s="24">
        <v>236282</v>
      </c>
    </row>
    <row r="172" spans="1:4" x14ac:dyDescent="0.3">
      <c r="A172" s="11" t="s">
        <v>147</v>
      </c>
      <c r="C172">
        <v>272562</v>
      </c>
      <c r="D172">
        <v>227631</v>
      </c>
    </row>
    <row r="173" spans="1:4" x14ac:dyDescent="0.3">
      <c r="A173" s="31" t="s">
        <v>148</v>
      </c>
      <c r="C173" s="32">
        <v>7271</v>
      </c>
      <c r="D173" s="32">
        <v>8651</v>
      </c>
    </row>
    <row r="174" spans="1:4" x14ac:dyDescent="0.3">
      <c r="C174" s="24"/>
      <c r="D174" s="24"/>
    </row>
    <row r="175" spans="1:4" x14ac:dyDescent="0.3">
      <c r="A175" s="11" t="s">
        <v>149</v>
      </c>
      <c r="C175" s="24"/>
      <c r="D175" s="24"/>
    </row>
    <row r="176" spans="1:4" x14ac:dyDescent="0.3">
      <c r="A176" s="11" t="s">
        <v>146</v>
      </c>
      <c r="C176" s="24">
        <v>127787</v>
      </c>
      <c r="D176" s="24">
        <v>104412</v>
      </c>
    </row>
    <row r="177" spans="1:4" x14ac:dyDescent="0.3">
      <c r="A177" s="31" t="s">
        <v>150</v>
      </c>
      <c r="C177" s="32">
        <v>128711</v>
      </c>
      <c r="D177" s="32">
        <v>103695</v>
      </c>
    </row>
    <row r="178" spans="1:4" x14ac:dyDescent="0.3">
      <c r="A178" s="31" t="s">
        <v>151</v>
      </c>
      <c r="C178" s="32">
        <v>-924</v>
      </c>
      <c r="D178" s="32">
        <v>717</v>
      </c>
    </row>
    <row r="179" spans="1:4" x14ac:dyDescent="0.3">
      <c r="A179" t="s">
        <v>152</v>
      </c>
      <c r="C179" s="24">
        <v>62202</v>
      </c>
      <c r="D179" s="24">
        <v>45370</v>
      </c>
    </row>
    <row r="180" spans="1:4" x14ac:dyDescent="0.3">
      <c r="C180" s="24"/>
      <c r="D180" s="24"/>
    </row>
    <row r="181" spans="1:4" x14ac:dyDescent="0.3">
      <c r="A181" s="11" t="s">
        <v>147</v>
      </c>
      <c r="C181" s="24">
        <v>43670</v>
      </c>
      <c r="D181" s="24">
        <v>31839</v>
      </c>
    </row>
    <row r="182" spans="1:4" x14ac:dyDescent="0.3">
      <c r="A182" s="31" t="s">
        <v>148</v>
      </c>
      <c r="C182" s="32">
        <v>18532</v>
      </c>
      <c r="D182" s="32">
        <v>13531</v>
      </c>
    </row>
    <row r="183" spans="1:4" x14ac:dyDescent="0.3">
      <c r="A183" s="14"/>
      <c r="C183" s="42"/>
      <c r="D183" s="42"/>
    </row>
    <row r="184" spans="1:4" x14ac:dyDescent="0.3">
      <c r="A184" t="s">
        <v>153</v>
      </c>
      <c r="C184" s="24">
        <v>280522</v>
      </c>
      <c r="D184" s="24">
        <v>386064</v>
      </c>
    </row>
    <row r="185" spans="1:4" x14ac:dyDescent="0.3">
      <c r="A185" s="31" t="s">
        <v>147</v>
      </c>
      <c r="C185" s="32">
        <v>444943</v>
      </c>
      <c r="D185" s="32">
        <v>363165</v>
      </c>
    </row>
    <row r="186" spans="1:4" x14ac:dyDescent="0.3">
      <c r="A186" t="s">
        <v>148</v>
      </c>
      <c r="C186" s="24">
        <v>22899</v>
      </c>
      <c r="D186" s="24">
        <v>24879</v>
      </c>
    </row>
    <row r="187" spans="1:4" x14ac:dyDescent="0.3">
      <c r="A187" s="43" t="s">
        <v>154</v>
      </c>
      <c r="C187" s="44">
        <v>13272</v>
      </c>
      <c r="D187" s="44">
        <v>1279</v>
      </c>
    </row>
    <row r="189" spans="1:4" x14ac:dyDescent="0.3">
      <c r="A189" s="11" t="s">
        <v>155</v>
      </c>
      <c r="C189">
        <v>-4791</v>
      </c>
      <c r="D189">
        <v>-2863</v>
      </c>
    </row>
    <row r="190" spans="1:4" x14ac:dyDescent="0.3">
      <c r="A190" s="11" t="s">
        <v>156</v>
      </c>
      <c r="C190">
        <v>4</v>
      </c>
      <c r="D190">
        <v>16</v>
      </c>
    </row>
    <row r="191" spans="1:4" x14ac:dyDescent="0.3">
      <c r="A191" s="10" t="s">
        <v>49</v>
      </c>
      <c r="C191" s="10">
        <v>21331</v>
      </c>
      <c r="D191" s="10">
        <v>33364</v>
      </c>
    </row>
    <row r="192" spans="1:4" x14ac:dyDescent="0.3">
      <c r="A192" s="11" t="s">
        <v>157</v>
      </c>
      <c r="B192" s="45"/>
      <c r="C192" s="45">
        <v>506</v>
      </c>
      <c r="D192" s="45"/>
    </row>
    <row r="193" spans="1:4" x14ac:dyDescent="0.3">
      <c r="A193" s="11" t="s">
        <v>158</v>
      </c>
      <c r="B193" s="45"/>
      <c r="C193" s="45">
        <v>9</v>
      </c>
      <c r="D193" s="45"/>
    </row>
    <row r="194" spans="1:4" x14ac:dyDescent="0.3">
      <c r="A194" t="s">
        <v>159</v>
      </c>
      <c r="C194">
        <v>515</v>
      </c>
    </row>
  </sheetData>
  <mergeCells count="6">
    <mergeCell ref="B77:D77"/>
    <mergeCell ref="A2:D2"/>
    <mergeCell ref="B3:D3"/>
    <mergeCell ref="A35:D35"/>
    <mergeCell ref="B36:D36"/>
    <mergeCell ref="A76:D76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8"/>
  <sheetViews>
    <sheetView tabSelected="1" zoomScaleNormal="100" workbookViewId="0">
      <selection activeCell="B1" sqref="B1"/>
    </sheetView>
  </sheetViews>
  <sheetFormatPr defaultColWidth="8.5546875" defaultRowHeight="14.4" x14ac:dyDescent="0.3"/>
  <cols>
    <col min="1" max="1" width="4.6640625" customWidth="1"/>
    <col min="2" max="2" width="44.88671875" customWidth="1"/>
    <col min="5" max="5" width="28.109375" customWidth="1"/>
  </cols>
  <sheetData>
    <row r="1" spans="1:10" ht="60" customHeight="1" x14ac:dyDescent="0.5">
      <c r="A1" s="8"/>
      <c r="B1" s="46" t="s">
        <v>160</v>
      </c>
      <c r="C1" s="47"/>
      <c r="D1" s="47"/>
      <c r="E1" s="54" t="s">
        <v>232</v>
      </c>
      <c r="F1" s="47"/>
      <c r="G1" s="47"/>
      <c r="H1" s="47"/>
      <c r="I1" s="47"/>
      <c r="J1" s="47"/>
    </row>
    <row r="2" spans="1:10" x14ac:dyDescent="0.3">
      <c r="C2" s="1" t="s">
        <v>161</v>
      </c>
      <c r="D2" s="1"/>
      <c r="E2" s="1"/>
    </row>
    <row r="3" spans="1:10" x14ac:dyDescent="0.3">
      <c r="C3" s="10">
        <v>2022</v>
      </c>
      <c r="D3" s="10">
        <v>2021</v>
      </c>
      <c r="E3" s="10"/>
    </row>
    <row r="4" spans="1:10" x14ac:dyDescent="0.3">
      <c r="A4" s="48">
        <v>1</v>
      </c>
      <c r="B4" s="10" t="s">
        <v>162</v>
      </c>
    </row>
    <row r="5" spans="1:10" x14ac:dyDescent="0.3">
      <c r="A5" s="48">
        <f t="shared" ref="A5:A13" si="0">+A4+0.1</f>
        <v>1.1000000000000001</v>
      </c>
      <c r="B5" s="11" t="s">
        <v>163</v>
      </c>
      <c r="C5">
        <f>'Financial Statements'!B44/'Financial Statements'!B55</f>
        <v>0.9446435811136924</v>
      </c>
      <c r="D5">
        <f>'Financial Statements'!C44/'Financial Statements'!C55</f>
        <v>1.1357597739445826</v>
      </c>
    </row>
    <row r="6" spans="1:10" x14ac:dyDescent="0.3">
      <c r="A6" s="48">
        <f t="shared" si="0"/>
        <v>1.2000000000000002</v>
      </c>
      <c r="B6" s="11" t="s">
        <v>164</v>
      </c>
      <c r="C6">
        <f>('Financial Statements'!B40+'Financial Statements'!B41+'Financial Statements'!B2)/'Financial Statements'!B55</f>
        <v>0.45063805962945563</v>
      </c>
      <c r="D6">
        <f>('Financial Statements'!C40+'Financial Statements'!C41+'Financial Statements'!C2)/'Financial Statements'!C55</f>
        <v>0.67513671572968947</v>
      </c>
    </row>
    <row r="7" spans="1:10" x14ac:dyDescent="0.3">
      <c r="A7" s="48">
        <f t="shared" si="0"/>
        <v>1.3000000000000003</v>
      </c>
      <c r="B7" s="11" t="s">
        <v>165</v>
      </c>
      <c r="C7">
        <f>'Financial Statements'!B105/'Financial Statements'!B55</f>
        <v>-0.48394715334667587</v>
      </c>
      <c r="D7">
        <f>'Financial Statements'!C105/'Financial Statements'!C55</f>
        <v>-0.81753897628386263</v>
      </c>
      <c r="E7" t="s">
        <v>223</v>
      </c>
    </row>
    <row r="8" spans="1:10" x14ac:dyDescent="0.3">
      <c r="A8" s="48">
        <f t="shared" si="0"/>
        <v>1.4000000000000004</v>
      </c>
      <c r="B8" s="11" t="s">
        <v>166</v>
      </c>
      <c r="C8">
        <f>'Financial Statements'!B44/'Financial Statements'!G25</f>
        <v>124.20449724717474</v>
      </c>
      <c r="D8">
        <f>'Financial Statements'!C44/'Financial Statements'!H25</f>
        <v>143.01923762455471</v>
      </c>
      <c r="E8" t="s">
        <v>224</v>
      </c>
    </row>
    <row r="9" spans="1:10" x14ac:dyDescent="0.3">
      <c r="A9" s="48">
        <f t="shared" si="0"/>
        <v>1.5000000000000004</v>
      </c>
      <c r="B9" s="11" t="s">
        <v>167</v>
      </c>
      <c r="C9">
        <f>('Financial Statements'!B42/'Financial Statements'!B9)*365</f>
        <v>43.4781065744328</v>
      </c>
      <c r="D9">
        <f>('Financial Statements'!C42/'Financial Statements'!C9)*365</f>
        <v>43.744675851129458</v>
      </c>
    </row>
    <row r="10" spans="1:10" x14ac:dyDescent="0.3">
      <c r="A10" s="48">
        <f t="shared" si="0"/>
        <v>1.6000000000000005</v>
      </c>
      <c r="B10" s="11" t="s">
        <v>168</v>
      </c>
      <c r="C10">
        <f>'Financial Statements'!B52/'Financial Statements'!B9*365</f>
        <v>100.59169548975007</v>
      </c>
      <c r="D10">
        <f>'Financial Statements'!C52/'Financial Statements'!C9*365</f>
        <v>105.42681314807743</v>
      </c>
    </row>
    <row r="11" spans="1:10" x14ac:dyDescent="0.3">
      <c r="A11" s="48">
        <f t="shared" si="0"/>
        <v>1.7000000000000006</v>
      </c>
      <c r="B11" s="11" t="s">
        <v>169</v>
      </c>
      <c r="C11">
        <f>('Financial Statements'!B43/'Financial Statements'!B8)*365</f>
        <v>30.081539661817608</v>
      </c>
      <c r="D11">
        <f>('Financial Statements'!C43/'Financial Statements'!C8)*365</f>
        <v>25.552688039299991</v>
      </c>
    </row>
    <row r="12" spans="1:10" x14ac:dyDescent="0.3">
      <c r="A12" s="48">
        <f t="shared" si="0"/>
        <v>1.8000000000000007</v>
      </c>
      <c r="B12" s="11" t="s">
        <v>170</v>
      </c>
      <c r="C12">
        <f>C11-C10+C9</f>
        <v>-27.032049253499665</v>
      </c>
      <c r="D12">
        <f>D11-D10+D9</f>
        <v>-36.129449257647977</v>
      </c>
    </row>
    <row r="13" spans="1:10" x14ac:dyDescent="0.3">
      <c r="A13" s="48">
        <f t="shared" si="0"/>
        <v>1.9000000000000008</v>
      </c>
      <c r="B13" s="11" t="s">
        <v>171</v>
      </c>
      <c r="C13">
        <f>'Financial Statements'!G17/'Financial Statements'!B8</f>
        <v>-1.6735962084349094E-2</v>
      </c>
      <c r="D13">
        <f>'Financial Statements'!H17/'Financial Statements'!C8</f>
        <v>4.1109186032156859E-2</v>
      </c>
    </row>
    <row r="14" spans="1:10" x14ac:dyDescent="0.3">
      <c r="A14" s="48"/>
      <c r="B14" s="36" t="s">
        <v>172</v>
      </c>
      <c r="C14">
        <f>'Financial Statements'!B44-'Financial Statements'!B55</f>
        <v>-8602</v>
      </c>
      <c r="D14">
        <f>'Financial Statements'!C44-'Financial Statements'!C55</f>
        <v>19314</v>
      </c>
    </row>
    <row r="15" spans="1:10" x14ac:dyDescent="0.3">
      <c r="A15" s="48"/>
    </row>
    <row r="16" spans="1:10" x14ac:dyDescent="0.3">
      <c r="A16" s="48">
        <f>+A4+1</f>
        <v>2</v>
      </c>
      <c r="B16" s="15" t="s">
        <v>173</v>
      </c>
    </row>
    <row r="17" spans="1:5" x14ac:dyDescent="0.3">
      <c r="A17" s="48">
        <f>+A16+0.1</f>
        <v>2.1</v>
      </c>
      <c r="B17" s="11" t="s">
        <v>174</v>
      </c>
      <c r="C17" s="49">
        <f>'Financial Statements'!B10/'Financial Statements'!B8</f>
        <v>0.43805339865326287</v>
      </c>
      <c r="D17" s="49">
        <f>'Financial Statements'!C10/'Financial Statements'!C8</f>
        <v>0.42032514441639601</v>
      </c>
    </row>
    <row r="18" spans="1:5" x14ac:dyDescent="0.3">
      <c r="A18" s="48">
        <f>+A17+0.1</f>
        <v>2.2000000000000002</v>
      </c>
      <c r="B18" s="11" t="s">
        <v>175</v>
      </c>
      <c r="C18" s="49">
        <f>'Financial Statements'!G7/'Financial Statements'!B8</f>
        <v>0.10539064521589235</v>
      </c>
      <c r="D18" s="49">
        <f>'Financial Statements'!C18/'Financial Statements'!C8</f>
        <v>5.2954097509269465E-2</v>
      </c>
    </row>
    <row r="19" spans="1:5" x14ac:dyDescent="0.3">
      <c r="A19" s="48"/>
      <c r="B19" s="36" t="s">
        <v>20</v>
      </c>
      <c r="C19">
        <f>'Financial Statements'!B18+'Financial Statements'!B84</f>
        <v>54169</v>
      </c>
      <c r="D19">
        <f>'Financial Statements'!C18+'Financial Statements'!C84</f>
        <v>59175</v>
      </c>
    </row>
    <row r="20" spans="1:5" x14ac:dyDescent="0.3">
      <c r="A20" s="48">
        <f>+A18+0.1</f>
        <v>2.3000000000000003</v>
      </c>
      <c r="B20" s="11" t="s">
        <v>176</v>
      </c>
      <c r="C20" s="49">
        <f>'Financial Statements'!B18/'Financial Statements'!B8</f>
        <v>2.3829581912242232E-2</v>
      </c>
      <c r="D20" s="49">
        <f>'Financial Statements'!C18/'Financial Statements'!C8</f>
        <v>5.2954097509269465E-2</v>
      </c>
    </row>
    <row r="21" spans="1:5" x14ac:dyDescent="0.3">
      <c r="A21" s="48"/>
      <c r="B21" s="36" t="s">
        <v>18</v>
      </c>
      <c r="C21">
        <f>'Financial Statements'!B18+'Financial Statements'!B21</f>
        <v>-4558</v>
      </c>
      <c r="D21">
        <f>'Financial Statements'!C18+'Financial Statements'!C21</f>
        <v>39512</v>
      </c>
      <c r="E21" t="s">
        <v>225</v>
      </c>
    </row>
    <row r="22" spans="1:5" x14ac:dyDescent="0.3">
      <c r="A22" s="48">
        <f>+A20+0.1</f>
        <v>2.4000000000000004</v>
      </c>
      <c r="B22" s="11" t="s">
        <v>177</v>
      </c>
      <c r="C22" s="49">
        <f>'Financial Statements'!B26/'Financial Statements'!B8</f>
        <v>-5.2958950004183018E-3</v>
      </c>
      <c r="D22" s="49">
        <f>'Financial Statements'!C26/'Financial Statements'!C8</f>
        <v>7.1014128755145567E-2</v>
      </c>
    </row>
    <row r="23" spans="1:5" x14ac:dyDescent="0.3">
      <c r="A23" s="48"/>
    </row>
    <row r="24" spans="1:5" x14ac:dyDescent="0.3">
      <c r="A24" s="48">
        <f>+A16+1</f>
        <v>3</v>
      </c>
      <c r="B24" s="10" t="s">
        <v>178</v>
      </c>
    </row>
    <row r="25" spans="1:5" x14ac:dyDescent="0.3">
      <c r="A25" s="48">
        <f t="shared" ref="A25:A30" si="1">+A24+0.1</f>
        <v>3.1</v>
      </c>
      <c r="B25" s="11" t="s">
        <v>179</v>
      </c>
      <c r="C25" s="49">
        <f>'Financial Statements'!B57/'Financial Statements'!B73</f>
        <v>0.45979608745369516</v>
      </c>
      <c r="D25" s="49">
        <f>'Financial Statements'!C57/'Financial Statements'!C73</f>
        <v>0.35259141379435061</v>
      </c>
    </row>
    <row r="26" spans="1:5" x14ac:dyDescent="0.3">
      <c r="A26" s="48">
        <f t="shared" si="1"/>
        <v>3.2</v>
      </c>
      <c r="B26" s="11" t="s">
        <v>180</v>
      </c>
      <c r="C26" s="49">
        <f>'Financial Statements'!B57/'Financial Statements'!B50</f>
        <v>0.11017841848437812</v>
      </c>
      <c r="D26" s="49">
        <f>'Financial Statements'!C57/'Financial Statements'!C50</f>
        <v>8.3734017717722362E-2</v>
      </c>
    </row>
    <row r="27" spans="1:5" x14ac:dyDescent="0.3">
      <c r="A27" s="48">
        <f t="shared" si="1"/>
        <v>3.3000000000000003</v>
      </c>
      <c r="B27" s="11" t="s">
        <v>181</v>
      </c>
      <c r="C27">
        <f>'Financial Statements'!B57/'Financial Statements'!G10</f>
        <v>0.21852890829921701</v>
      </c>
      <c r="D27">
        <f>'Financial Statements'!C57/'Financial Statements'!H10</f>
        <v>0.17515981932061966</v>
      </c>
      <c r="E27" s="53" t="s">
        <v>226</v>
      </c>
    </row>
    <row r="28" spans="1:5" x14ac:dyDescent="0.3">
      <c r="A28" s="48">
        <f t="shared" si="1"/>
        <v>3.4000000000000004</v>
      </c>
      <c r="B28" s="11" t="s">
        <v>182</v>
      </c>
      <c r="C28">
        <f>'Financial Statements'!G6/'Financial Statements'!B22</f>
        <v>0.25065992080950283</v>
      </c>
      <c r="D28">
        <f>'Financial Statements'!H6/'Financial Statements'!C22</f>
        <v>2.9770946353224836</v>
      </c>
      <c r="E28" t="s">
        <v>227</v>
      </c>
    </row>
    <row r="29" spans="1:5" x14ac:dyDescent="0.3">
      <c r="A29" s="48">
        <f t="shared" si="1"/>
        <v>3.5000000000000004</v>
      </c>
      <c r="B29" s="11" t="s">
        <v>183</v>
      </c>
      <c r="C29">
        <f>'Financial Statements'!G6/'Financial Statements'!G27</f>
        <v>-5.1561085972850682</v>
      </c>
      <c r="D29">
        <f>'Financial Statements'!H6/'Financial Statements'!H27</f>
        <v>217.09890109890111</v>
      </c>
      <c r="E29" t="s">
        <v>228</v>
      </c>
    </row>
    <row r="30" spans="1:5" x14ac:dyDescent="0.3">
      <c r="A30" s="48">
        <f t="shared" si="1"/>
        <v>3.6000000000000005</v>
      </c>
      <c r="B30" s="11" t="s">
        <v>184</v>
      </c>
      <c r="C30">
        <f>'Financial Statements'!G8/'Financial Statements'!B33</f>
        <v>6.1416233192658751</v>
      </c>
      <c r="D30">
        <f>'Financial Statements'!H8/'Financial Statements'!C33</f>
        <v>-4.7651515151515156</v>
      </c>
    </row>
    <row r="31" spans="1:5" x14ac:dyDescent="0.3">
      <c r="A31" s="48"/>
      <c r="B31" s="36" t="s">
        <v>22</v>
      </c>
      <c r="C31">
        <f>'Financial Statements'!B97+'Financial Statements'!B105+'Financial Statements'!B108</f>
        <v>62577</v>
      </c>
      <c r="D31">
        <f>'Financial Statements'!C97+'Financial Statements'!C105+'Financial Statements'!C108</f>
        <v>-49062</v>
      </c>
      <c r="E31" t="s">
        <v>231</v>
      </c>
    </row>
    <row r="32" spans="1:5" x14ac:dyDescent="0.3">
      <c r="A32" s="48"/>
    </row>
    <row r="33" spans="1:5" x14ac:dyDescent="0.3">
      <c r="A33" s="48">
        <f>+A24+1</f>
        <v>4</v>
      </c>
      <c r="B33" s="15" t="s">
        <v>185</v>
      </c>
    </row>
    <row r="34" spans="1:5" x14ac:dyDescent="0.3">
      <c r="A34" s="48">
        <f>+A33+0.1</f>
        <v>4.0999999999999996</v>
      </c>
      <c r="B34" s="11" t="s">
        <v>186</v>
      </c>
      <c r="C34">
        <f>'Financial Statements'!B8/'Financial Statements'!B50</f>
        <v>0.84333334427187079</v>
      </c>
      <c r="D34">
        <f>'Financial Statements'!C8/'Financial Statements'!C50</f>
        <v>0.80707540768455099</v>
      </c>
    </row>
    <row r="35" spans="1:5" x14ac:dyDescent="0.3">
      <c r="A35" s="48">
        <f>+A34+0.1</f>
        <v>4.1999999999999993</v>
      </c>
      <c r="B35" s="11" t="s">
        <v>187</v>
      </c>
      <c r="C35">
        <f>'Financial Statements'!B8/'Financial Statements'!B49</f>
        <v>1.1108942562273734</v>
      </c>
      <c r="D35">
        <f>'Financial Statements'!C8/'Financial Statements'!C49</f>
        <v>1.1171635172120253</v>
      </c>
    </row>
    <row r="36" spans="1:5" x14ac:dyDescent="0.3">
      <c r="A36" s="48">
        <f>+A35+0.1</f>
        <v>4.2999999999999989</v>
      </c>
      <c r="B36" s="11" t="s">
        <v>188</v>
      </c>
      <c r="C36">
        <f>'Financial Statements'!B9/'Financial Statements'!B43</f>
        <v>6.8184844192634557</v>
      </c>
      <c r="D36">
        <f>'Financial Statements'!C9/'Financial Statements'!C43</f>
        <v>8.2801982305189874</v>
      </c>
    </row>
    <row r="37" spans="1:5" x14ac:dyDescent="0.3">
      <c r="A37" s="48">
        <f>+A36+0.1</f>
        <v>4.3999999999999986</v>
      </c>
      <c r="B37" s="11" t="s">
        <v>189</v>
      </c>
      <c r="C37" s="49">
        <f>'Financial Statements'!B26/'Financial Statements'!B50</f>
        <v>-4.4662048416154471E-3</v>
      </c>
      <c r="D37" s="49">
        <f>'Financial Statements'!C26/'Financial Statements'!C50</f>
        <v>5.7313756916422307E-2</v>
      </c>
    </row>
    <row r="38" spans="1:5" x14ac:dyDescent="0.3">
      <c r="A38" s="48"/>
    </row>
    <row r="39" spans="1:5" x14ac:dyDescent="0.3">
      <c r="A39" s="48">
        <f>+A33+1</f>
        <v>5</v>
      </c>
      <c r="B39" s="15" t="s">
        <v>190</v>
      </c>
    </row>
    <row r="40" spans="1:5" x14ac:dyDescent="0.3">
      <c r="A40" s="48">
        <f>+A39+0.1</f>
        <v>5.0999999999999996</v>
      </c>
      <c r="B40" s="11" t="s">
        <v>191</v>
      </c>
      <c r="C40">
        <f>'Financial Statements'!G14/'Financial Statements'!B29</f>
        <v>-418.88888888888886</v>
      </c>
      <c r="D40">
        <f>'Financial Statements'!H14/'Financial Statements'!C29</f>
        <v>50.675925925925924</v>
      </c>
    </row>
    <row r="41" spans="1:5" x14ac:dyDescent="0.3">
      <c r="A41" s="48">
        <f>+A40+0.1</f>
        <v>5.1999999999999993</v>
      </c>
      <c r="B41" s="36" t="s">
        <v>192</v>
      </c>
      <c r="C41">
        <f>'Financial Statements'!B29</f>
        <v>-0.27</v>
      </c>
      <c r="D41">
        <f>'Financial Statements'!C29</f>
        <v>3.24</v>
      </c>
    </row>
    <row r="42" spans="1:5" x14ac:dyDescent="0.3">
      <c r="A42" s="48">
        <f>+A41+0.1</f>
        <v>5.2999999999999989</v>
      </c>
      <c r="B42" s="11" t="s">
        <v>193</v>
      </c>
      <c r="C42">
        <f>'Financial Statements'!G14/'List of Ratios'!C43</f>
        <v>7.8906616544442389</v>
      </c>
      <c r="D42">
        <f>'Financial Statements'!H14/'List of Ratios'!D43</f>
        <v>12.228292090129841</v>
      </c>
    </row>
    <row r="43" spans="1:5" x14ac:dyDescent="0.3">
      <c r="A43" s="48">
        <f>+A42+0.1</f>
        <v>5.3999999999999986</v>
      </c>
      <c r="B43" s="36" t="s">
        <v>194</v>
      </c>
      <c r="C43">
        <f>'Financial Statements'!B73/'Financial Statements'!B33</f>
        <v>14.333398763372264</v>
      </c>
      <c r="D43">
        <f>'Financial Statements'!C73/'Financial Statements'!C33</f>
        <v>13.427059052059052</v>
      </c>
    </row>
    <row r="44" spans="1:5" x14ac:dyDescent="0.3">
      <c r="A44" s="48">
        <f>+A43+0.1</f>
        <v>5.4999999999999982</v>
      </c>
      <c r="B44" s="11" t="s">
        <v>195</v>
      </c>
      <c r="C44" s="50" t="s">
        <v>196</v>
      </c>
      <c r="D44" s="50" t="s">
        <v>196</v>
      </c>
    </row>
    <row r="45" spans="1:5" x14ac:dyDescent="0.3">
      <c r="A45" s="48"/>
      <c r="B45" s="36" t="s">
        <v>197</v>
      </c>
      <c r="C45" s="50" t="s">
        <v>196</v>
      </c>
      <c r="D45" s="50" t="s">
        <v>196</v>
      </c>
    </row>
    <row r="46" spans="1:5" x14ac:dyDescent="0.3">
      <c r="A46" s="48">
        <f>+A44+0.1</f>
        <v>5.5999999999999979</v>
      </c>
      <c r="B46" s="11" t="s">
        <v>198</v>
      </c>
      <c r="C46" s="50" t="s">
        <v>196</v>
      </c>
      <c r="D46" s="50" t="s">
        <v>196</v>
      </c>
    </row>
    <row r="47" spans="1:5" x14ac:dyDescent="0.3">
      <c r="A47" s="48">
        <f>+A45+0.1</f>
        <v>0.1</v>
      </c>
      <c r="B47" s="11" t="s">
        <v>199</v>
      </c>
      <c r="C47" s="49">
        <f>'Financial Statements'!B26/'Financial Statements'!B73</f>
        <v>-1.8638346240490815E-2</v>
      </c>
      <c r="D47" s="49">
        <f>'Financial Statements'!C26/'Financial Statements'!C73</f>
        <v>0.2413396506202756</v>
      </c>
    </row>
    <row r="48" spans="1:5" x14ac:dyDescent="0.3">
      <c r="A48" s="48">
        <f>+A46+0.1</f>
        <v>5.6999999999999975</v>
      </c>
      <c r="B48" s="11" t="s">
        <v>200</v>
      </c>
      <c r="C48" s="49">
        <f>'Financial Statements'!B23/('Financial Statements'!B59+'Financial Statements'!B73)</f>
        <v>-1.9317760233271065E-2</v>
      </c>
      <c r="D48" s="49">
        <f>'Financial Statements'!C23/('Financial Statements'!C59+'Financial Statements'!C73)</f>
        <v>0.13709425297269326</v>
      </c>
      <c r="E48" t="s">
        <v>229</v>
      </c>
    </row>
    <row r="49" spans="1:5" x14ac:dyDescent="0.3">
      <c r="A49" s="48">
        <f>+A47+0.1</f>
        <v>0.2</v>
      </c>
      <c r="B49" s="11" t="s">
        <v>189</v>
      </c>
      <c r="C49" s="49">
        <f>'Financial Statements'!B26/'Financial Statements'!B50</f>
        <v>-4.4662048416154471E-3</v>
      </c>
      <c r="D49" s="49">
        <f>'Financial Statements'!C26/'Financial Statements'!C50</f>
        <v>5.7313756916422307E-2</v>
      </c>
    </row>
    <row r="50" spans="1:5" x14ac:dyDescent="0.3">
      <c r="A50" s="48">
        <f>+A48+0.1</f>
        <v>5.7999999999999972</v>
      </c>
      <c r="B50" s="11" t="s">
        <v>201</v>
      </c>
      <c r="C50">
        <f>C51/C19</f>
        <v>1.9968588918951518</v>
      </c>
      <c r="D50">
        <f>D51/D19</f>
        <v>1.7691724221747658</v>
      </c>
    </row>
    <row r="51" spans="1:5" x14ac:dyDescent="0.3">
      <c r="A51" s="48"/>
      <c r="B51" s="36" t="s">
        <v>202</v>
      </c>
      <c r="C51">
        <f>'Financial Statements'!G25+'Financial Statements'!B59-'Financial Statements'!B119</f>
        <v>108167.84931506848</v>
      </c>
      <c r="D51">
        <f>'Financial Statements'!H25+'Financial Statements'!C59-'Financial Statements'!C119</f>
        <v>104690.77808219177</v>
      </c>
      <c r="E51" t="s">
        <v>230</v>
      </c>
    </row>
    <row r="53" spans="1:5" x14ac:dyDescent="0.3">
      <c r="B53" s="15" t="s">
        <v>203</v>
      </c>
    </row>
    <row r="54" spans="1:5" x14ac:dyDescent="0.3">
      <c r="B54" t="s">
        <v>204</v>
      </c>
    </row>
    <row r="55" spans="1:5" x14ac:dyDescent="0.3">
      <c r="B55" s="11" t="s">
        <v>205</v>
      </c>
      <c r="C55" s="49">
        <f>('Financial Statements'!B6-'Financial Statements'!C6)/'Financial Statements'!C6</f>
        <v>4.6073610243726913E-3</v>
      </c>
    </row>
    <row r="56" spans="1:5" x14ac:dyDescent="0.3">
      <c r="B56" s="11" t="s">
        <v>206</v>
      </c>
      <c r="C56" s="49">
        <f>('Financial Statements'!B7-'Financial Statements'!C7)/'Financial Statements'!C7</f>
        <v>0.18877365316727696</v>
      </c>
    </row>
    <row r="57" spans="1:5" x14ac:dyDescent="0.3">
      <c r="B57" s="14" t="s">
        <v>21</v>
      </c>
      <c r="C57" s="13">
        <f>('Financial Statements'!B8-'Financial Statements'!C8)/'Financial Statements'!C8</f>
        <v>9.3995172639850841E-2</v>
      </c>
    </row>
    <row r="59" spans="1:5" x14ac:dyDescent="0.3">
      <c r="B59" s="14" t="s">
        <v>23</v>
      </c>
      <c r="C59" s="13">
        <f>('Financial Statements'!B9-'Financial Statements'!C9)/'Financial Statements'!C9</f>
        <v>6.0537408571512498E-2</v>
      </c>
    </row>
    <row r="60" spans="1:5" x14ac:dyDescent="0.3">
      <c r="B60" s="38" t="s">
        <v>207</v>
      </c>
      <c r="C60" s="13">
        <f>('Financial Statements'!B10-'Financial Statements'!C10)/'Financial Statements'!C10</f>
        <v>0.14013712919920193</v>
      </c>
    </row>
    <row r="61" spans="1:5" x14ac:dyDescent="0.3">
      <c r="B61" t="s">
        <v>26</v>
      </c>
    </row>
    <row r="62" spans="1:5" x14ac:dyDescent="0.3">
      <c r="B62" s="3" t="s">
        <v>27</v>
      </c>
      <c r="C62" s="49">
        <f>('Financial Statements'!B12-'Financial Statements'!C12)/'Financial Statements'!C12</f>
        <v>0.12232562474204843</v>
      </c>
    </row>
    <row r="63" spans="1:5" x14ac:dyDescent="0.3">
      <c r="B63" t="s">
        <v>29</v>
      </c>
      <c r="C63" s="49">
        <f>('Financial Statements'!B13-'Financial Statements'!C13)/'Financial Statements'!C13</f>
        <v>0.3061621351602084</v>
      </c>
    </row>
    <row r="64" spans="1:5" x14ac:dyDescent="0.3">
      <c r="B64" t="s">
        <v>30</v>
      </c>
      <c r="C64" s="49">
        <f>('Financial Statements'!B14-'Financial Statements'!C14)/'Financial Statements'!C14</f>
        <v>0.29759454394642254</v>
      </c>
    </row>
    <row r="65" spans="2:3" x14ac:dyDescent="0.3">
      <c r="B65" t="s">
        <v>32</v>
      </c>
      <c r="C65" s="49">
        <f>('Financial Statements'!B15-'Financial Statements'!C15)/'Financial Statements'!C15</f>
        <v>0.3477275303184858</v>
      </c>
    </row>
    <row r="66" spans="2:3" x14ac:dyDescent="0.3">
      <c r="B66" t="s">
        <v>33</v>
      </c>
      <c r="C66" s="49">
        <f>('Financial Statements'!B16-'Financial Statements'!C16)/'Financial Statements'!C16</f>
        <v>19.370967741935484</v>
      </c>
    </row>
    <row r="67" spans="2:3" x14ac:dyDescent="0.3">
      <c r="B67" s="16" t="s">
        <v>34</v>
      </c>
      <c r="C67" s="13">
        <f>('Financial Statements'!B17-'Financial Statements'!C17)/'Financial Statements'!C17</f>
        <v>0.12763882115237232</v>
      </c>
    </row>
    <row r="68" spans="2:3" x14ac:dyDescent="0.3">
      <c r="B68" s="31" t="s">
        <v>208</v>
      </c>
      <c r="C68" s="49">
        <f>('Financial Statements'!B44-'Financial Statements'!C44)/'Financial Statements'!C44</f>
        <v>-9.1527416759499935E-2</v>
      </c>
    </row>
    <row r="69" spans="2:3" x14ac:dyDescent="0.3">
      <c r="B69" s="31" t="s">
        <v>209</v>
      </c>
      <c r="C69" s="49">
        <f>('Financial Statements'!B49-'Financial Statements'!C49)/'Financial Statements'!C49</f>
        <v>0.10016906472254125</v>
      </c>
    </row>
    <row r="70" spans="2:3" x14ac:dyDescent="0.3">
      <c r="B70" s="51" t="s">
        <v>210</v>
      </c>
      <c r="C70" s="13">
        <f>('Financial Statements'!B50-'Financial Statements'!C50)/'Financial Statements'!C50</f>
        <v>4.6960381633624163E-2</v>
      </c>
    </row>
    <row r="72" spans="2:3" x14ac:dyDescent="0.3">
      <c r="B72" s="31" t="s">
        <v>211</v>
      </c>
      <c r="C72" s="49">
        <f>('Financial Statements'!B55-'Financial Statements'!C55)/'Financial Statements'!C55</f>
        <v>9.2270816639253225E-2</v>
      </c>
    </row>
    <row r="73" spans="2:3" x14ac:dyDescent="0.3">
      <c r="B73" s="52" t="s">
        <v>212</v>
      </c>
      <c r="C73" s="49">
        <f>('Financial Statements'!B59-'Financial Statements'!C59)/'Financial Statements'!C59</f>
        <v>0.15139462145988947</v>
      </c>
    </row>
    <row r="74" spans="2:3" x14ac:dyDescent="0.3">
      <c r="B74" s="14" t="s">
        <v>213</v>
      </c>
      <c r="C74" s="49">
        <f>('Financial Statements'!B54-'Financial Statements'!C54)/'Financial Statements'!C54</f>
        <v>0.11837321383275556</v>
      </c>
    </row>
    <row r="76" spans="2:3" x14ac:dyDescent="0.3">
      <c r="B76" s="14" t="s">
        <v>214</v>
      </c>
      <c r="C76" s="49">
        <f>('Financial Statements'!B73-'Financial Statements'!C73)/'Financial Statements'!C73</f>
        <v>5.6407103331042714E-2</v>
      </c>
    </row>
    <row r="77" spans="2:3" x14ac:dyDescent="0.3">
      <c r="B77" s="51" t="s">
        <v>215</v>
      </c>
      <c r="C77" s="49">
        <f>('Financial Statements'!B74-'Financial Statements'!C74)/'Financial Statements'!C74</f>
        <v>0.10016906472254125</v>
      </c>
    </row>
    <row r="79" spans="2:3" x14ac:dyDescent="0.3">
      <c r="B79" t="s">
        <v>50</v>
      </c>
      <c r="C79" s="49">
        <f>('Financial Statements'!G27-'Financial Statements'!H27)/'Financial Statements'!H27</f>
        <v>3.8571428571428572</v>
      </c>
    </row>
    <row r="80" spans="2:3" x14ac:dyDescent="0.3">
      <c r="B80" t="s">
        <v>121</v>
      </c>
      <c r="C80" s="49">
        <f>('Financial Statements'!B109-'Financial Statements'!C109)/'Financial Statements'!C109</f>
        <v>3.8438023990713273</v>
      </c>
    </row>
    <row r="82" spans="2:4" x14ac:dyDescent="0.3">
      <c r="B82" s="15" t="s">
        <v>216</v>
      </c>
    </row>
    <row r="83" spans="2:4" x14ac:dyDescent="0.3">
      <c r="B83" s="11" t="s">
        <v>217</v>
      </c>
      <c r="C83" s="49">
        <f>'Financial Statements'!B9/'Financial Statements'!B8</f>
        <v>0.56194660134673713</v>
      </c>
      <c r="D83" s="49">
        <f>'Financial Statements'!C9/'Financial Statements'!C8</f>
        <v>0.57967485558360399</v>
      </c>
    </row>
    <row r="84" spans="2:4" x14ac:dyDescent="0.3">
      <c r="B84" s="11" t="s">
        <v>207</v>
      </c>
      <c r="C84" s="49">
        <f>'Financial Statements'!B10/'Financial Statements'!B8</f>
        <v>0.43805339865326287</v>
      </c>
      <c r="D84" s="49">
        <f>'Financial Statements'!C10/'Financial Statements'!C8</f>
        <v>0.42032514441639601</v>
      </c>
    </row>
    <row r="85" spans="2:4" x14ac:dyDescent="0.3">
      <c r="B85" s="11" t="s">
        <v>148</v>
      </c>
      <c r="C85" s="49">
        <f>'Financial Statements'!B18/'Financial Statements'!B8</f>
        <v>2.3829581912242232E-2</v>
      </c>
      <c r="D85" s="49">
        <f>'Financial Statements'!C18/'Financial Statements'!C8</f>
        <v>5.2954097509269465E-2</v>
      </c>
    </row>
    <row r="86" spans="2:4" x14ac:dyDescent="0.3">
      <c r="B86" s="11" t="s">
        <v>218</v>
      </c>
      <c r="C86" s="49">
        <f>('Financial Statements'!B10-'Financial Statements'!B26)/'Financial Statements'!B8</f>
        <v>0.44334929365368114</v>
      </c>
      <c r="D86" s="49">
        <f>('Financial Statements'!C10-'Financial Statements'!C26)/'Financial Statements'!C8</f>
        <v>0.34931101566125045</v>
      </c>
    </row>
    <row r="87" spans="2:4" x14ac:dyDescent="0.3">
      <c r="B87" t="s">
        <v>26</v>
      </c>
    </row>
    <row r="88" spans="2:4" x14ac:dyDescent="0.3">
      <c r="B88" s="3" t="s">
        <v>27</v>
      </c>
      <c r="C88" s="49">
        <f>'Financial Statements'!B12/'Financial Statements'!B8</f>
        <v>0.16401126107283703</v>
      </c>
      <c r="D88" s="49">
        <f>'Financial Statements'!C12/'Financial Statements'!C8</f>
        <v>0.15987118525739535</v>
      </c>
    </row>
    <row r="89" spans="2:4" x14ac:dyDescent="0.3">
      <c r="B89" t="s">
        <v>29</v>
      </c>
      <c r="C89" s="49">
        <f>'Financial Statements'!B13/'Financial Statements'!B8</f>
        <v>0.14244245432241923</v>
      </c>
      <c r="D89" s="49">
        <f>'Financial Statements'!C13/'Financial Statements'!C8</f>
        <v>0.11930475797216818</v>
      </c>
    </row>
    <row r="90" spans="2:4" x14ac:dyDescent="0.3">
      <c r="B90" t="s">
        <v>30</v>
      </c>
      <c r="C90" s="49">
        <f>'Financial Statements'!B14/'Financial Statements'!B8</f>
        <v>8.2177815219569517E-2</v>
      </c>
      <c r="D90" s="49">
        <f>'Financial Statements'!C14/'Financial Statements'!C8</f>
        <v>6.9283686161993263E-2</v>
      </c>
    </row>
    <row r="91" spans="2:4" x14ac:dyDescent="0.3">
      <c r="B91" t="s">
        <v>32</v>
      </c>
      <c r="C91" s="49">
        <f>'Financial Statements'!B15/'Financial Statements'!B8</f>
        <v>2.3135006410717866E-2</v>
      </c>
      <c r="D91" s="49">
        <f>'Financial Statements'!C15/'Financial Statements'!C8</f>
        <v>1.8779452643767215E-2</v>
      </c>
    </row>
    <row r="92" spans="2:4" x14ac:dyDescent="0.3">
      <c r="B92" t="s">
        <v>33</v>
      </c>
      <c r="C92" s="49">
        <f>'Financial Statements'!B16/'Financial Statements'!B8</f>
        <v>2.4572797154769712E-3</v>
      </c>
      <c r="D92" s="49">
        <f>'Financial Statements'!C16/'Financial Statements'!C8</f>
        <v>1.3196487180251244E-4</v>
      </c>
    </row>
    <row r="93" spans="2:4" x14ac:dyDescent="0.3">
      <c r="B93" s="14" t="s">
        <v>34</v>
      </c>
      <c r="C93" s="49">
        <f>'Financial Statements'!B17/'Financial Statements'!B8</f>
        <v>0.97617041808775773</v>
      </c>
      <c r="D93" s="49">
        <f>'Financial Statements'!C17/'Financial Statements'!C8</f>
        <v>0.94704590249073051</v>
      </c>
    </row>
    <row r="95" spans="2:4" x14ac:dyDescent="0.3">
      <c r="B95" s="11" t="s">
        <v>219</v>
      </c>
      <c r="C95">
        <f>ABS('Financial Statements'!B23)/'Financial Statements'!B24</f>
        <v>1.8451973888716195</v>
      </c>
      <c r="D95">
        <f>ABS('Financial Statements'!C23)/'Financial Statements'!C24</f>
        <v>-7.9630557294927993</v>
      </c>
    </row>
    <row r="96" spans="2:4" x14ac:dyDescent="0.3">
      <c r="B96" t="s">
        <v>220</v>
      </c>
      <c r="C96">
        <f>'Financial Statements'!B105</f>
        <v>-75202</v>
      </c>
      <c r="D96">
        <f>'Financial Statements'!C105</f>
        <v>-116308</v>
      </c>
    </row>
    <row r="97" spans="2:4" x14ac:dyDescent="0.3">
      <c r="B97" s="11" t="s">
        <v>221</v>
      </c>
      <c r="C97">
        <f>'Financial Statements'!B8/'Financial Statements'!B105</f>
        <v>-6.8346985452514559</v>
      </c>
      <c r="D97">
        <f>'Financial Statements'!C8/'Financial Statements'!C105</f>
        <v>-4.0394641813116898</v>
      </c>
    </row>
    <row r="98" spans="2:4" x14ac:dyDescent="0.3">
      <c r="B98" s="11" t="s">
        <v>222</v>
      </c>
      <c r="C98">
        <f>'Financial Statements'!B49/'Financial Statements'!B105</f>
        <v>-6.1524294566633868</v>
      </c>
      <c r="D98">
        <f>'Financial Statements'!C49/'Financial Statements'!C105</f>
        <v>-3.6158217835402553</v>
      </c>
    </row>
  </sheetData>
  <mergeCells count="1">
    <mergeCell ref="C2:E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8781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dc:description/>
  <cp:lastModifiedBy>Shamla Yoosoof</cp:lastModifiedBy>
  <cp:revision>85</cp:revision>
  <dcterms:created xsi:type="dcterms:W3CDTF">2020-05-19T16:15:53Z</dcterms:created>
  <dcterms:modified xsi:type="dcterms:W3CDTF">2023-11-28T19:55:05Z</dcterms:modified>
  <dc:language>en-GB</dc:language>
</cp:coreProperties>
</file>