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7B5C3717-8B60-4051-983F-DD7A6C78900B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3" l="1"/>
  <c r="D31" i="3" l="1"/>
  <c r="E31" i="3"/>
  <c r="C31" i="3"/>
  <c r="C20" i="3" l="1"/>
  <c r="D17" i="3"/>
  <c r="E17" i="3"/>
  <c r="C17" i="3"/>
  <c r="D18" i="3"/>
  <c r="E18" i="3"/>
  <c r="C21" i="3"/>
  <c r="C19" i="3"/>
  <c r="C14" i="3"/>
  <c r="C12" i="3" l="1"/>
  <c r="C8" i="3" l="1"/>
  <c r="C11" i="3"/>
  <c r="C10" i="3"/>
  <c r="C7" i="3"/>
  <c r="C28" i="3"/>
  <c r="D47" i="3"/>
  <c r="E47" i="3"/>
  <c r="C47" i="3"/>
  <c r="D48" i="3"/>
  <c r="E48" i="3"/>
  <c r="C48" i="3"/>
  <c r="P40" i="3"/>
  <c r="Q40" i="3"/>
  <c r="O40" i="3"/>
  <c r="D46" i="3"/>
  <c r="E46" i="3"/>
  <c r="C46" i="3"/>
  <c r="D45" i="3"/>
  <c r="E45" i="3"/>
  <c r="C45" i="3"/>
  <c r="W36" i="3"/>
  <c r="V36" i="3"/>
  <c r="U36" i="3"/>
  <c r="P38" i="3"/>
  <c r="Q36" i="3"/>
  <c r="Q38" i="3"/>
  <c r="R38" i="3"/>
  <c r="R36" i="3"/>
  <c r="P36" i="3"/>
  <c r="D44" i="3"/>
  <c r="E44" i="3"/>
  <c r="C44" i="3"/>
  <c r="D43" i="3"/>
  <c r="D42" i="3" s="1"/>
  <c r="E43" i="3"/>
  <c r="E42" i="3" s="1"/>
  <c r="C42" i="3"/>
  <c r="C30" i="3"/>
  <c r="D40" i="3"/>
  <c r="E40" i="3"/>
  <c r="C40" i="3"/>
  <c r="D35" i="3"/>
  <c r="E35" i="3"/>
  <c r="C35" i="3"/>
  <c r="C36" i="3"/>
  <c r="C37" i="3"/>
  <c r="D37" i="3"/>
  <c r="E37" i="3"/>
  <c r="D36" i="3"/>
  <c r="E36" i="3"/>
  <c r="C34" i="3"/>
  <c r="D34" i="3"/>
  <c r="E34" i="3"/>
  <c r="D30" i="3"/>
  <c r="E30" i="3"/>
  <c r="D27" i="3"/>
  <c r="C27" i="3"/>
  <c r="D26" i="3" l="1"/>
  <c r="E26" i="3"/>
  <c r="C26" i="3"/>
  <c r="C25" i="3"/>
  <c r="D25" i="3"/>
  <c r="E25" i="3"/>
  <c r="D22" i="3"/>
  <c r="E22" i="3"/>
  <c r="C22" i="3"/>
  <c r="D20" i="3"/>
  <c r="E20" i="3"/>
  <c r="D21" i="3"/>
  <c r="E21" i="3"/>
  <c r="D19" i="3"/>
  <c r="E19" i="3"/>
  <c r="C18" i="3"/>
  <c r="D14" i="3"/>
  <c r="D13" i="3" s="1"/>
  <c r="E14" i="3"/>
  <c r="E13" i="3" s="1"/>
  <c r="C13" i="3"/>
  <c r="D11" i="3"/>
  <c r="E11" i="3"/>
  <c r="D10" i="3"/>
  <c r="E10" i="3"/>
  <c r="D9" i="3"/>
  <c r="E9" i="3"/>
  <c r="C9" i="3"/>
  <c r="D8" i="3"/>
  <c r="E8" i="3"/>
  <c r="D7" i="3"/>
  <c r="E7" i="3"/>
  <c r="D54" i="2"/>
  <c r="C54" i="2"/>
  <c r="B54" i="2"/>
  <c r="D6" i="3"/>
  <c r="E6" i="3"/>
  <c r="C6" i="3"/>
  <c r="D5" i="3"/>
  <c r="E5" i="3"/>
  <c r="C5" i="3"/>
  <c r="D12" i="3" l="1"/>
  <c r="E12" i="3"/>
  <c r="E28" i="3"/>
  <c r="E29" i="3"/>
  <c r="D28" i="3"/>
  <c r="D29" i="3"/>
  <c r="C29" i="3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</calcChain>
</file>

<file path=xl/sharedStrings.xml><?xml version="1.0" encoding="utf-8"?>
<sst xmlns="http://schemas.openxmlformats.org/spreadsheetml/2006/main" count="178" uniqueCount="162">
  <si>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</si>
  <si>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</si>
  <si>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</si>
  <si>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</si>
  <si>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</si>
  <si>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</si>
  <si>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</si>
  <si>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</si>
  <si>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</si>
  <si>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</si>
  <si>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</si>
  <si>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</si>
  <si>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</si>
  <si>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</si>
  <si>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</si>
  <si>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</si>
  <si>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</si>
  <si>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</si>
  <si>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</si>
  <si>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</si>
  <si>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</si>
  <si>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</si>
  <si>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</si>
  <si>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</si>
  <si>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</si>
  <si>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</si>
  <si>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</si>
  <si>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</si>
  <si>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</si>
  <si>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</si>
  <si>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</si>
  <si>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</si>
  <si>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</si>
  <si>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</si>
  <si>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</si>
  <si>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</si>
  <si>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</si>
  <si>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</si>
  <si>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</si>
  <si>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</si>
  <si>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</si>
  <si>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</si>
  <si>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</si>
  <si>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</si>
  <si>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</si>
  <si>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</si>
  <si>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</si>
  <si>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</si>
  <si>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</si>
  <si>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</si>
  <si>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</si>
  <si>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</si>
  <si>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</si>
  <si>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</si>
  <si>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</si>
  <si>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</si>
  <si>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</si>
  <si>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</si>
  <si>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</si>
  <si>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</si>
  <si>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 Inc.</t>
  </si>
  <si>
    <t>Total net sales</t>
  </si>
  <si>
    <t>Operating expenses:</t>
  </si>
  <si>
    <t>Total operating expenses</t>
  </si>
  <si>
    <t>Provision for income taxes</t>
  </si>
  <si>
    <t>Net income</t>
  </si>
  <si>
    <t>Basic</t>
  </si>
  <si>
    <t>Diluted</t>
  </si>
  <si>
    <t>Net product sales</t>
  </si>
  <si>
    <t>Net service sales</t>
  </si>
  <si>
    <t>Cost of sales</t>
  </si>
  <si>
    <t>Fulfillment</t>
  </si>
  <si>
    <t>Technology and content</t>
  </si>
  <si>
    <t>Marketing</t>
  </si>
  <si>
    <t>General and administrative</t>
  </si>
  <si>
    <t>Other operating expense (income), net</t>
  </si>
  <si>
    <t>Operating Income</t>
  </si>
  <si>
    <t>Interest income</t>
  </si>
  <si>
    <t>Interest expense</t>
  </si>
  <si>
    <t>Other income (expense), net</t>
  </si>
  <si>
    <t>Total non-operating income (expense)</t>
  </si>
  <si>
    <t>Income before income taxes</t>
  </si>
  <si>
    <t>Equit-method investment activity, net of tax</t>
  </si>
  <si>
    <t>Basic earnings per share</t>
  </si>
  <si>
    <t>Diluted earnings per share</t>
  </si>
  <si>
    <t>Weighted-average shares used in computation of earnings per share:</t>
  </si>
  <si>
    <t>Current assets:</t>
  </si>
  <si>
    <t>Cash and cash equivalents</t>
  </si>
  <si>
    <t>Marketable Securities</t>
  </si>
  <si>
    <t>Inventories</t>
  </si>
  <si>
    <t>Accounts recievable, net and other</t>
  </si>
  <si>
    <t>Total current assets</t>
  </si>
  <si>
    <t>Property and equipment, net</t>
  </si>
  <si>
    <t>Operating leases</t>
  </si>
  <si>
    <t>Goodwill</t>
  </si>
  <si>
    <t>Other Assets</t>
  </si>
  <si>
    <t>Total assets</t>
  </si>
  <si>
    <t>Current liabilities:</t>
  </si>
  <si>
    <t>Accounts payable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</si>
  <si>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</si>
  <si>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</si>
  <si>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</si>
  <si>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</si>
  <si>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</si>
  <si>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</si>
  <si>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Stockholders equity:</t>
  </si>
  <si>
    <t>Preferred stock 0.01 par value: Authorized shares - 500 Issued and outstanding shares - none</t>
  </si>
  <si>
    <t>Common stock, 0.01 par value: Authorized shares - 5,000 Issued shares - 514 and 521 Outsatnding shares - 491 and 498</t>
  </si>
  <si>
    <t>Tresury stock, at cost</t>
  </si>
  <si>
    <t>Additional paid-in capital</t>
  </si>
  <si>
    <t>Accumulated other comprehensive income (loss)</t>
  </si>
  <si>
    <t>Retained earnings</t>
  </si>
  <si>
    <t>Total stockholders' equity</t>
  </si>
  <si>
    <t>Total liabilities and stockholders' equity</t>
  </si>
  <si>
    <t>Cash, cash equivalents, and restricted cash, beginning of period</t>
  </si>
  <si>
    <t>Operating activities:</t>
  </si>
  <si>
    <t>Adjustments to reconcile net income to net cash from operating activities:</t>
  </si>
  <si>
    <t>Depreciation and amortization of property and equipment and capitalized content costs, operating lease assets, and other</t>
  </si>
  <si>
    <t xml:space="preserve">Stock based compensation </t>
  </si>
  <si>
    <t>Other expense (income), net</t>
  </si>
  <si>
    <t>Deferred income taxes</t>
  </si>
  <si>
    <t>Changes in operating assets and liabilities</t>
  </si>
  <si>
    <t>Accounts receivable, net and other</t>
  </si>
  <si>
    <t>Net cash provided by (used in) investing activities</t>
  </si>
  <si>
    <t>Investing Activities:</t>
  </si>
  <si>
    <t xml:space="preserve">Purcahses of property and equipment </t>
  </si>
  <si>
    <t xml:space="preserve">Proceeds from property and equipment sales and incentives </t>
  </si>
  <si>
    <t xml:space="preserve">Acquisitions, net of cash acquired, and other </t>
  </si>
  <si>
    <t xml:space="preserve">Sales and maturities of marketable securities </t>
  </si>
  <si>
    <t>Purchases of marketable securities</t>
  </si>
  <si>
    <t>Financing Activities:</t>
  </si>
  <si>
    <t>Proceeds from long-term debt and other</t>
  </si>
  <si>
    <t>Repayments of long-term debt and other</t>
  </si>
  <si>
    <t xml:space="preserve">Principal repayments of finance leases </t>
  </si>
  <si>
    <t>Principal repayments of financing obligations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</si>
  <si>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</si>
  <si>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</si>
  <si>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</si>
  <si>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Supplemenal Cash Flow Information:</t>
  </si>
  <si>
    <t>Cash paid for interest on long-term debt</t>
  </si>
  <si>
    <t>Cash paid for operating leases</t>
  </si>
  <si>
    <t>Cash paid for interest on finance leases</t>
  </si>
  <si>
    <t>Cash paid for interest on financing obligations</t>
  </si>
  <si>
    <t>Assets acquired under operating leases</t>
  </si>
  <si>
    <t>Property and equipment acquired under finance leases</t>
  </si>
  <si>
    <t>Property and equipment acquired under build-to-suit arrangements</t>
  </si>
  <si>
    <t>-</t>
  </si>
  <si>
    <t>Total Liabilities</t>
  </si>
  <si>
    <t>Close Price</t>
  </si>
  <si>
    <t xml:space="preserve">Nopat = Operating Income x (1 - Tax Rate) </t>
  </si>
  <si>
    <t>Cash paid for income taxes, net of refunds</t>
  </si>
  <si>
    <t>OI</t>
  </si>
  <si>
    <t>TR</t>
  </si>
  <si>
    <t>Nopat</t>
  </si>
  <si>
    <t>Capital Employed</t>
  </si>
  <si>
    <t>MC</t>
  </si>
  <si>
    <t>Total operating expenses includes cost of sales, therefore remove it from formula</t>
  </si>
  <si>
    <t>Share count is 498, do not multiply and divide it by 100</t>
  </si>
  <si>
    <t>Operating income /Sales</t>
  </si>
  <si>
    <t>Link only long term debt, do not include other long-term liabilities in this</t>
  </si>
  <si>
    <t>Include proceeds from issuance of debt, this is because debt repayments should be net of issuance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</si>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</sst>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$-300A]* #,##0.0_ ;_ [$$-300A]* \-#,##0.0_ ;_ [$$-300A]* &quot;-&quot;?_ ;_ @_ "/>
    <numFmt numFmtId="168" formatCode="_-[$$-240A]\ * #,##0.0_-;\-[$$-240A]\ * #,##0.0_-;_-[$$-240A]\ * &quot;-&quot;?_-;_-@_-"/>
    <numFmt numFmtId="169" formatCode="_-[$$-240A]\ * #,##0.00_-;\-[$$-240A]\ * #,##0.00_-;_-[$$-240A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5" fontId="2" fillId="0" borderId="0" xfId="1" applyNumberFormat="1" applyFont="1" applyBorder="1"/>
    <xf numFmtId="165" fontId="1" fillId="0" borderId="0" xfId="1" applyNumberFormat="1" applyFont="1" applyBorder="1"/>
    <xf numFmtId="0" fontId="2" fillId="0" borderId="3" xfId="0" applyFont="1" applyBorder="1" applyAlignment="1">
      <alignment horizontal="left" indent="2"/>
    </xf>
    <xf numFmtId="0" fontId="2" fillId="0" borderId="3" xfId="0" applyFont="1" applyBorder="1" applyAlignment="1">
      <alignment horizontal="left"/>
    </xf>
    <xf numFmtId="165" fontId="2" fillId="0" borderId="3" xfId="1" applyNumberFormat="1" applyFont="1" applyBorder="1"/>
    <xf numFmtId="0" fontId="2" fillId="0" borderId="3" xfId="0" applyFont="1" applyBorder="1" applyAlignment="1">
      <alignment horizontal="left" indent="1"/>
    </xf>
    <xf numFmtId="3" fontId="2" fillId="0" borderId="3" xfId="0" applyNumberFormat="1" applyFont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4" xfId="0" applyBorder="1" applyAlignment="1">
      <alignment horizontal="left" indent="1"/>
    </xf>
    <xf numFmtId="0" fontId="0" fillId="0" borderId="4" xfId="0" applyBorder="1"/>
    <xf numFmtId="3" fontId="0" fillId="0" borderId="4" xfId="0" applyNumberFormat="1" applyBorder="1"/>
    <xf numFmtId="165" fontId="1" fillId="0" borderId="0" xfId="1" applyNumberFormat="1" applyFont="1" applyFill="1" applyBorder="1"/>
    <xf numFmtId="3" fontId="0" fillId="0" borderId="3" xfId="0" applyNumberFormat="1" applyBorder="1"/>
    <xf numFmtId="165" fontId="0" fillId="0" borderId="0" xfId="1" applyNumberFormat="1" applyFont="1" applyBorder="1"/>
    <xf numFmtId="165" fontId="0" fillId="0" borderId="5" xfId="1" applyNumberFormat="1" applyFont="1" applyBorder="1"/>
    <xf numFmtId="0" fontId="8" fillId="0" borderId="0" xfId="0" applyFont="1" applyAlignment="1">
      <alignment horizontal="left"/>
    </xf>
    <xf numFmtId="0" fontId="2" fillId="0" borderId="6" xfId="0" applyFont="1" applyBorder="1" applyAlignment="1">
      <alignment horizontal="left" indent="2"/>
    </xf>
    <xf numFmtId="165" fontId="0" fillId="0" borderId="6" xfId="1" applyNumberFormat="1" applyFont="1" applyBorder="1"/>
    <xf numFmtId="0" fontId="0" fillId="0" borderId="5" xfId="0" applyBorder="1" applyAlignment="1">
      <alignment horizontal="left"/>
    </xf>
    <xf numFmtId="165" fontId="0" fillId="0" borderId="5" xfId="1" applyNumberFormat="1" applyFont="1" applyFill="1" applyBorder="1"/>
    <xf numFmtId="165" fontId="2" fillId="0" borderId="7" xfId="1" applyNumberFormat="1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165" fontId="2" fillId="0" borderId="6" xfId="1" applyNumberFormat="1" applyFont="1" applyBorder="1"/>
    <xf numFmtId="165" fontId="0" fillId="0" borderId="4" xfId="1" applyNumberFormat="1" applyFont="1" applyBorder="1"/>
    <xf numFmtId="0" fontId="0" fillId="0" borderId="4" xfId="0" applyBorder="1" applyAlignment="1">
      <alignment horizontal="left" indent="2"/>
    </xf>
    <xf numFmtId="0" fontId="0" fillId="0" borderId="6" xfId="0" applyBorder="1" applyAlignment="1">
      <alignment horizontal="left" indent="3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165" fontId="2" fillId="0" borderId="0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2" fontId="0" fillId="0" borderId="0" xfId="0" applyNumberFormat="1"/>
    <xf numFmtId="0" fontId="2" fillId="0" borderId="7" xfId="0" applyFont="1" applyBorder="1" applyAlignment="1">
      <alignment horizontal="left" indent="2"/>
    </xf>
    <xf numFmtId="2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29" sqref="A29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59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57</v>
      </c>
    </row>
    <row r="8" spans="1:1" x14ac:dyDescent="0.3">
      <c r="A8" s="2" t="s">
        <v>58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zoomScale="85" zoomScaleNormal="85" workbookViewId="0">
      <selection activeCell="B93" sqref="B93"/>
    </sheetView>
  </sheetViews>
  <sheetFormatPr defaultRowHeight="14.4" x14ac:dyDescent="0.3"/>
  <cols>
    <col min="1" max="1" width="121.5546875" bestFit="1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60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70" t="s">
        <v>10</v>
      </c>
      <c r="B2" s="70"/>
      <c r="C2" s="70"/>
      <c r="D2" s="70"/>
    </row>
    <row r="3" spans="1:10" x14ac:dyDescent="0.3">
      <c r="B3" s="69" t="s">
        <v>53</v>
      </c>
      <c r="C3" s="69"/>
      <c r="D3" s="69"/>
    </row>
    <row r="4" spans="1:10" x14ac:dyDescent="0.3">
      <c r="B4" s="9">
        <v>2019</v>
      </c>
      <c r="C4" s="9">
        <v>2018</v>
      </c>
      <c r="D4" s="9">
        <v>2017</v>
      </c>
    </row>
    <row r="5" spans="1:10" x14ac:dyDescent="0.3">
      <c r="A5" t="s">
        <v>68</v>
      </c>
      <c r="B5" s="15">
        <v>160408</v>
      </c>
      <c r="C5" s="15">
        <v>141915</v>
      </c>
      <c r="D5" s="15">
        <v>118573</v>
      </c>
    </row>
    <row r="6" spans="1:10" x14ac:dyDescent="0.3">
      <c r="A6" t="s">
        <v>69</v>
      </c>
      <c r="B6" s="10">
        <v>120114</v>
      </c>
      <c r="C6" s="10">
        <v>90972</v>
      </c>
      <c r="D6" s="10">
        <v>59273</v>
      </c>
    </row>
    <row r="7" spans="1:10" x14ac:dyDescent="0.3">
      <c r="A7" s="29" t="s">
        <v>61</v>
      </c>
      <c r="B7" s="28">
        <v>280522</v>
      </c>
      <c r="C7" s="28">
        <v>232887</v>
      </c>
      <c r="D7" s="28">
        <v>177866</v>
      </c>
      <c r="E7" s="67"/>
    </row>
    <row r="8" spans="1:10" x14ac:dyDescent="0.3">
      <c r="A8" s="11" t="s">
        <v>62</v>
      </c>
      <c r="B8" s="12"/>
      <c r="C8" s="12"/>
      <c r="D8" s="12"/>
      <c r="F8" s="68"/>
    </row>
    <row r="9" spans="1:10" x14ac:dyDescent="0.3">
      <c r="A9" s="1" t="s">
        <v>70</v>
      </c>
      <c r="B9" s="10">
        <v>165536</v>
      </c>
      <c r="C9" s="10">
        <v>139156</v>
      </c>
      <c r="D9" s="10">
        <v>111934</v>
      </c>
    </row>
    <row r="10" spans="1:10" x14ac:dyDescent="0.3">
      <c r="A10" s="1" t="s">
        <v>71</v>
      </c>
      <c r="B10" s="10">
        <v>40232</v>
      </c>
      <c r="C10" s="10">
        <v>34027</v>
      </c>
      <c r="D10" s="10">
        <v>25249</v>
      </c>
    </row>
    <row r="11" spans="1:10" x14ac:dyDescent="0.3">
      <c r="A11" s="1" t="s">
        <v>72</v>
      </c>
      <c r="B11" s="10">
        <v>35931</v>
      </c>
      <c r="C11" s="10">
        <v>28837</v>
      </c>
      <c r="D11" s="10">
        <v>22620</v>
      </c>
    </row>
    <row r="12" spans="1:10" x14ac:dyDescent="0.3">
      <c r="A12" s="1" t="s">
        <v>73</v>
      </c>
      <c r="B12" s="25">
        <v>18878</v>
      </c>
      <c r="C12" s="25">
        <v>13814</v>
      </c>
      <c r="D12" s="25">
        <v>10069</v>
      </c>
    </row>
    <row r="13" spans="1:10" x14ac:dyDescent="0.3">
      <c r="A13" s="1" t="s">
        <v>74</v>
      </c>
      <c r="B13" s="25">
        <v>5203</v>
      </c>
      <c r="C13" s="25">
        <v>4336</v>
      </c>
      <c r="D13" s="25">
        <v>3674</v>
      </c>
    </row>
    <row r="14" spans="1:10" x14ac:dyDescent="0.3">
      <c r="A14" s="1" t="s">
        <v>75</v>
      </c>
      <c r="B14" s="10">
        <v>201</v>
      </c>
      <c r="C14" s="10">
        <v>296</v>
      </c>
      <c r="D14" s="10">
        <v>214</v>
      </c>
    </row>
    <row r="15" spans="1:10" x14ac:dyDescent="0.3">
      <c r="A15" s="26" t="s">
        <v>63</v>
      </c>
      <c r="B15" s="28">
        <v>265981</v>
      </c>
      <c r="C15" s="28">
        <v>220446</v>
      </c>
      <c r="D15" s="28">
        <v>173760</v>
      </c>
    </row>
    <row r="16" spans="1:10" x14ac:dyDescent="0.3">
      <c r="A16" s="27" t="s">
        <v>76</v>
      </c>
      <c r="B16" s="28">
        <v>14541</v>
      </c>
      <c r="C16" s="30">
        <v>12421</v>
      </c>
      <c r="D16" s="28">
        <v>4106</v>
      </c>
      <c r="E16" s="15"/>
    </row>
    <row r="17" spans="1:4" x14ac:dyDescent="0.3">
      <c r="A17" s="23" t="s">
        <v>77</v>
      </c>
      <c r="B17" s="25">
        <v>832</v>
      </c>
      <c r="C17" s="25">
        <v>440</v>
      </c>
      <c r="D17" s="25">
        <v>202</v>
      </c>
    </row>
    <row r="18" spans="1:4" s="11" customFormat="1" x14ac:dyDescent="0.3">
      <c r="A18" t="s">
        <v>78</v>
      </c>
      <c r="B18" s="25">
        <v>-1600</v>
      </c>
      <c r="C18" s="25">
        <v>-1417</v>
      </c>
      <c r="D18" s="25">
        <v>-848</v>
      </c>
    </row>
    <row r="19" spans="1:4" x14ac:dyDescent="0.3">
      <c r="A19" t="s">
        <v>79</v>
      </c>
      <c r="B19" s="10">
        <v>203</v>
      </c>
      <c r="C19" s="10">
        <v>-183</v>
      </c>
      <c r="D19" s="10">
        <v>346</v>
      </c>
    </row>
    <row r="20" spans="1:4" x14ac:dyDescent="0.3">
      <c r="A20" s="29" t="s">
        <v>80</v>
      </c>
      <c r="B20" s="28">
        <v>-565</v>
      </c>
      <c r="C20" s="28">
        <v>-1160</v>
      </c>
      <c r="D20" s="28">
        <v>-300</v>
      </c>
    </row>
    <row r="21" spans="1:4" x14ac:dyDescent="0.3">
      <c r="A21" t="s">
        <v>81</v>
      </c>
      <c r="B21" s="10">
        <v>13976</v>
      </c>
      <c r="C21" s="10">
        <v>11261</v>
      </c>
      <c r="D21" s="10">
        <v>3806</v>
      </c>
    </row>
    <row r="22" spans="1:4" x14ac:dyDescent="0.3">
      <c r="A22" t="s">
        <v>64</v>
      </c>
      <c r="B22" s="25">
        <v>-2374</v>
      </c>
      <c r="C22" s="25">
        <v>-1197</v>
      </c>
      <c r="D22" s="25">
        <v>-769</v>
      </c>
    </row>
    <row r="23" spans="1:4" x14ac:dyDescent="0.3">
      <c r="A23" t="s">
        <v>82</v>
      </c>
      <c r="B23" s="36">
        <v>-14</v>
      </c>
      <c r="C23" s="36">
        <v>9</v>
      </c>
      <c r="D23" s="36">
        <v>-4</v>
      </c>
    </row>
    <row r="24" spans="1:4" x14ac:dyDescent="0.3">
      <c r="A24" s="27" t="s">
        <v>65</v>
      </c>
      <c r="B24" s="37">
        <v>11588</v>
      </c>
      <c r="C24" s="37">
        <v>10073</v>
      </c>
      <c r="D24" s="37">
        <v>3033</v>
      </c>
    </row>
    <row r="25" spans="1:4" x14ac:dyDescent="0.3">
      <c r="A25" s="31" t="s">
        <v>83</v>
      </c>
      <c r="B25" s="32">
        <v>23.46</v>
      </c>
      <c r="C25" s="32">
        <v>20.68</v>
      </c>
      <c r="D25" s="32">
        <v>6.32</v>
      </c>
    </row>
    <row r="26" spans="1:4" x14ac:dyDescent="0.3">
      <c r="A26" s="32" t="s">
        <v>84</v>
      </c>
      <c r="B26" s="32">
        <v>23.01</v>
      </c>
      <c r="C26" s="32">
        <v>20.14</v>
      </c>
      <c r="D26" s="32">
        <v>6.15</v>
      </c>
    </row>
    <row r="27" spans="1:4" x14ac:dyDescent="0.3">
      <c r="A27" s="23" t="s">
        <v>85</v>
      </c>
      <c r="B27" s="15"/>
      <c r="C27" s="15"/>
      <c r="D27" s="15"/>
    </row>
    <row r="28" spans="1:4" x14ac:dyDescent="0.3">
      <c r="A28" s="33" t="s">
        <v>66</v>
      </c>
      <c r="B28" s="35">
        <v>494</v>
      </c>
      <c r="C28" s="35">
        <v>487</v>
      </c>
      <c r="D28" s="35">
        <v>480</v>
      </c>
    </row>
    <row r="29" spans="1:4" x14ac:dyDescent="0.3">
      <c r="A29" s="33" t="s">
        <v>67</v>
      </c>
      <c r="B29" s="34">
        <v>504</v>
      </c>
      <c r="C29" s="34">
        <v>500</v>
      </c>
      <c r="D29" s="34">
        <v>493</v>
      </c>
    </row>
    <row r="31" spans="1:4" x14ac:dyDescent="0.3">
      <c r="A31" s="70" t="s">
        <v>12</v>
      </c>
      <c r="B31" s="70"/>
      <c r="C31" s="70"/>
      <c r="D31" s="70"/>
    </row>
    <row r="32" spans="1:4" x14ac:dyDescent="0.3">
      <c r="B32" s="69" t="s">
        <v>54</v>
      </c>
      <c r="C32" s="69"/>
      <c r="D32" s="69"/>
    </row>
    <row r="33" spans="1:4" x14ac:dyDescent="0.3">
      <c r="B33" s="9">
        <v>2019</v>
      </c>
      <c r="C33" s="9">
        <v>2018</v>
      </c>
      <c r="D33" s="9">
        <v>2017</v>
      </c>
    </row>
    <row r="35" spans="1:4" x14ac:dyDescent="0.3">
      <c r="A35" t="s">
        <v>86</v>
      </c>
    </row>
    <row r="36" spans="1:4" x14ac:dyDescent="0.3">
      <c r="A36" s="1" t="s">
        <v>87</v>
      </c>
      <c r="B36" s="10">
        <v>36092</v>
      </c>
      <c r="C36" s="10">
        <v>31750</v>
      </c>
      <c r="D36" s="10">
        <v>20522</v>
      </c>
    </row>
    <row r="37" spans="1:4" x14ac:dyDescent="0.3">
      <c r="A37" s="1" t="s">
        <v>88</v>
      </c>
      <c r="B37" s="10">
        <v>18929</v>
      </c>
      <c r="C37" s="10">
        <v>9500</v>
      </c>
      <c r="D37" s="10">
        <v>10464</v>
      </c>
    </row>
    <row r="38" spans="1:4" x14ac:dyDescent="0.3">
      <c r="A38" s="1" t="s">
        <v>89</v>
      </c>
      <c r="B38" s="10">
        <v>20497</v>
      </c>
      <c r="C38" s="10">
        <v>17174</v>
      </c>
      <c r="D38" s="10">
        <v>16047</v>
      </c>
    </row>
    <row r="39" spans="1:4" x14ac:dyDescent="0.3">
      <c r="A39" s="1" t="s">
        <v>90</v>
      </c>
      <c r="B39" s="10">
        <v>20816</v>
      </c>
      <c r="C39" s="10">
        <v>16677</v>
      </c>
      <c r="D39" s="10">
        <v>13164</v>
      </c>
    </row>
    <row r="40" spans="1:4" x14ac:dyDescent="0.3">
      <c r="A40" s="26" t="s">
        <v>91</v>
      </c>
      <c r="B40" s="28">
        <v>96334</v>
      </c>
      <c r="C40" s="28">
        <v>75101</v>
      </c>
      <c r="D40" s="28">
        <v>60197</v>
      </c>
    </row>
    <row r="41" spans="1:4" x14ac:dyDescent="0.3">
      <c r="A41" s="23" t="s">
        <v>92</v>
      </c>
      <c r="B41" s="38">
        <v>72705</v>
      </c>
      <c r="C41" s="38">
        <v>61797</v>
      </c>
      <c r="D41" s="38">
        <v>48866</v>
      </c>
    </row>
    <row r="42" spans="1:4" x14ac:dyDescent="0.3">
      <c r="A42" t="s">
        <v>93</v>
      </c>
      <c r="B42" s="25">
        <v>25141</v>
      </c>
      <c r="C42" s="24"/>
      <c r="D42" s="25"/>
    </row>
    <row r="43" spans="1:4" x14ac:dyDescent="0.3">
      <c r="A43" t="s">
        <v>94</v>
      </c>
      <c r="B43" s="38">
        <v>14754</v>
      </c>
      <c r="C43" s="38">
        <v>14648</v>
      </c>
      <c r="D43" s="38">
        <v>13350</v>
      </c>
    </row>
    <row r="44" spans="1:4" x14ac:dyDescent="0.3">
      <c r="A44" s="23" t="s">
        <v>95</v>
      </c>
      <c r="B44" s="38">
        <v>16314</v>
      </c>
      <c r="C44" s="38">
        <v>11202</v>
      </c>
      <c r="D44" s="38">
        <v>8897</v>
      </c>
    </row>
    <row r="45" spans="1:4" ht="15" thickBot="1" x14ac:dyDescent="0.35">
      <c r="A45" s="41" t="s">
        <v>96</v>
      </c>
      <c r="B45" s="49">
        <v>225248</v>
      </c>
      <c r="C45" s="49">
        <v>162648</v>
      </c>
      <c r="D45" s="49">
        <v>131310</v>
      </c>
    </row>
    <row r="46" spans="1:4" x14ac:dyDescent="0.3">
      <c r="A46" s="23" t="s">
        <v>97</v>
      </c>
      <c r="B46" s="38"/>
      <c r="C46" s="38"/>
      <c r="D46" s="38"/>
    </row>
    <row r="47" spans="1:4" x14ac:dyDescent="0.3">
      <c r="A47" s="1" t="s">
        <v>98</v>
      </c>
      <c r="B47" s="25">
        <v>47183</v>
      </c>
      <c r="C47" s="25">
        <v>38192</v>
      </c>
      <c r="D47" s="25">
        <v>34616</v>
      </c>
    </row>
    <row r="48" spans="1:4" x14ac:dyDescent="0.3">
      <c r="A48" s="1" t="s">
        <v>99</v>
      </c>
      <c r="B48" s="25">
        <v>32349</v>
      </c>
      <c r="C48" s="25">
        <v>23663</v>
      </c>
      <c r="D48" s="25">
        <v>18170</v>
      </c>
    </row>
    <row r="49" spans="1:4" x14ac:dyDescent="0.3">
      <c r="A49" s="1" t="s">
        <v>100</v>
      </c>
      <c r="B49" s="15">
        <v>8190</v>
      </c>
      <c r="C49" s="15">
        <v>6536</v>
      </c>
      <c r="D49" s="15">
        <v>5097</v>
      </c>
    </row>
    <row r="50" spans="1:4" x14ac:dyDescent="0.3">
      <c r="A50" s="26" t="s">
        <v>101</v>
      </c>
      <c r="B50" s="30">
        <v>87812</v>
      </c>
      <c r="C50" s="30">
        <v>68391</v>
      </c>
      <c r="D50" s="30">
        <v>57883</v>
      </c>
    </row>
    <row r="51" spans="1:4" x14ac:dyDescent="0.3">
      <c r="A51" s="23" t="s">
        <v>102</v>
      </c>
      <c r="B51" s="38">
        <v>39791</v>
      </c>
      <c r="C51" s="38">
        <v>9650</v>
      </c>
      <c r="D51" s="25">
        <v>24743</v>
      </c>
    </row>
    <row r="52" spans="1:4" x14ac:dyDescent="0.3">
      <c r="A52" s="23" t="s">
        <v>103</v>
      </c>
      <c r="B52" s="38">
        <v>23414</v>
      </c>
      <c r="C52" s="38">
        <v>23495</v>
      </c>
      <c r="D52" s="56" t="s">
        <v>146</v>
      </c>
    </row>
    <row r="53" spans="1:4" ht="15" thickBot="1" x14ac:dyDescent="0.35">
      <c r="A53" s="43" t="s">
        <v>104</v>
      </c>
      <c r="B53" s="39">
        <v>12171</v>
      </c>
      <c r="C53" s="44">
        <v>17563</v>
      </c>
      <c r="D53" s="39">
        <v>20975</v>
      </c>
    </row>
    <row r="54" spans="1:4" x14ac:dyDescent="0.3">
      <c r="A54" s="58" t="s">
        <v>147</v>
      </c>
      <c r="B54" s="45">
        <f>SUM(B50+B51+B52+B53)</f>
        <v>163188</v>
      </c>
      <c r="C54" s="45">
        <f t="shared" ref="C54" si="0">SUM(C50+C51+C52+C53)</f>
        <v>119099</v>
      </c>
      <c r="D54" s="45">
        <f>SUM(D50+D51+D53)</f>
        <v>103601</v>
      </c>
    </row>
    <row r="55" spans="1:4" x14ac:dyDescent="0.3">
      <c r="A55" s="23" t="s">
        <v>105</v>
      </c>
      <c r="B55" s="38"/>
      <c r="C55" s="38"/>
      <c r="D55" s="38"/>
    </row>
    <row r="56" spans="1:4" x14ac:dyDescent="0.3">
      <c r="A56" s="40" t="s">
        <v>106</v>
      </c>
      <c r="B56" s="24"/>
      <c r="C56" s="24"/>
      <c r="D56" s="24"/>
    </row>
    <row r="57" spans="1:4" x14ac:dyDescent="0.3">
      <c r="A57" s="40" t="s">
        <v>107</v>
      </c>
      <c r="B57" s="38"/>
      <c r="C57" s="38"/>
      <c r="D57" s="38"/>
    </row>
    <row r="58" spans="1:4" x14ac:dyDescent="0.3">
      <c r="A58" s="23" t="s">
        <v>108</v>
      </c>
      <c r="B58" s="38">
        <v>-1837</v>
      </c>
      <c r="C58" s="38">
        <v>-1837</v>
      </c>
      <c r="D58" s="38">
        <v>-1837</v>
      </c>
    </row>
    <row r="59" spans="1:4" x14ac:dyDescent="0.3">
      <c r="A59" s="23" t="s">
        <v>109</v>
      </c>
      <c r="B59" s="38">
        <v>33658</v>
      </c>
      <c r="C59" s="38">
        <v>26791</v>
      </c>
      <c r="D59" s="38">
        <v>21389</v>
      </c>
    </row>
    <row r="60" spans="1:4" x14ac:dyDescent="0.3">
      <c r="A60" s="23" t="s">
        <v>110</v>
      </c>
      <c r="B60" s="38">
        <v>-986</v>
      </c>
      <c r="C60" s="38">
        <v>-1035</v>
      </c>
      <c r="D60" s="38">
        <v>-484</v>
      </c>
    </row>
    <row r="61" spans="1:4" ht="15" thickBot="1" x14ac:dyDescent="0.35">
      <c r="A61" s="43" t="s">
        <v>111</v>
      </c>
      <c r="B61" s="39">
        <v>31220</v>
      </c>
      <c r="C61" s="39">
        <v>19625</v>
      </c>
      <c r="D61" s="39">
        <v>8636</v>
      </c>
    </row>
    <row r="62" spans="1:4" x14ac:dyDescent="0.3">
      <c r="A62" s="47" t="s">
        <v>112</v>
      </c>
      <c r="B62" s="48">
        <v>62060</v>
      </c>
      <c r="C62" s="48">
        <v>43549</v>
      </c>
      <c r="D62" s="48">
        <v>27709</v>
      </c>
    </row>
    <row r="63" spans="1:4" ht="15" thickBot="1" x14ac:dyDescent="0.35">
      <c r="A63" s="46" t="s">
        <v>113</v>
      </c>
      <c r="B63" s="49">
        <v>225248</v>
      </c>
      <c r="C63" s="49">
        <v>162648</v>
      </c>
      <c r="D63" s="49">
        <v>131310</v>
      </c>
    </row>
    <row r="64" spans="1:4" x14ac:dyDescent="0.3">
      <c r="B64" s="10"/>
      <c r="C64" s="10"/>
      <c r="D64" s="10"/>
    </row>
    <row r="65" spans="1:4" x14ac:dyDescent="0.3">
      <c r="A65" s="1"/>
      <c r="B65" s="10"/>
      <c r="C65" s="10"/>
      <c r="D65" s="10"/>
    </row>
    <row r="66" spans="1:4" x14ac:dyDescent="0.3">
      <c r="A66" s="1"/>
      <c r="B66" s="10"/>
      <c r="C66" s="10"/>
      <c r="D66" s="10"/>
    </row>
    <row r="67" spans="1:4" x14ac:dyDescent="0.3">
      <c r="A67" s="1"/>
      <c r="B67" s="10"/>
      <c r="C67" s="10"/>
      <c r="D67" s="10"/>
    </row>
    <row r="68" spans="1:4" x14ac:dyDescent="0.3">
      <c r="A68" s="11"/>
      <c r="B68" s="12"/>
      <c r="C68" s="12"/>
      <c r="D68" s="12"/>
    </row>
    <row r="69" spans="1:4" ht="15" thickBot="1" x14ac:dyDescent="0.35">
      <c r="A69" s="13"/>
      <c r="B69" s="14"/>
      <c r="C69" s="14"/>
      <c r="D69" s="14"/>
    </row>
    <row r="70" spans="1:4" ht="15" thickTop="1" x14ac:dyDescent="0.3"/>
    <row r="71" spans="1:4" x14ac:dyDescent="0.3">
      <c r="A71" s="70" t="s">
        <v>13</v>
      </c>
      <c r="B71" s="70"/>
      <c r="C71" s="70"/>
      <c r="D71" s="70"/>
    </row>
    <row r="72" spans="1:4" x14ac:dyDescent="0.3">
      <c r="B72" s="69" t="s">
        <v>53</v>
      </c>
      <c r="C72" s="69"/>
      <c r="D72" s="69"/>
    </row>
    <row r="73" spans="1:4" x14ac:dyDescent="0.3">
      <c r="B73" s="9">
        <v>2019</v>
      </c>
      <c r="C73" s="9">
        <v>2018</v>
      </c>
      <c r="D73" s="9">
        <v>2017</v>
      </c>
    </row>
    <row r="74" spans="1:4" x14ac:dyDescent="0.3">
      <c r="A74" s="9" t="s">
        <v>114</v>
      </c>
      <c r="B74" s="15">
        <v>32173</v>
      </c>
      <c r="C74" s="15">
        <v>21856</v>
      </c>
      <c r="D74" s="15">
        <v>19934</v>
      </c>
    </row>
    <row r="75" spans="1:4" x14ac:dyDescent="0.3">
      <c r="A75" s="9" t="s">
        <v>115</v>
      </c>
      <c r="B75" s="16"/>
      <c r="C75" s="16"/>
      <c r="D75" s="16"/>
    </row>
    <row r="76" spans="1:4" x14ac:dyDescent="0.3">
      <c r="A76" s="17" t="s">
        <v>65</v>
      </c>
      <c r="B76" s="10">
        <v>11588</v>
      </c>
      <c r="C76" s="10">
        <v>10073</v>
      </c>
      <c r="D76" s="10">
        <v>3033</v>
      </c>
    </row>
    <row r="77" spans="1:4" x14ac:dyDescent="0.3">
      <c r="A77" s="1" t="s">
        <v>116</v>
      </c>
      <c r="B77" s="16"/>
      <c r="C77" s="16"/>
      <c r="D77" s="16"/>
    </row>
    <row r="78" spans="1:4" x14ac:dyDescent="0.3">
      <c r="A78" s="18" t="s">
        <v>117</v>
      </c>
      <c r="B78" s="10">
        <v>21789</v>
      </c>
      <c r="C78" s="10">
        <v>15341</v>
      </c>
      <c r="D78" s="10">
        <v>11478</v>
      </c>
    </row>
    <row r="79" spans="1:4" x14ac:dyDescent="0.3">
      <c r="A79" s="18" t="s">
        <v>118</v>
      </c>
      <c r="B79" s="10">
        <v>6864</v>
      </c>
      <c r="C79" s="10">
        <v>5418</v>
      </c>
      <c r="D79" s="10">
        <v>4215</v>
      </c>
    </row>
    <row r="80" spans="1:4" x14ac:dyDescent="0.3">
      <c r="A80" s="18" t="s">
        <v>75</v>
      </c>
      <c r="B80" s="10">
        <v>164</v>
      </c>
      <c r="C80" s="10">
        <v>274</v>
      </c>
      <c r="D80" s="10">
        <v>202</v>
      </c>
    </row>
    <row r="81" spans="1:4" x14ac:dyDescent="0.3">
      <c r="A81" s="18" t="s">
        <v>119</v>
      </c>
      <c r="B81" s="10">
        <v>-249</v>
      </c>
      <c r="C81" s="10">
        <v>219</v>
      </c>
      <c r="D81" s="10">
        <v>-292</v>
      </c>
    </row>
    <row r="82" spans="1:4" x14ac:dyDescent="0.3">
      <c r="A82" s="51" t="s">
        <v>120</v>
      </c>
      <c r="B82" s="50">
        <v>796</v>
      </c>
      <c r="C82" s="50">
        <v>441</v>
      </c>
      <c r="D82" s="50">
        <v>-29</v>
      </c>
    </row>
    <row r="83" spans="1:4" x14ac:dyDescent="0.3">
      <c r="A83" s="17" t="s">
        <v>121</v>
      </c>
      <c r="B83" s="10"/>
      <c r="C83" s="10"/>
      <c r="D83" s="10"/>
    </row>
    <row r="84" spans="1:4" x14ac:dyDescent="0.3">
      <c r="A84" s="18" t="s">
        <v>89</v>
      </c>
      <c r="B84" s="10">
        <v>-3278</v>
      </c>
      <c r="C84" s="10">
        <v>-1314</v>
      </c>
      <c r="D84" s="10">
        <v>-3583</v>
      </c>
    </row>
    <row r="85" spans="1:4" x14ac:dyDescent="0.3">
      <c r="A85" s="18" t="s">
        <v>122</v>
      </c>
      <c r="B85" s="10">
        <v>-7681</v>
      </c>
      <c r="C85" s="10">
        <v>-4615</v>
      </c>
      <c r="D85" s="10">
        <v>-4780</v>
      </c>
    </row>
    <row r="86" spans="1:4" x14ac:dyDescent="0.3">
      <c r="A86" s="18" t="s">
        <v>98</v>
      </c>
      <c r="B86" s="10">
        <v>8193</v>
      </c>
      <c r="C86" s="10">
        <v>3263</v>
      </c>
      <c r="D86" s="10">
        <v>7100</v>
      </c>
    </row>
    <row r="87" spans="1:4" x14ac:dyDescent="0.3">
      <c r="A87" s="18" t="s">
        <v>99</v>
      </c>
      <c r="B87" s="10">
        <v>-1383</v>
      </c>
      <c r="C87" s="10">
        <v>472</v>
      </c>
      <c r="D87" s="10">
        <v>283</v>
      </c>
    </row>
    <row r="88" spans="1:4" x14ac:dyDescent="0.3">
      <c r="A88" s="18" t="s">
        <v>100</v>
      </c>
      <c r="B88" s="10">
        <v>1711</v>
      </c>
      <c r="C88" s="10">
        <v>1151</v>
      </c>
      <c r="D88" s="10">
        <v>738</v>
      </c>
    </row>
    <row r="89" spans="1:4" ht="15" thickBot="1" x14ac:dyDescent="0.35">
      <c r="A89" s="52" t="s">
        <v>123</v>
      </c>
      <c r="B89" s="42">
        <v>38514</v>
      </c>
      <c r="C89" s="42">
        <v>30273</v>
      </c>
      <c r="D89" s="42">
        <v>18365</v>
      </c>
    </row>
    <row r="90" spans="1:4" x14ac:dyDescent="0.3">
      <c r="A90" s="22" t="s">
        <v>124</v>
      </c>
      <c r="B90" s="38"/>
      <c r="C90" s="38"/>
      <c r="D90" s="38"/>
    </row>
    <row r="91" spans="1:4" x14ac:dyDescent="0.3">
      <c r="A91" s="18" t="s">
        <v>125</v>
      </c>
      <c r="B91" s="25">
        <v>-16861</v>
      </c>
      <c r="C91" s="25">
        <v>-13427</v>
      </c>
      <c r="D91" s="25">
        <v>-11955</v>
      </c>
    </row>
    <row r="92" spans="1:4" x14ac:dyDescent="0.3">
      <c r="A92" s="18" t="s">
        <v>126</v>
      </c>
      <c r="B92" s="10">
        <v>4172</v>
      </c>
      <c r="C92" s="10">
        <v>2104</v>
      </c>
      <c r="D92" s="10">
        <v>1897</v>
      </c>
    </row>
    <row r="93" spans="1:4" x14ac:dyDescent="0.3">
      <c r="A93" s="18" t="s">
        <v>127</v>
      </c>
      <c r="B93" s="10">
        <v>-2461</v>
      </c>
      <c r="C93" s="10">
        <v>-2186</v>
      </c>
      <c r="D93" s="10">
        <v>-13972</v>
      </c>
    </row>
    <row r="94" spans="1:4" x14ac:dyDescent="0.3">
      <c r="A94" s="18" t="s">
        <v>128</v>
      </c>
      <c r="B94" s="10">
        <v>22681</v>
      </c>
      <c r="C94" s="10">
        <v>8240</v>
      </c>
      <c r="D94" s="10">
        <v>9677</v>
      </c>
    </row>
    <row r="95" spans="1:4" x14ac:dyDescent="0.3">
      <c r="A95" s="18" t="s">
        <v>129</v>
      </c>
      <c r="B95" s="10">
        <v>-31812</v>
      </c>
      <c r="C95" s="10">
        <v>-7100</v>
      </c>
      <c r="D95" s="10">
        <v>-12731</v>
      </c>
    </row>
    <row r="96" spans="1:4" ht="15" thickBot="1" x14ac:dyDescent="0.35">
      <c r="A96" s="52" t="s">
        <v>123</v>
      </c>
      <c r="B96" s="42">
        <v>-24281</v>
      </c>
      <c r="C96" s="42">
        <v>-12369</v>
      </c>
      <c r="D96" s="42">
        <v>-27084</v>
      </c>
    </row>
    <row r="97" spans="1:4" x14ac:dyDescent="0.3">
      <c r="A97" s="22" t="s">
        <v>130</v>
      </c>
      <c r="B97" s="10"/>
      <c r="C97" s="10"/>
      <c r="D97" s="10"/>
    </row>
    <row r="98" spans="1:4" x14ac:dyDescent="0.3">
      <c r="A98" s="18" t="s">
        <v>131</v>
      </c>
      <c r="B98" s="10">
        <v>2273</v>
      </c>
      <c r="C98" s="10">
        <v>768</v>
      </c>
      <c r="D98" s="10">
        <v>16228</v>
      </c>
    </row>
    <row r="99" spans="1:4" x14ac:dyDescent="0.3">
      <c r="A99" s="18" t="s">
        <v>132</v>
      </c>
      <c r="B99" s="10">
        <v>-2684</v>
      </c>
      <c r="C99" s="10">
        <v>-668</v>
      </c>
      <c r="D99" s="10">
        <v>-1301</v>
      </c>
    </row>
    <row r="100" spans="1:4" x14ac:dyDescent="0.3">
      <c r="A100" s="18" t="s">
        <v>133</v>
      </c>
      <c r="B100" s="38">
        <v>-9628</v>
      </c>
      <c r="C100" s="38">
        <v>-7449</v>
      </c>
      <c r="D100" s="38">
        <v>-4799</v>
      </c>
    </row>
    <row r="101" spans="1:4" x14ac:dyDescent="0.3">
      <c r="A101" s="18" t="s">
        <v>134</v>
      </c>
      <c r="B101" s="25">
        <v>-27</v>
      </c>
      <c r="C101" s="25">
        <v>-337</v>
      </c>
      <c r="D101" s="25">
        <v>-200</v>
      </c>
    </row>
    <row r="102" spans="1:4" ht="15" thickBot="1" x14ac:dyDescent="0.35">
      <c r="A102" s="52" t="s">
        <v>123</v>
      </c>
      <c r="B102" s="42">
        <v>-10066</v>
      </c>
      <c r="C102" s="42">
        <v>-7686</v>
      </c>
      <c r="D102" s="42">
        <v>9928</v>
      </c>
    </row>
    <row r="103" spans="1:4" ht="15" thickBot="1" x14ac:dyDescent="0.35">
      <c r="A103" s="54" t="s">
        <v>135</v>
      </c>
      <c r="B103" s="39">
        <v>70</v>
      </c>
      <c r="C103" s="39">
        <v>-351</v>
      </c>
      <c r="D103" s="39">
        <v>713</v>
      </c>
    </row>
    <row r="104" spans="1:4" ht="15" thickBot="1" x14ac:dyDescent="0.35">
      <c r="A104" s="54" t="s">
        <v>136</v>
      </c>
      <c r="B104" s="39">
        <v>4237</v>
      </c>
      <c r="C104" s="39">
        <v>10317</v>
      </c>
      <c r="D104" s="39">
        <v>1922</v>
      </c>
    </row>
    <row r="105" spans="1:4" ht="15" thickBot="1" x14ac:dyDescent="0.35">
      <c r="A105" s="53" t="s">
        <v>137</v>
      </c>
      <c r="B105" s="39">
        <v>36410</v>
      </c>
      <c r="C105" s="39">
        <v>32173</v>
      </c>
      <c r="D105" s="39">
        <v>21856</v>
      </c>
    </row>
    <row r="106" spans="1:4" x14ac:dyDescent="0.3">
      <c r="A106" s="1"/>
      <c r="B106" s="10"/>
      <c r="C106" s="10"/>
      <c r="D106" s="10"/>
    </row>
    <row r="107" spans="1:4" x14ac:dyDescent="0.3">
      <c r="A107" s="23" t="s">
        <v>138</v>
      </c>
      <c r="B107" s="10"/>
      <c r="C107" s="10"/>
      <c r="D107" s="10"/>
    </row>
    <row r="108" spans="1:4" x14ac:dyDescent="0.3">
      <c r="A108" s="23" t="s">
        <v>139</v>
      </c>
      <c r="B108" s="38">
        <v>875</v>
      </c>
      <c r="C108" s="38">
        <v>854</v>
      </c>
      <c r="D108" s="38">
        <v>328</v>
      </c>
    </row>
    <row r="109" spans="1:4" x14ac:dyDescent="0.3">
      <c r="A109" s="23" t="s">
        <v>140</v>
      </c>
      <c r="B109" s="38">
        <v>3361</v>
      </c>
      <c r="C109" s="56" t="s">
        <v>146</v>
      </c>
      <c r="D109" s="56" t="s">
        <v>146</v>
      </c>
    </row>
    <row r="110" spans="1:4" x14ac:dyDescent="0.3">
      <c r="A110" s="23" t="s">
        <v>141</v>
      </c>
      <c r="B110" s="38">
        <v>547</v>
      </c>
      <c r="C110" s="38">
        <v>381</v>
      </c>
      <c r="D110" s="38">
        <v>200</v>
      </c>
    </row>
    <row r="111" spans="1:4" x14ac:dyDescent="0.3">
      <c r="A111" s="23" t="s">
        <v>142</v>
      </c>
      <c r="B111" s="25">
        <v>39</v>
      </c>
      <c r="C111" s="25">
        <v>194</v>
      </c>
      <c r="D111" s="25">
        <v>119</v>
      </c>
    </row>
    <row r="112" spans="1:4" x14ac:dyDescent="0.3">
      <c r="A112" s="23" t="s">
        <v>150</v>
      </c>
      <c r="B112" s="25">
        <v>881</v>
      </c>
      <c r="C112" s="25">
        <v>1184</v>
      </c>
      <c r="D112" s="25">
        <v>957</v>
      </c>
    </row>
    <row r="113" spans="1:4" x14ac:dyDescent="0.3">
      <c r="A113" s="23" t="s">
        <v>143</v>
      </c>
      <c r="B113" s="25">
        <v>7870</v>
      </c>
      <c r="C113" s="55" t="s">
        <v>146</v>
      </c>
      <c r="D113" s="55" t="s">
        <v>146</v>
      </c>
    </row>
    <row r="114" spans="1:4" x14ac:dyDescent="0.3">
      <c r="A114" s="23" t="s">
        <v>144</v>
      </c>
      <c r="B114" s="38">
        <v>13723</v>
      </c>
      <c r="C114" s="38">
        <v>10615</v>
      </c>
      <c r="D114" s="38">
        <v>9637</v>
      </c>
    </row>
    <row r="115" spans="1:4" x14ac:dyDescent="0.3">
      <c r="A115" s="23" t="s">
        <v>145</v>
      </c>
      <c r="B115" s="10">
        <v>1362</v>
      </c>
      <c r="C115" s="10">
        <v>3641</v>
      </c>
      <c r="D115" s="10">
        <v>3541</v>
      </c>
    </row>
    <row r="116" spans="1:4" x14ac:dyDescent="0.3">
      <c r="B116" s="10"/>
      <c r="C116" s="10"/>
      <c r="D116" s="10"/>
    </row>
    <row r="117" spans="1:4" x14ac:dyDescent="0.3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8"/>
  <sheetViews>
    <sheetView tabSelected="1" zoomScaleNormal="100" workbookViewId="0">
      <selection activeCell="B1" sqref="B1"/>
    </sheetView>
  </sheetViews>
  <sheetFormatPr defaultRowHeight="14.4" x14ac:dyDescent="0.3"/>
  <cols>
    <col min="1" max="1" width="4.6640625" customWidth="1"/>
    <col min="2" max="2" width="44.88671875" customWidth="1"/>
    <col min="6" max="6" width="85.44140625" customWidth="1"/>
    <col min="15" max="15" width="10.44140625" bestFit="1" customWidth="1"/>
    <col min="16" max="16" width="11.44140625" bestFit="1" customWidth="1"/>
    <col min="17" max="17" width="9.77734375" bestFit="1" customWidth="1"/>
    <col min="18" max="18" width="9.44140625" bestFit="1" customWidth="1"/>
  </cols>
  <sheetData>
    <row r="1" spans="1:10" ht="60" customHeight="1" x14ac:dyDescent="0.5">
      <c r="A1" s="7"/>
      <c r="B1" s="19" t="s">
        <v>55</v>
      </c>
      <c r="C1" s="20"/>
      <c r="D1" s="20"/>
      <c r="E1" s="20"/>
      <c r="F1" s="71" t="s">
        <v>161</v>
      </c>
      <c r="G1" s="20"/>
      <c r="H1" s="20"/>
      <c r="I1" s="20"/>
      <c r="J1" s="20"/>
    </row>
    <row r="2" spans="1:10" x14ac:dyDescent="0.3">
      <c r="C2" s="69" t="s">
        <v>56</v>
      </c>
      <c r="D2" s="69"/>
      <c r="E2" s="69"/>
    </row>
    <row r="3" spans="1:10" x14ac:dyDescent="0.3">
      <c r="C3" s="9">
        <v>2019</v>
      </c>
      <c r="D3" s="9">
        <v>2018</v>
      </c>
      <c r="E3" s="9">
        <v>2017</v>
      </c>
    </row>
    <row r="4" spans="1:10" x14ac:dyDescent="0.3">
      <c r="A4" s="21">
        <v>1</v>
      </c>
      <c r="B4" s="9" t="s">
        <v>14</v>
      </c>
    </row>
    <row r="5" spans="1:10" x14ac:dyDescent="0.3">
      <c r="A5" s="21">
        <f>+A4+0.1</f>
        <v>1.1000000000000001</v>
      </c>
      <c r="B5" s="1" t="s">
        <v>15</v>
      </c>
      <c r="C5" s="57">
        <f>'Financial Statements'!B40/'Financial Statements'!B50</f>
        <v>1.0970482394205803</v>
      </c>
      <c r="D5" s="57">
        <f>'Financial Statements'!C40/'Financial Statements'!C50</f>
        <v>1.0981123247210891</v>
      </c>
      <c r="E5" s="57">
        <f>'Financial Statements'!D40/'Financial Statements'!D50</f>
        <v>1.039977195376881</v>
      </c>
    </row>
    <row r="6" spans="1:10" x14ac:dyDescent="0.3">
      <c r="A6" s="21">
        <f t="shared" ref="A6:A13" si="0">+A5+0.1</f>
        <v>1.2000000000000002</v>
      </c>
      <c r="B6" s="1" t="s">
        <v>16</v>
      </c>
      <c r="C6" s="57">
        <f>('Financial Statements'!B36+'Financial Statements'!B39)/'Financial Statements'!B50</f>
        <v>0.64806632350931537</v>
      </c>
      <c r="D6" s="57">
        <f>('Financial Statements'!C36+'Financial Statements'!C39)/'Financial Statements'!C50</f>
        <v>0.70809024579257507</v>
      </c>
      <c r="E6" s="57">
        <f>('Financial Statements'!D36+'Financial Statements'!D39)/'Financial Statements'!D50</f>
        <v>0.58196707150631444</v>
      </c>
    </row>
    <row r="7" spans="1:10" x14ac:dyDescent="0.3">
      <c r="A7" s="21">
        <f t="shared" si="0"/>
        <v>1.3000000000000003</v>
      </c>
      <c r="B7" s="1" t="s">
        <v>17</v>
      </c>
      <c r="C7" s="57">
        <f>'Financial Statements'!B36/'Financial Statements'!B54</f>
        <v>0.22116822315366325</v>
      </c>
      <c r="D7" s="57">
        <f>'Financial Statements'!C36/'Financial Statements'!C54</f>
        <v>0.26658494193905913</v>
      </c>
      <c r="E7" s="57">
        <f>'Financial Statements'!D36/'Financial Statements'!D54</f>
        <v>0.19808689105317517</v>
      </c>
    </row>
    <row r="8" spans="1:10" x14ac:dyDescent="0.3">
      <c r="A8" s="21">
        <f t="shared" si="0"/>
        <v>1.4000000000000004</v>
      </c>
      <c r="B8" s="1" t="s">
        <v>18</v>
      </c>
      <c r="C8" s="57">
        <f>'Financial Statements'!B40/('Financial Statements'!B9+'Financial Statements'!B15-'Financial Statements'!B78/365)</f>
        <v>0.22327585854365653</v>
      </c>
      <c r="D8" s="57">
        <f>'Financial Statements'!C40/('Financial Statements'!C9+'Financial Statements'!C15-'Financial Statements'!C78/365)</f>
        <v>0.20886919094083864</v>
      </c>
      <c r="E8" s="57">
        <f>'Financial Statements'!D40/('Financial Statements'!D9+'Financial Statements'!D15-'Financial Statements'!D78/365)</f>
        <v>0.21072765498428109</v>
      </c>
      <c r="F8" t="s">
        <v>156</v>
      </c>
    </row>
    <row r="9" spans="1:10" x14ac:dyDescent="0.3">
      <c r="A9" s="21">
        <f t="shared" si="0"/>
        <v>1.5000000000000004</v>
      </c>
      <c r="B9" s="1" t="s">
        <v>19</v>
      </c>
      <c r="C9" s="57">
        <f>'Financial Statements'!B38/'Financial Statements'!B9*365</f>
        <v>45.195033104581483</v>
      </c>
      <c r="D9" s="57">
        <f>'Financial Statements'!C38/'Financial Statements'!C9*365</f>
        <v>45.046638305211417</v>
      </c>
      <c r="E9" s="57">
        <f>'Financial Statements'!D38/'Financial Statements'!D9*365</f>
        <v>52.326862258116392</v>
      </c>
    </row>
    <row r="10" spans="1:10" x14ac:dyDescent="0.3">
      <c r="A10" s="21">
        <f t="shared" si="0"/>
        <v>1.6000000000000005</v>
      </c>
      <c r="B10" s="1" t="s">
        <v>20</v>
      </c>
      <c r="C10" s="57">
        <f>'Financial Statements'!B47/'Financial Statements'!B9*365</f>
        <v>104.03655398221535</v>
      </c>
      <c r="D10" s="57">
        <f>'Financial Statements'!C47/'Financial Statements'!C9*365</f>
        <v>100.1759176751272</v>
      </c>
      <c r="E10" s="57">
        <f>'Financial Statements'!D47/'Financial Statements'!D9*365</f>
        <v>112.87758857898403</v>
      </c>
    </row>
    <row r="11" spans="1:10" x14ac:dyDescent="0.3">
      <c r="A11" s="21">
        <f t="shared" si="0"/>
        <v>1.7000000000000006</v>
      </c>
      <c r="B11" s="1" t="s">
        <v>21</v>
      </c>
      <c r="C11" s="57">
        <f>'Financial Statements'!B39/'Financial Statements'!B7*365</f>
        <v>27.084649332316179</v>
      </c>
      <c r="D11" s="57">
        <f>'Financial Statements'!C39/'Financial Statements'!C7*365</f>
        <v>26.137590333509387</v>
      </c>
      <c r="E11" s="57">
        <f>'Financial Statements'!D39/'Financial Statements'!D7*365</f>
        <v>27.013931836326226</v>
      </c>
    </row>
    <row r="12" spans="1:10" x14ac:dyDescent="0.3">
      <c r="A12" s="21">
        <f t="shared" si="0"/>
        <v>1.8000000000000007</v>
      </c>
      <c r="B12" s="1" t="s">
        <v>22</v>
      </c>
      <c r="C12" s="57">
        <f>C9+C11-C10</f>
        <v>-31.756871545317694</v>
      </c>
      <c r="D12" s="57">
        <f t="shared" ref="D12:E12" si="1">D9+D11-D10</f>
        <v>-28.991689036406385</v>
      </c>
      <c r="E12" s="57">
        <f t="shared" si="1"/>
        <v>-33.536794484541417</v>
      </c>
    </row>
    <row r="13" spans="1:10" x14ac:dyDescent="0.3">
      <c r="A13" s="21">
        <f t="shared" si="0"/>
        <v>1.9000000000000008</v>
      </c>
      <c r="B13" s="1" t="s">
        <v>23</v>
      </c>
      <c r="C13" s="57">
        <f>C14/'Financial Statements'!B7*100</f>
        <v>3.0379079002716365</v>
      </c>
      <c r="D13" s="57">
        <f>D14/'Financial Statements'!C7*100</f>
        <v>2.8812256587958966</v>
      </c>
      <c r="E13" s="57">
        <f>E14/'Financial Statements'!D7*100</f>
        <v>1.3009793889782195</v>
      </c>
    </row>
    <row r="14" spans="1:10" x14ac:dyDescent="0.3">
      <c r="A14" s="21"/>
      <c r="B14" s="18" t="s">
        <v>24</v>
      </c>
      <c r="C14" s="15">
        <f>'Financial Statements'!B40-'Financial Statements'!B50</f>
        <v>8522</v>
      </c>
      <c r="D14" s="15">
        <f>'Financial Statements'!C40-'Financial Statements'!C50</f>
        <v>6710</v>
      </c>
      <c r="E14" s="15">
        <f>'Financial Statements'!D40-'Financial Statements'!D50</f>
        <v>2314</v>
      </c>
    </row>
    <row r="15" spans="1:10" x14ac:dyDescent="0.3">
      <c r="A15" s="21"/>
    </row>
    <row r="16" spans="1:10" x14ac:dyDescent="0.3">
      <c r="A16" s="21">
        <f>+A4+1</f>
        <v>2</v>
      </c>
      <c r="B16" s="22" t="s">
        <v>25</v>
      </c>
    </row>
    <row r="17" spans="1:17" x14ac:dyDescent="0.3">
      <c r="A17" s="21">
        <f>+A16+0.1</f>
        <v>2.1</v>
      </c>
      <c r="B17" s="1" t="s">
        <v>11</v>
      </c>
      <c r="C17" s="68">
        <f>('Financial Statements'!B7-'Financial Statements'!B9)/'Financial Statements'!B7</f>
        <v>0.40990011478600608</v>
      </c>
      <c r="D17" s="68">
        <f>('Financial Statements'!C7-'Financial Statements'!C9)/'Financial Statements'!C7</f>
        <v>0.40247416128852193</v>
      </c>
      <c r="E17" s="68">
        <f>('Financial Statements'!D7-'Financial Statements'!D9)/'Financial Statements'!D7</f>
        <v>0.3706835482891615</v>
      </c>
    </row>
    <row r="18" spans="1:17" x14ac:dyDescent="0.3">
      <c r="A18" s="21">
        <f>+A17+0.1</f>
        <v>2.2000000000000002</v>
      </c>
      <c r="B18" s="1" t="s">
        <v>26</v>
      </c>
      <c r="C18" s="68">
        <f>C19/'Financial Statements'!B7</f>
        <v>0.12950855904349748</v>
      </c>
      <c r="D18" s="68">
        <f>D19/'Financial Statements'!C7</f>
        <v>0.11920802792770743</v>
      </c>
      <c r="E18" s="68">
        <f>E19/'Financial Statements'!D7</f>
        <v>8.7616520301800227E-2</v>
      </c>
    </row>
    <row r="19" spans="1:17" x14ac:dyDescent="0.3">
      <c r="A19" s="21"/>
      <c r="B19" s="18" t="s">
        <v>27</v>
      </c>
      <c r="C19">
        <f>'Financial Statements'!B16+'Financial Statements'!B78</f>
        <v>36330</v>
      </c>
      <c r="D19">
        <f>'Financial Statements'!C16+'Financial Statements'!C78</f>
        <v>27762</v>
      </c>
      <c r="E19">
        <f>'Financial Statements'!D16+'Financial Statements'!D78</f>
        <v>15584</v>
      </c>
    </row>
    <row r="20" spans="1:17" x14ac:dyDescent="0.3">
      <c r="A20" s="21">
        <f>+A18+0.1</f>
        <v>2.3000000000000003</v>
      </c>
      <c r="B20" s="1" t="s">
        <v>28</v>
      </c>
      <c r="C20">
        <f>'Financial Statements'!B7-'Financial Statements'!B9-'Financial Statements'!B15</f>
        <v>-150995</v>
      </c>
      <c r="D20">
        <f>'Financial Statements'!C7-'Financial Statements'!C9-'Financial Statements'!C15</f>
        <v>-126715</v>
      </c>
      <c r="E20">
        <f>'Financial Statements'!D7-'Financial Statements'!D9-'Financial Statements'!D15</f>
        <v>-107828</v>
      </c>
      <c r="F20" t="s">
        <v>158</v>
      </c>
    </row>
    <row r="21" spans="1:17" x14ac:dyDescent="0.3">
      <c r="A21" s="21"/>
      <c r="B21" s="18" t="s">
        <v>29</v>
      </c>
      <c r="C21">
        <f>'Financial Statements'!B16</f>
        <v>14541</v>
      </c>
      <c r="D21">
        <f>'Financial Statements'!C16</f>
        <v>12421</v>
      </c>
      <c r="E21">
        <f>'Financial Statements'!D16</f>
        <v>4106</v>
      </c>
    </row>
    <row r="22" spans="1:17" x14ac:dyDescent="0.3">
      <c r="A22" s="21">
        <f>+A20+0.1</f>
        <v>2.4000000000000004</v>
      </c>
      <c r="B22" s="1" t="s">
        <v>30</v>
      </c>
      <c r="C22" s="68">
        <f>'Financial Statements'!B24/'Financial Statements'!B7</f>
        <v>4.1308703060722513E-2</v>
      </c>
      <c r="D22" s="68">
        <f>'Financial Statements'!C24/'Financial Statements'!C7</f>
        <v>4.3252736305590261E-2</v>
      </c>
      <c r="E22" s="68">
        <f>'Financial Statements'!D24/'Financial Statements'!D7</f>
        <v>1.7052162864178651E-2</v>
      </c>
    </row>
    <row r="23" spans="1:17" x14ac:dyDescent="0.3">
      <c r="A23" s="21"/>
    </row>
    <row r="24" spans="1:17" x14ac:dyDescent="0.3">
      <c r="A24" s="21">
        <f>+A16+1</f>
        <v>3</v>
      </c>
      <c r="B24" s="9" t="s">
        <v>31</v>
      </c>
    </row>
    <row r="25" spans="1:17" x14ac:dyDescent="0.3">
      <c r="A25" s="21">
        <f>+A24+0.1</f>
        <v>3.1</v>
      </c>
      <c r="B25" s="1" t="s">
        <v>32</v>
      </c>
      <c r="C25" s="57">
        <f>'Financial Statements'!B54/'Financial Statements'!B62</f>
        <v>2.6295198195294875</v>
      </c>
      <c r="D25" s="57">
        <f>'Financial Statements'!C54/'Financial Statements'!C62</f>
        <v>2.734827435762015</v>
      </c>
      <c r="E25" s="57">
        <f>'Financial Statements'!D54/'Financial Statements'!D62</f>
        <v>3.7388935003067596</v>
      </c>
      <c r="F25" t="s">
        <v>159</v>
      </c>
    </row>
    <row r="26" spans="1:17" x14ac:dyDescent="0.3">
      <c r="A26" s="21">
        <f t="shared" ref="A26:A30" si="2">+A25+0.1</f>
        <v>3.2</v>
      </c>
      <c r="B26" s="1" t="s">
        <v>33</v>
      </c>
      <c r="C26" s="57">
        <f>'Financial Statements'!B54/'Financial Statements'!B45</f>
        <v>0.72448146043472084</v>
      </c>
      <c r="D26" s="57">
        <f>'Financial Statements'!C54/'Financial Statements'!C45</f>
        <v>0.732250012296493</v>
      </c>
      <c r="E26" s="57">
        <f>'Financial Statements'!D54/'Financial Statements'!D45</f>
        <v>0.78898027568349705</v>
      </c>
      <c r="F26" t="s">
        <v>159</v>
      </c>
    </row>
    <row r="27" spans="1:17" x14ac:dyDescent="0.3">
      <c r="A27" s="21">
        <f t="shared" si="2"/>
        <v>3.3000000000000003</v>
      </c>
      <c r="B27" s="1" t="s">
        <v>34</v>
      </c>
      <c r="C27" s="57">
        <f>'Financial Statements'!B52/('Financial Statements'!B52+'Financial Statements'!B62)</f>
        <v>0.27393125394856915</v>
      </c>
      <c r="D27" s="57">
        <f>'Financial Statements'!C52/('Financial Statements'!C52+'Financial Statements'!C62)</f>
        <v>0.35044150110375277</v>
      </c>
      <c r="E27" s="59" t="s">
        <v>146</v>
      </c>
    </row>
    <row r="28" spans="1:17" x14ac:dyDescent="0.3">
      <c r="A28" s="21">
        <f t="shared" si="2"/>
        <v>3.4000000000000004</v>
      </c>
      <c r="B28" s="1" t="s">
        <v>35</v>
      </c>
      <c r="C28" s="57">
        <f>C21/('Financial Statements'!B108+'Financial Statements'!B110+'Financial Statements'!B111)</f>
        <v>9.9527720739219721</v>
      </c>
      <c r="D28" s="57">
        <f>D21/('Financial Statements'!C108+'Financial Statements'!C110+'Financial Statements'!C111)</f>
        <v>8.6920923722883128</v>
      </c>
      <c r="E28" s="57">
        <f>E21/('Financial Statements'!D108+'Financial Statements'!D110+'Financial Statements'!D111)</f>
        <v>6.346213292117465</v>
      </c>
    </row>
    <row r="29" spans="1:17" x14ac:dyDescent="0.3">
      <c r="A29" s="21">
        <f t="shared" si="2"/>
        <v>3.5000000000000004</v>
      </c>
      <c r="B29" s="1" t="s">
        <v>36</v>
      </c>
      <c r="C29" s="57">
        <f>C21/('Financial Statements'!B108+'Financial Statements'!B110+'Financial Statements'!B111+'Financial Statements'!B99)</f>
        <v>-11.889615699100572</v>
      </c>
      <c r="D29" s="57">
        <f>D21/('Financial Statements'!C108+'Financial Statements'!C110+'Financial Statements'!C111+'Financial Statements'!C99)</f>
        <v>16.321944809461236</v>
      </c>
      <c r="E29" s="57">
        <f>E21/('Financial Statements'!D108+'Financial Statements'!D110+'Financial Statements'!D111+'Financial Statements'!D99)</f>
        <v>-6.2782874617736999</v>
      </c>
      <c r="F29" t="s">
        <v>160</v>
      </c>
    </row>
    <row r="30" spans="1:17" ht="15" thickBot="1" x14ac:dyDescent="0.35">
      <c r="A30" s="21">
        <f t="shared" si="2"/>
        <v>3.6000000000000005</v>
      </c>
      <c r="B30" s="1" t="s">
        <v>37</v>
      </c>
      <c r="C30" s="57">
        <f>C31/498000</f>
        <v>0.12114859437751004</v>
      </c>
      <c r="D30" s="57">
        <f t="shared" ref="D30:E30" si="3">D31/498000</f>
        <v>9.0634538152610439E-2</v>
      </c>
      <c r="E30" s="57">
        <f t="shared" si="3"/>
        <v>9.608232931726908E-2</v>
      </c>
      <c r="O30" t="s">
        <v>148</v>
      </c>
    </row>
    <row r="31" spans="1:17" ht="15" thickBot="1" x14ac:dyDescent="0.35">
      <c r="A31" s="21"/>
      <c r="B31" s="18" t="s">
        <v>38</v>
      </c>
      <c r="C31" s="15">
        <f>'Financial Statements'!B89-'Financial Statements'!B91+'Financial Statements'!B98-'Financial Statements'!B99</f>
        <v>60332</v>
      </c>
      <c r="D31" s="15">
        <f>'Financial Statements'!C89-'Financial Statements'!C91+'Financial Statements'!C98-'Financial Statements'!C99</f>
        <v>45136</v>
      </c>
      <c r="E31" s="15">
        <f>'Financial Statements'!D89-'Financial Statements'!D91+'Financial Statements'!D98-'Financial Statements'!D99</f>
        <v>47849</v>
      </c>
      <c r="O31" s="61">
        <v>2019</v>
      </c>
      <c r="P31" s="62">
        <v>2018</v>
      </c>
      <c r="Q31" s="63">
        <v>2017</v>
      </c>
    </row>
    <row r="32" spans="1:17" x14ac:dyDescent="0.3">
      <c r="A32" s="21"/>
      <c r="O32" s="60">
        <v>92.39</v>
      </c>
      <c r="P32" s="60">
        <v>75.099999999999994</v>
      </c>
      <c r="Q32" s="60">
        <v>58.47</v>
      </c>
    </row>
    <row r="33" spans="1:23" x14ac:dyDescent="0.3">
      <c r="A33" s="21">
        <f>+A24+1</f>
        <v>4</v>
      </c>
      <c r="B33" s="22" t="s">
        <v>39</v>
      </c>
    </row>
    <row r="34" spans="1:23" x14ac:dyDescent="0.3">
      <c r="A34" s="21">
        <f>+A33+0.1</f>
        <v>4.0999999999999996</v>
      </c>
      <c r="B34" s="1" t="s">
        <v>40</v>
      </c>
      <c r="C34" s="57">
        <f>'Financial Statements'!B7/'Financial Statements'!B45</f>
        <v>1.2453917459866459</v>
      </c>
      <c r="D34" s="57">
        <f>'Financial Statements'!C7/'Financial Statements'!C45</f>
        <v>1.431846687324775</v>
      </c>
      <c r="E34" s="57">
        <f>'Financial Statements'!D7/'Financial Statements'!D45</f>
        <v>1.3545503008148656</v>
      </c>
      <c r="O34" t="s">
        <v>149</v>
      </c>
      <c r="T34" t="s">
        <v>154</v>
      </c>
    </row>
    <row r="35" spans="1:23" x14ac:dyDescent="0.3">
      <c r="A35" s="21">
        <f t="shared" ref="A35:A37" si="4">+A34+0.1</f>
        <v>4.1999999999999993</v>
      </c>
      <c r="B35" s="1" t="s">
        <v>41</v>
      </c>
      <c r="C35" s="57">
        <f>'Financial Statements'!B24/'Financial Statements'!B91</f>
        <v>-0.68726647292568654</v>
      </c>
      <c r="D35" s="57">
        <f>'Financial Statements'!C24/'Financial Statements'!C91</f>
        <v>-0.75020481120131077</v>
      </c>
      <c r="E35" s="57">
        <f>'Financial Statements'!D24/'Financial Statements'!D91</f>
        <v>-0.25370138017565874</v>
      </c>
      <c r="P35">
        <v>2019</v>
      </c>
      <c r="Q35">
        <v>2018</v>
      </c>
      <c r="R35">
        <v>2017</v>
      </c>
      <c r="U35">
        <v>2019</v>
      </c>
      <c r="V35">
        <v>2018</v>
      </c>
      <c r="W35">
        <v>2017</v>
      </c>
    </row>
    <row r="36" spans="1:23" x14ac:dyDescent="0.3">
      <c r="A36" s="21">
        <f t="shared" si="4"/>
        <v>4.2999999999999989</v>
      </c>
      <c r="B36" s="1" t="s">
        <v>42</v>
      </c>
      <c r="C36" s="57">
        <f>'Financial Statements'!B9/'Financial Statements'!B38</f>
        <v>8.0761086988339752</v>
      </c>
      <c r="D36" s="57">
        <f>'Financial Statements'!C9/'Financial Statements'!C38</f>
        <v>8.1027134039827651</v>
      </c>
      <c r="E36" s="57">
        <f>'Financial Statements'!D9/'Financial Statements'!D38</f>
        <v>6.9753848071290587</v>
      </c>
      <c r="O36" t="s">
        <v>151</v>
      </c>
      <c r="P36">
        <f>'Financial Statements'!B16</f>
        <v>14541</v>
      </c>
      <c r="Q36" s="15">
        <f>'Financial Statements'!C16</f>
        <v>12421</v>
      </c>
      <c r="R36">
        <f>'Financial Statements'!D16</f>
        <v>4106</v>
      </c>
      <c r="U36">
        <f>'Financial Statements'!B52+'Financial Statements'!B62</f>
        <v>85474</v>
      </c>
      <c r="V36">
        <f>'Financial Statements'!C52+'Financial Statements'!C62</f>
        <v>67044</v>
      </c>
      <c r="W36">
        <f>'Financial Statements'!D98+'Financial Statements'!D62</f>
        <v>43937</v>
      </c>
    </row>
    <row r="37" spans="1:23" x14ac:dyDescent="0.3">
      <c r="A37" s="21">
        <f t="shared" si="4"/>
        <v>4.3999999999999986</v>
      </c>
      <c r="B37" s="1" t="s">
        <v>43</v>
      </c>
      <c r="C37" s="57">
        <f>'Financial Statements'!B24/'Financial Statements'!B45</f>
        <v>5.1445517829237106E-2</v>
      </c>
      <c r="D37" s="57">
        <f>'Financial Statements'!C24/'Financial Statements'!C45</f>
        <v>6.1931287196891449E-2</v>
      </c>
      <c r="E37" s="57">
        <f>'Financial Statements'!D24/'Financial Statements'!D45</f>
        <v>2.3098012337217273E-2</v>
      </c>
      <c r="O37" t="s">
        <v>152</v>
      </c>
      <c r="P37">
        <v>17</v>
      </c>
      <c r="Q37">
        <v>10.6</v>
      </c>
      <c r="R37">
        <v>11.4</v>
      </c>
    </row>
    <row r="38" spans="1:23" x14ac:dyDescent="0.3">
      <c r="A38" s="21"/>
      <c r="O38" t="s">
        <v>153</v>
      </c>
      <c r="P38" s="66">
        <f>P36*(1-0.17)</f>
        <v>12069.029999999999</v>
      </c>
      <c r="Q38" s="64">
        <f>Q36*(1-0.106)</f>
        <v>11104.374</v>
      </c>
      <c r="R38" s="65">
        <f>R36*(1-0.114)</f>
        <v>3637.9160000000002</v>
      </c>
    </row>
    <row r="39" spans="1:23" x14ac:dyDescent="0.3">
      <c r="A39" s="21">
        <f>+A33+1</f>
        <v>5</v>
      </c>
      <c r="B39" s="22" t="s">
        <v>44</v>
      </c>
      <c r="O39" t="s">
        <v>155</v>
      </c>
    </row>
    <row r="40" spans="1:23" x14ac:dyDescent="0.3">
      <c r="A40" s="21">
        <f>+A39+0.1</f>
        <v>5.0999999999999996</v>
      </c>
      <c r="B40" s="1" t="s">
        <v>45</v>
      </c>
      <c r="C40" s="57">
        <f>O32/'Financial Statements'!B26</f>
        <v>4.0152107779226425</v>
      </c>
      <c r="D40" s="57">
        <f>P32/'Financial Statements'!C26</f>
        <v>3.728897715988083</v>
      </c>
      <c r="E40" s="57">
        <f>Q32/'Financial Statements'!D26</f>
        <v>9.5073170731707304</v>
      </c>
      <c r="O40">
        <f>O32*(498000/1000)</f>
        <v>46010.22</v>
      </c>
      <c r="P40">
        <f t="shared" ref="P40:Q40" si="5">P32*(498000/1000)</f>
        <v>37399.799999999996</v>
      </c>
      <c r="Q40">
        <f t="shared" si="5"/>
        <v>29118.059999999998</v>
      </c>
    </row>
    <row r="41" spans="1:23" x14ac:dyDescent="0.3">
      <c r="A41" s="21">
        <f t="shared" ref="A41:A43" si="6">+A40+0.1</f>
        <v>5.1999999999999993</v>
      </c>
      <c r="B41" s="1" t="s">
        <v>46</v>
      </c>
      <c r="C41">
        <v>23.01</v>
      </c>
      <c r="D41">
        <v>20.14</v>
      </c>
      <c r="E41">
        <v>6.15</v>
      </c>
    </row>
    <row r="42" spans="1:23" x14ac:dyDescent="0.3">
      <c r="A42" s="21">
        <f t="shared" si="6"/>
        <v>5.2999999999999989</v>
      </c>
      <c r="B42" s="1" t="s">
        <v>47</v>
      </c>
      <c r="C42" s="57">
        <f>O32/C43</f>
        <v>7.4138285530132126</v>
      </c>
      <c r="D42" s="57">
        <f t="shared" ref="D42:E42" si="7">P32/D43</f>
        <v>8.5879813543364936</v>
      </c>
      <c r="E42" s="57">
        <f t="shared" si="7"/>
        <v>10.508520697246382</v>
      </c>
    </row>
    <row r="43" spans="1:23" x14ac:dyDescent="0.3">
      <c r="A43" s="21">
        <f t="shared" si="6"/>
        <v>5.3999999999999986</v>
      </c>
      <c r="B43" s="1" t="s">
        <v>48</v>
      </c>
      <c r="C43" s="57">
        <f>'Financial Statements'!B62/(498000/100)</f>
        <v>12.461847389558233</v>
      </c>
      <c r="D43" s="57">
        <f>'Financial Statements'!C62/(498000/100)</f>
        <v>8.7447791164658639</v>
      </c>
      <c r="E43" s="57">
        <f>'Financial Statements'!D62/(498000/100)</f>
        <v>5.5640562248995984</v>
      </c>
      <c r="F43" t="s">
        <v>157</v>
      </c>
    </row>
    <row r="44" spans="1:23" x14ac:dyDescent="0.3">
      <c r="A44" s="21"/>
      <c r="B44" s="1" t="s">
        <v>49</v>
      </c>
      <c r="C44" s="57">
        <f>'Financial Statements'!B24/'Financial Statements'!B62</f>
        <v>0.1867225265871737</v>
      </c>
      <c r="D44" s="57">
        <f>'Financial Statements'!C24/'Financial Statements'!C62</f>
        <v>0.231302670555007</v>
      </c>
      <c r="E44" s="57">
        <f>'Financial Statements'!D24/'Financial Statements'!D62</f>
        <v>0.10945902053484427</v>
      </c>
    </row>
    <row r="45" spans="1:23" x14ac:dyDescent="0.3">
      <c r="A45" s="21"/>
      <c r="B45" s="1" t="s">
        <v>50</v>
      </c>
      <c r="C45" s="57">
        <f>P38/U36</f>
        <v>0.14120118398577344</v>
      </c>
      <c r="D45" s="57">
        <f t="shared" ref="D45:E45" si="8">Q38/V36</f>
        <v>0.16562815464471092</v>
      </c>
      <c r="E45" s="57">
        <f t="shared" si="8"/>
        <v>8.2798461433416029E-2</v>
      </c>
    </row>
    <row r="46" spans="1:23" x14ac:dyDescent="0.3">
      <c r="A46" s="21"/>
      <c r="B46" s="1" t="s">
        <v>43</v>
      </c>
      <c r="C46" s="57">
        <f>'Financial Statements'!B24/'Financial Statements'!B45</f>
        <v>5.1445517829237106E-2</v>
      </c>
      <c r="D46" s="57">
        <f>'Financial Statements'!C24/'Financial Statements'!C45</f>
        <v>6.1931287196891449E-2</v>
      </c>
      <c r="E46" s="57">
        <f>'Financial Statements'!D24/'Financial Statements'!D45</f>
        <v>2.3098012337217273E-2</v>
      </c>
    </row>
    <row r="47" spans="1:23" x14ac:dyDescent="0.3">
      <c r="A47" s="21"/>
      <c r="B47" s="1" t="s">
        <v>51</v>
      </c>
      <c r="C47" s="57">
        <f>C48/C19</f>
        <v>4.7648285163776496</v>
      </c>
      <c r="D47" s="57">
        <f t="shared" ref="D47:E47" si="9">D48/D19</f>
        <v>4.4935091131762839</v>
      </c>
      <c r="E47" s="57">
        <f t="shared" si="9"/>
        <v>7.1995033367556465</v>
      </c>
    </row>
    <row r="48" spans="1:23" x14ac:dyDescent="0.3">
      <c r="A48" s="21"/>
      <c r="B48" s="18" t="s">
        <v>52</v>
      </c>
      <c r="C48">
        <f>O40+'Financial Statements'!B54-'Financial Statements'!B36</f>
        <v>173106.22</v>
      </c>
      <c r="D48">
        <f>P40+'Financial Statements'!C54-'Financial Statements'!C36</f>
        <v>124748.79999999999</v>
      </c>
      <c r="E48">
        <f>Q40+'Financial Statements'!D54-'Financial Statements'!D36</f>
        <v>112197.06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2020-05-19T16:15:53Z</dcterms:created>
  <dcterms:modified xsi:type="dcterms:W3CDTF">2023-11-30T18:12:35Z</dcterms:modified>
</cp:coreProperties>
</file>