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DA56AC0C-B3EE-49E6-BB62-29012A372D84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5" i="3" l="1"/>
  <c r="D75" i="3"/>
  <c r="C74" i="3"/>
  <c r="D74" i="3"/>
  <c r="C72" i="3"/>
  <c r="D72" i="3"/>
  <c r="C71" i="3"/>
  <c r="D71" i="3"/>
  <c r="C70" i="3"/>
  <c r="D70" i="3"/>
  <c r="C68" i="3"/>
  <c r="D68" i="3"/>
  <c r="C67" i="3"/>
  <c r="D67" i="3"/>
  <c r="C65" i="3"/>
  <c r="C64" i="3"/>
  <c r="C63" i="3"/>
  <c r="C62" i="3"/>
  <c r="D65" i="3"/>
  <c r="D64" i="3"/>
  <c r="D63" i="3"/>
  <c r="D62" i="3"/>
  <c r="D88" i="3"/>
  <c r="C88" i="3"/>
  <c r="E88" i="3"/>
  <c r="D90" i="3"/>
  <c r="C90" i="3"/>
  <c r="E90" i="3"/>
  <c r="D89" i="3"/>
  <c r="C89" i="3"/>
  <c r="E89" i="3"/>
  <c r="D86" i="3"/>
  <c r="C86" i="3"/>
  <c r="D85" i="3"/>
  <c r="C85" i="3"/>
  <c r="D84" i="3"/>
  <c r="C84" i="3"/>
  <c r="D83" i="3"/>
  <c r="C83" i="3"/>
  <c r="D82" i="3"/>
  <c r="C82" i="3"/>
  <c r="D81" i="3"/>
  <c r="C81" i="3"/>
  <c r="E86" i="3"/>
  <c r="E85" i="3"/>
  <c r="E84" i="3"/>
  <c r="E83" i="3"/>
  <c r="E82" i="3"/>
  <c r="E81" i="3"/>
  <c r="C58" i="3"/>
  <c r="D58" i="3"/>
  <c r="C57" i="3"/>
  <c r="D57" i="3"/>
  <c r="C55" i="3"/>
  <c r="D55" i="3"/>
  <c r="C54" i="3"/>
  <c r="D54" i="3"/>
  <c r="D51" i="3"/>
  <c r="C51" i="3"/>
  <c r="E51" i="3"/>
  <c r="E45" i="3"/>
  <c r="E46" i="3" s="1"/>
  <c r="D45" i="3"/>
  <c r="D46" i="3" s="1"/>
  <c r="C45" i="3"/>
  <c r="C46" i="3" s="1"/>
  <c r="D109" i="1"/>
  <c r="C109" i="1"/>
  <c r="B109" i="1"/>
  <c r="D100" i="1"/>
  <c r="C100" i="1"/>
  <c r="B100" i="1"/>
  <c r="D68" i="1" l="1"/>
  <c r="C68" i="1"/>
  <c r="B68" i="1"/>
  <c r="D61" i="1"/>
  <c r="C61" i="1"/>
  <c r="B61" i="1"/>
  <c r="D56" i="1"/>
  <c r="C56" i="1"/>
  <c r="B56" i="1"/>
  <c r="D47" i="1"/>
  <c r="C47" i="1"/>
  <c r="B47" i="1"/>
  <c r="D42" i="1"/>
  <c r="C42" i="1"/>
  <c r="B42" i="1"/>
  <c r="D17" i="1"/>
  <c r="E8" i="3" s="1"/>
  <c r="C17" i="1"/>
  <c r="D8" i="3" s="1"/>
  <c r="B17" i="1"/>
  <c r="C8" i="3" s="1"/>
  <c r="D12" i="1"/>
  <c r="C12" i="1"/>
  <c r="B12" i="1"/>
  <c r="D8" i="1"/>
  <c r="C8" i="1"/>
  <c r="B8" i="1"/>
  <c r="E3" i="3"/>
  <c r="D3" i="3"/>
  <c r="C3" i="3"/>
  <c r="D33" i="1"/>
  <c r="D74" i="1" s="1"/>
  <c r="C33" i="1"/>
  <c r="C74" i="1" s="1"/>
  <c r="B33" i="1"/>
  <c r="B74" i="1" s="1"/>
  <c r="E7" i="3" l="1" a="1"/>
  <c r="E7" i="3" s="1"/>
  <c r="E6" i="3"/>
  <c r="D14" i="3"/>
  <c r="D13" i="3" s="1"/>
  <c r="D5" i="3"/>
  <c r="E27" i="3"/>
  <c r="E43" i="3"/>
  <c r="E42" i="3" s="1"/>
  <c r="E25" i="3"/>
  <c r="C14" i="3"/>
  <c r="C13" i="3" s="1"/>
  <c r="C5" i="3"/>
  <c r="C35" i="3"/>
  <c r="C11" i="3"/>
  <c r="C17" i="3"/>
  <c r="C25" i="3"/>
  <c r="C43" i="3"/>
  <c r="C42" i="3" s="1"/>
  <c r="C27" i="3"/>
  <c r="D35" i="3"/>
  <c r="D11" i="3"/>
  <c r="D17" i="3"/>
  <c r="B48" i="1"/>
  <c r="C26" i="3" s="1"/>
  <c r="D25" i="3"/>
  <c r="D43" i="3"/>
  <c r="D42" i="3" s="1"/>
  <c r="D27" i="3"/>
  <c r="D10" i="3"/>
  <c r="D36" i="3"/>
  <c r="D9" i="3"/>
  <c r="B62" i="1"/>
  <c r="B69" i="1" s="1"/>
  <c r="C7" i="3" a="1"/>
  <c r="C7" i="3" s="1"/>
  <c r="C6" i="3"/>
  <c r="E5" i="3"/>
  <c r="E14" i="3"/>
  <c r="E13" i="3" s="1"/>
  <c r="D13" i="1"/>
  <c r="D18" i="1" s="1"/>
  <c r="E35" i="3"/>
  <c r="E11" i="3"/>
  <c r="E17" i="3"/>
  <c r="C9" i="3"/>
  <c r="C36" i="3"/>
  <c r="C10" i="3"/>
  <c r="E9" i="3"/>
  <c r="E10" i="3"/>
  <c r="E36" i="3"/>
  <c r="C62" i="1"/>
  <c r="C69" i="1" s="1"/>
  <c r="D6" i="3"/>
  <c r="D7" i="3" a="1"/>
  <c r="D7" i="3" s="1"/>
  <c r="B13" i="1"/>
  <c r="C56" i="3" s="1"/>
  <c r="C13" i="1"/>
  <c r="D56" i="3" s="1"/>
  <c r="C48" i="1"/>
  <c r="D26" i="3" s="1"/>
  <c r="D62" i="1"/>
  <c r="D69" i="1" s="1"/>
  <c r="D48" i="1"/>
  <c r="E26" i="3" s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B18" i="1" l="1"/>
  <c r="C59" i="3" s="1"/>
  <c r="C18" i="1"/>
  <c r="D59" i="3" s="1"/>
  <c r="C12" i="3"/>
  <c r="D34" i="3"/>
  <c r="D12" i="3"/>
  <c r="B20" i="1"/>
  <c r="B22" i="1" s="1"/>
  <c r="C19" i="3"/>
  <c r="C50" i="3" s="1"/>
  <c r="C21" i="3"/>
  <c r="D20" i="1"/>
  <c r="D22" i="1" s="1"/>
  <c r="E19" i="3"/>
  <c r="E21" i="3"/>
  <c r="E12" i="3"/>
  <c r="E34" i="3"/>
  <c r="C34" i="3"/>
  <c r="A24" i="3"/>
  <c r="A25" i="3" s="1"/>
  <c r="A26" i="3" s="1"/>
  <c r="A27" i="3" s="1"/>
  <c r="A28" i="3" s="1"/>
  <c r="A29" i="3" s="1"/>
  <c r="A30" i="3" s="1"/>
  <c r="A33" i="3" l="1"/>
  <c r="C20" i="1"/>
  <c r="C22" i="1" s="1"/>
  <c r="D60" i="3" s="1"/>
  <c r="D19" i="3"/>
  <c r="D50" i="3" s="1"/>
  <c r="D21" i="3"/>
  <c r="D20" i="3" s="1"/>
  <c r="E20" i="3"/>
  <c r="E28" i="3"/>
  <c r="D77" i="1"/>
  <c r="D92" i="1" s="1"/>
  <c r="E37" i="3"/>
  <c r="E41" i="3"/>
  <c r="E48" i="3"/>
  <c r="E22" i="3"/>
  <c r="E47" i="3"/>
  <c r="E49" i="3"/>
  <c r="C20" i="3"/>
  <c r="C28" i="3"/>
  <c r="C77" i="1"/>
  <c r="C92" i="1" s="1"/>
  <c r="D37" i="3"/>
  <c r="D47" i="3"/>
  <c r="D49" i="3"/>
  <c r="D48" i="3"/>
  <c r="D41" i="3"/>
  <c r="D22" i="3"/>
  <c r="E29" i="3"/>
  <c r="E18" i="3"/>
  <c r="E50" i="3"/>
  <c r="C18" i="3"/>
  <c r="C29" i="3"/>
  <c r="B77" i="1"/>
  <c r="B92" i="1" s="1"/>
  <c r="C37" i="3"/>
  <c r="C47" i="3"/>
  <c r="C48" i="3"/>
  <c r="C22" i="3"/>
  <c r="C49" i="3"/>
  <c r="C41" i="3"/>
  <c r="A39" i="3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  <c r="C60" i="3" l="1"/>
  <c r="D29" i="3"/>
  <c r="D18" i="3"/>
  <c r="D28" i="3"/>
  <c r="D44" i="3"/>
  <c r="D40" i="3"/>
  <c r="E40" i="3"/>
  <c r="E44" i="3"/>
  <c r="D110" i="1"/>
  <c r="E31" i="3"/>
  <c r="E30" i="3" s="1"/>
  <c r="C40" i="3"/>
  <c r="C44" i="3"/>
  <c r="B110" i="1"/>
  <c r="C31" i="3"/>
  <c r="C30" i="3" s="1"/>
  <c r="C110" i="1"/>
  <c r="D31" i="3"/>
  <c r="D30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<sst xmlns="http://schemas.openxmlformats.org/spreadsheetml/2006/main" count="214" uniqueCount="162">
  <si>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</si>
  <si>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</si>
  <si>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</si>
  <si>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</si>
  <si>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</si>
  <si>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</si>
  <si>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</si>
  <si>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</si>
  <si>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</si>
  <si>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</si>
  <si>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</si>
  <si>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</si>
  <si>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</si>
  <si>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</si>
  <si>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</si>
  <si>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</si>
  <si>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</si>
  <si>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</si>
  <si>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</si>
  <si>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</si>
  <si>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</si>
  <si>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</si>
  <si>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</si>
  <si>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</si>
  <si>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</si>
  <si>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</si>
  <si>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</si>
  <si>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</si>
  <si>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</si>
  <si>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</si>
  <si>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</si>
  <si>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</si>
  <si>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</si>
  <si>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</si>
  <si>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</si>
  <si>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</si>
  <si>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</si>
  <si>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</si>
  <si>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</si>
  <si>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</si>
  <si>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</si>
  <si>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</si>
  <si>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</si>
  <si>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</si>
  <si>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</si>
  <si>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</si>
  <si>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</si>
  <si>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</si>
  <si>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</si>
  <si>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</si>
  <si>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</si>
  <si>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</si>
  <si>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</si>
  <si>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</si>
  <si>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</si>
  <si>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</si>
  <si>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</si>
  <si>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</si>
  <si>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</si>
  <si>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</si>
  <si>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</si>
  <si>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</si>
  <si>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</si>
  <si>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</si>
  <si>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</si>
  <si>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</si>
  <si>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</si>
  <si>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</si>
  <si>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</si>
  <si>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</si>
  <si>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</si>
  <si>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</si>
  <si>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</si>
  <si>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</si>
  <si>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</si>
  <si>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</si>
  <si>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</si>
  <si>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</si>
  <si>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</si>
  <si>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</si>
  <si>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</si>
  <si>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</si>
  <si>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</si>
  <si>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</si>
  <si>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</si>
  <si>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</si>
  <si>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</si>
  <si>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</si>
  <si>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</si>
  <si>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</si>
  <si>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</si>
  <si>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</si>
  <si>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</si>
  <si>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</si>
  <si>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</si>
  <si>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</si>
  <si>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</si>
  <si>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</si>
  <si>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</si>
  <si>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</si>
  <si>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</si>
  <si>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</si>
  <si>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</si>
  <si>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</si>
  <si>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</si>
  <si>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</si>
  <si>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</si>
  <si>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</si>
  <si>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</si>
  <si>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</si>
  <si>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</si>
  <si>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</si>
  <si>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</si>
  <si>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</si>
  <si>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</si>
  <si>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</si>
  <si>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</si>
  <si>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</si>
  <si>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</si>
  <si>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</si>
  <si>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</si>
  <si>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</si>
  <si>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</si>
  <si>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</si>
  <si>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</si>
  <si>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</si>
  <si>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</si>
  <si>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</si>
  <si>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</si>
  <si>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</si>
  <si>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</si>
  <si>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</si>
  <si>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</si>
  <si>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</si>
  <si>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</si>
  <si>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</si>
  <si>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</si>
  <si>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</si>
  <si>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</si>
  <si>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</si>
  <si>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</si>
  <si>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</si>
  <si>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</si>
  <si>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</si>
  <si>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</si>
  <si>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</si>
  <si>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</si>
  <si>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</si>
  <si>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</si>
  <si>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</si>
  <si>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AAPL Close as of 12/01/23</t>
  </si>
  <si>
    <t>Growth rates</t>
  </si>
  <si>
    <t>Margins as % of net sales</t>
  </si>
  <si>
    <t>Cost of sales</t>
  </si>
  <si>
    <t>Gross margins</t>
  </si>
  <si>
    <t>Capex as % of sales</t>
  </si>
  <si>
    <t>Capex as % of fixed assets</t>
  </si>
  <si>
    <t>Depreciation should be added back, not subtracted</t>
  </si>
  <si>
    <t>EBIT/ (Interest + Debt repayment net of issuance)</t>
  </si>
  <si>
    <t>Denominator should be linked to Diluted number of shares</t>
  </si>
  <si>
    <t>Share count should be linked to diluted number of shares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</si>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</sst>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0.0"/>
    <numFmt numFmtId="168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6" fontId="0" fillId="0" borderId="0" xfId="1" applyNumberFormat="1" applyFont="1"/>
    <xf numFmtId="166" fontId="2" fillId="0" borderId="1" xfId="1" applyNumberFormat="1" applyFont="1" applyBorder="1"/>
    <xf numFmtId="166" fontId="2" fillId="0" borderId="2" xfId="1" applyNumberFormat="1" applyFont="1" applyBorder="1"/>
    <xf numFmtId="166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7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6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68" fontId="0" fillId="0" borderId="0" xfId="4" applyNumberFormat="1" applyFont="1"/>
    <xf numFmtId="10" fontId="0" fillId="0" borderId="0" xfId="4" applyNumberFormat="1" applyFont="1"/>
    <xf numFmtId="39" fontId="0" fillId="0" borderId="0" xfId="4" applyNumberFormat="1" applyFont="1"/>
    <xf numFmtId="39" fontId="0" fillId="0" borderId="0" xfId="0" applyNumberFormat="1"/>
    <xf numFmtId="164" fontId="0" fillId="0" borderId="0" xfId="3" applyFont="1"/>
    <xf numFmtId="166" fontId="2" fillId="0" borderId="0" xfId="1" applyNumberFormat="1" applyFont="1" applyBorder="1"/>
    <xf numFmtId="0" fontId="8" fillId="0" borderId="0" xfId="0" applyFont="1" applyAlignment="1">
      <alignment horizontal="left" indent="1"/>
    </xf>
    <xf numFmtId="0" fontId="9" fillId="0" borderId="0" xfId="0" applyFont="1" applyAlignment="1">
      <alignment horizontal="left" indent="1"/>
    </xf>
    <xf numFmtId="0" fontId="9" fillId="0" borderId="0" xfId="0" applyFont="1"/>
    <xf numFmtId="168" fontId="9" fillId="0" borderId="0" xfId="4" applyNumberFormat="1" applyFo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5">
    <cellStyle name="Comma" xfId="1" builtinId="3"/>
    <cellStyle name="Currency" xfId="3" builtinId="4"/>
    <cellStyle name="Hyperlink" xfId="2" builtinId="8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19" sqref="A19"/>
    </sheetView>
  </sheetViews>
  <sheetFormatPr defaultRowHeight="14.4" x14ac:dyDescent="0.3"/>
  <cols>
    <col min="1" max="1" width="104.554687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5"/>
  <sheetViews>
    <sheetView topLeftCell="A66" workbookViewId="0">
      <selection activeCell="D97" sqref="D97"/>
    </sheetView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34" t="s">
        <v>1</v>
      </c>
      <c r="B2" s="34"/>
      <c r="C2" s="34"/>
      <c r="D2" s="34"/>
    </row>
    <row r="3" spans="1:10" x14ac:dyDescent="0.3">
      <c r="B3" s="33" t="s">
        <v>23</v>
      </c>
      <c r="C3" s="33"/>
      <c r="D3" s="33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8</v>
      </c>
      <c r="B12" s="13">
        <f>+B10+B11</f>
        <v>223546</v>
      </c>
      <c r="C12" s="13">
        <f>+C10+C11</f>
        <v>212981</v>
      </c>
      <c r="D12" s="13">
        <f>+D10+D11</f>
        <v>169559</v>
      </c>
    </row>
    <row r="13" spans="1:10" x14ac:dyDescent="0.3">
      <c r="A13" s="8" t="s">
        <v>9</v>
      </c>
      <c r="B13" s="13">
        <f>+B8-B12</f>
        <v>170782</v>
      </c>
      <c r="C13" s="13">
        <f>+C8-C12</f>
        <v>152836</v>
      </c>
      <c r="D13" s="13">
        <f>+D8-D12</f>
        <v>104956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">
      <c r="A17" s="8" t="s">
        <v>13</v>
      </c>
      <c r="B17" s="13">
        <f>+B15+B16</f>
        <v>51345</v>
      </c>
      <c r="C17" s="13">
        <f>+C15+C16</f>
        <v>43887</v>
      </c>
      <c r="D17" s="13">
        <f>+D15+D16</f>
        <v>38668</v>
      </c>
    </row>
    <row r="18" spans="1:4" s="7" customFormat="1" x14ac:dyDescent="0.3">
      <c r="A18" s="8" t="s">
        <v>14</v>
      </c>
      <c r="B18" s="13">
        <f>+B13-B17</f>
        <v>119437</v>
      </c>
      <c r="C18" s="13">
        <f>+C13-C17</f>
        <v>108949</v>
      </c>
      <c r="D18" s="13">
        <f>+D13-D17</f>
        <v>66288</v>
      </c>
    </row>
    <row r="19" spans="1:4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">
      <c r="A20" s="8" t="s">
        <v>16</v>
      </c>
      <c r="B20" s="13">
        <f>+B18+B19</f>
        <v>119103</v>
      </c>
      <c r="C20" s="13">
        <f>+C18+C19</f>
        <v>109207</v>
      </c>
      <c r="D20" s="13">
        <f>+D18+D19</f>
        <v>67091</v>
      </c>
    </row>
    <row r="21" spans="1:4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35">
      <c r="A22" s="9" t="s">
        <v>18</v>
      </c>
      <c r="B22" s="14">
        <f>+B20-B21</f>
        <v>99803</v>
      </c>
      <c r="C22" s="14">
        <f>+C20-C21</f>
        <v>94680</v>
      </c>
      <c r="D22" s="14">
        <f>+D20-D21</f>
        <v>57411</v>
      </c>
    </row>
    <row r="23" spans="1:4" ht="15" thickTop="1" x14ac:dyDescent="0.3">
      <c r="A23" t="s">
        <v>19</v>
      </c>
    </row>
    <row r="24" spans="1:4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">
      <c r="A26" t="s">
        <v>22</v>
      </c>
    </row>
    <row r="27" spans="1:4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3">
      <c r="A31" s="34" t="s">
        <v>24</v>
      </c>
      <c r="B31" s="34"/>
      <c r="C31" s="34"/>
      <c r="D31" s="34"/>
    </row>
    <row r="32" spans="1:4" x14ac:dyDescent="0.3">
      <c r="B32" s="33" t="s">
        <v>142</v>
      </c>
      <c r="C32" s="33"/>
      <c r="D32" s="33"/>
    </row>
    <row r="33" spans="1:4" x14ac:dyDescent="0.3">
      <c r="B33" s="7">
        <f>+B4</f>
        <v>2022</v>
      </c>
      <c r="C33" s="7">
        <f>+C4</f>
        <v>2021</v>
      </c>
      <c r="D33" s="7">
        <f>+D4</f>
        <v>2020</v>
      </c>
    </row>
    <row r="35" spans="1:4" x14ac:dyDescent="0.3">
      <c r="A35" t="s">
        <v>25</v>
      </c>
    </row>
    <row r="36" spans="1:4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">
      <c r="A42" s="8" t="s">
        <v>31</v>
      </c>
      <c r="B42" s="13">
        <f>+SUM(B36:B41)</f>
        <v>135405</v>
      </c>
      <c r="C42" s="13">
        <f>+SUM(C36:C41)</f>
        <v>134836</v>
      </c>
      <c r="D42" s="13">
        <f>+SUM(D36:D41)</f>
        <v>143713</v>
      </c>
    </row>
    <row r="43" spans="1:4" x14ac:dyDescent="0.3">
      <c r="A43" t="s">
        <v>48</v>
      </c>
      <c r="B43" s="12"/>
      <c r="C43" s="12"/>
      <c r="D43" s="12"/>
    </row>
    <row r="44" spans="1:4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">
      <c r="A47" s="8" t="s">
        <v>50</v>
      </c>
      <c r="B47" s="13">
        <f>+SUM(B44:B46)</f>
        <v>217350</v>
      </c>
      <c r="C47" s="13">
        <f t="shared" ref="C47:D47" si="1">+SUM(C44:C46)</f>
        <v>216166</v>
      </c>
      <c r="D47" s="13">
        <f t="shared" si="1"/>
        <v>180175</v>
      </c>
    </row>
    <row r="48" spans="1:4" ht="15" thickBot="1" x14ac:dyDescent="0.35">
      <c r="A48" s="9" t="s">
        <v>33</v>
      </c>
      <c r="B48" s="14">
        <f>+B42+B47</f>
        <v>352755</v>
      </c>
      <c r="C48" s="14">
        <f t="shared" ref="C48:D48" si="2">+C42+C47</f>
        <v>351002</v>
      </c>
      <c r="D48" s="14">
        <f t="shared" si="2"/>
        <v>323888</v>
      </c>
    </row>
    <row r="49" spans="1:4" ht="15" thickTop="1" x14ac:dyDescent="0.3"/>
    <row r="50" spans="1:4" x14ac:dyDescent="0.3">
      <c r="A50" t="s">
        <v>34</v>
      </c>
    </row>
    <row r="51" spans="1:4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">
      <c r="A56" s="8" t="s">
        <v>40</v>
      </c>
      <c r="B56" s="13">
        <f>+SUM(B51:B55)</f>
        <v>153982</v>
      </c>
      <c r="C56" s="13">
        <f t="shared" ref="C56:D56" si="3">+SUM(C51:C55)</f>
        <v>125481</v>
      </c>
      <c r="D56" s="13">
        <f t="shared" si="3"/>
        <v>105392</v>
      </c>
    </row>
    <row r="57" spans="1:4" x14ac:dyDescent="0.3">
      <c r="A57" t="s">
        <v>51</v>
      </c>
      <c r="B57" s="12"/>
      <c r="C57" s="12"/>
      <c r="D57" s="12"/>
    </row>
    <row r="58" spans="1:4" x14ac:dyDescent="0.3">
      <c r="A58" s="1" t="s">
        <v>37</v>
      </c>
      <c r="B58" s="12"/>
      <c r="C58" s="12"/>
      <c r="D58" s="12"/>
    </row>
    <row r="59" spans="1:4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">
      <c r="A61" s="22" t="s">
        <v>53</v>
      </c>
      <c r="B61" s="21">
        <f>+B59+B60</f>
        <v>148101</v>
      </c>
      <c r="C61" s="21">
        <f t="shared" ref="C61:D61" si="4">+C59+C60</f>
        <v>162431</v>
      </c>
      <c r="D61" s="21">
        <f t="shared" si="4"/>
        <v>153157</v>
      </c>
    </row>
    <row r="62" spans="1:4" x14ac:dyDescent="0.3">
      <c r="A62" s="8" t="s">
        <v>41</v>
      </c>
      <c r="B62" s="13">
        <f>+B56+B61</f>
        <v>302083</v>
      </c>
      <c r="C62" s="13">
        <f t="shared" ref="C62:D62" si="5">+C56+C61</f>
        <v>287912</v>
      </c>
      <c r="D62" s="13">
        <f t="shared" si="5"/>
        <v>258549</v>
      </c>
    </row>
    <row r="63" spans="1:4" x14ac:dyDescent="0.3">
      <c r="B63" s="12"/>
      <c r="C63" s="12"/>
      <c r="D63" s="12"/>
    </row>
    <row r="64" spans="1:4" x14ac:dyDescent="0.3">
      <c r="A64" t="s">
        <v>42</v>
      </c>
      <c r="B64" s="12"/>
      <c r="C64" s="12"/>
      <c r="D64" s="12"/>
    </row>
    <row r="65" spans="1:4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">
      <c r="A68" s="8" t="s">
        <v>45</v>
      </c>
      <c r="B68" s="13">
        <f>+SUM(B65:B67)</f>
        <v>50672</v>
      </c>
      <c r="C68" s="13">
        <f t="shared" ref="C68:D68" si="6">+SUM(C65:C67)</f>
        <v>63090</v>
      </c>
      <c r="D68" s="13">
        <f t="shared" si="6"/>
        <v>65339</v>
      </c>
    </row>
    <row r="69" spans="1:4" ht="15" thickBot="1" x14ac:dyDescent="0.35">
      <c r="A69" s="9" t="s">
        <v>46</v>
      </c>
      <c r="B69" s="14">
        <f>+B68+B62</f>
        <v>352755</v>
      </c>
      <c r="C69" s="14">
        <f t="shared" ref="C69:D69" si="7">+C68+C62</f>
        <v>351002</v>
      </c>
      <c r="D69" s="14">
        <f t="shared" si="7"/>
        <v>323888</v>
      </c>
    </row>
    <row r="70" spans="1:4" ht="15" thickTop="1" x14ac:dyDescent="0.3">
      <c r="A70" s="7"/>
      <c r="B70" s="28"/>
      <c r="C70" s="28"/>
      <c r="D70" s="28"/>
    </row>
    <row r="72" spans="1:4" x14ac:dyDescent="0.3">
      <c r="A72" s="34" t="s">
        <v>55</v>
      </c>
      <c r="B72" s="34"/>
      <c r="C72" s="34"/>
      <c r="D72" s="34"/>
    </row>
    <row r="73" spans="1:4" x14ac:dyDescent="0.3">
      <c r="B73" s="33" t="s">
        <v>23</v>
      </c>
      <c r="C73" s="33"/>
      <c r="D73" s="33"/>
    </row>
    <row r="74" spans="1:4" x14ac:dyDescent="0.3">
      <c r="B74" s="7">
        <f>+B33</f>
        <v>2022</v>
      </c>
      <c r="C74" s="7">
        <f>+C33</f>
        <v>2021</v>
      </c>
      <c r="D74" s="7">
        <f>+D33</f>
        <v>2020</v>
      </c>
    </row>
    <row r="76" spans="1:4" x14ac:dyDescent="0.3">
      <c r="A76" s="7" t="s">
        <v>56</v>
      </c>
      <c r="B76" s="15"/>
      <c r="C76" s="15"/>
      <c r="D76" s="15"/>
    </row>
    <row r="77" spans="1:4" x14ac:dyDescent="0.3">
      <c r="A77" t="s">
        <v>57</v>
      </c>
      <c r="B77" s="12">
        <f>+B22</f>
        <v>99803</v>
      </c>
      <c r="C77" s="12">
        <f>+C22</f>
        <v>94680</v>
      </c>
      <c r="D77" s="12">
        <f>+D22</f>
        <v>57411</v>
      </c>
    </row>
    <row r="78" spans="1:4" x14ac:dyDescent="0.3">
      <c r="A78" s="11" t="s">
        <v>18</v>
      </c>
      <c r="B78" s="15"/>
      <c r="C78" s="15"/>
      <c r="D78" s="15"/>
    </row>
    <row r="79" spans="1:4" x14ac:dyDescent="0.3">
      <c r="A79" s="1" t="s">
        <v>58</v>
      </c>
      <c r="B79" s="12"/>
      <c r="C79" s="12"/>
      <c r="D79" s="12"/>
    </row>
    <row r="80" spans="1:4" x14ac:dyDescent="0.3">
      <c r="A80" s="3" t="s">
        <v>59</v>
      </c>
      <c r="B80" s="12">
        <v>11104</v>
      </c>
      <c r="C80" s="12">
        <v>11284</v>
      </c>
      <c r="D80" s="12">
        <v>11056</v>
      </c>
    </row>
    <row r="81" spans="1:4" x14ac:dyDescent="0.3">
      <c r="A81" s="3" t="s">
        <v>83</v>
      </c>
      <c r="B81" s="12">
        <v>9038</v>
      </c>
      <c r="C81" s="12">
        <v>7906</v>
      </c>
      <c r="D81" s="12">
        <v>6829</v>
      </c>
    </row>
    <row r="82" spans="1:4" x14ac:dyDescent="0.3">
      <c r="A82" s="3" t="s">
        <v>60</v>
      </c>
      <c r="B82" s="12">
        <v>895</v>
      </c>
      <c r="C82" s="12">
        <v>-4774</v>
      </c>
      <c r="D82" s="12">
        <v>-215</v>
      </c>
    </row>
    <row r="83" spans="1:4" x14ac:dyDescent="0.3">
      <c r="A83" s="3" t="s">
        <v>61</v>
      </c>
      <c r="B83" s="12">
        <v>111</v>
      </c>
      <c r="C83" s="12">
        <v>-147</v>
      </c>
      <c r="D83" s="12">
        <v>-97</v>
      </c>
    </row>
    <row r="84" spans="1:4" x14ac:dyDescent="0.3">
      <c r="A84" t="s">
        <v>62</v>
      </c>
      <c r="B84" s="12"/>
      <c r="C84" s="12"/>
      <c r="D84" s="12"/>
    </row>
    <row r="85" spans="1:4" x14ac:dyDescent="0.3">
      <c r="A85" s="1" t="s">
        <v>28</v>
      </c>
      <c r="B85" s="12">
        <v>-1823</v>
      </c>
      <c r="C85" s="12">
        <v>-10125</v>
      </c>
      <c r="D85" s="12">
        <v>6917</v>
      </c>
    </row>
    <row r="86" spans="1:4" x14ac:dyDescent="0.3">
      <c r="A86" s="1" t="s">
        <v>29</v>
      </c>
      <c r="B86" s="12">
        <v>1484</v>
      </c>
      <c r="C86" s="12">
        <v>-2642</v>
      </c>
      <c r="D86" s="12">
        <v>-127</v>
      </c>
    </row>
    <row r="87" spans="1:4" x14ac:dyDescent="0.3">
      <c r="A87" s="1" t="s">
        <v>47</v>
      </c>
      <c r="B87" s="12">
        <v>-7520</v>
      </c>
      <c r="C87" s="12">
        <v>-3903</v>
      </c>
      <c r="D87" s="12">
        <v>1553</v>
      </c>
    </row>
    <row r="88" spans="1:4" x14ac:dyDescent="0.3">
      <c r="A88" s="1" t="s">
        <v>84</v>
      </c>
      <c r="B88" s="12">
        <v>-6499</v>
      </c>
      <c r="C88" s="12">
        <v>-8042</v>
      </c>
      <c r="D88" s="12">
        <v>-9588</v>
      </c>
    </row>
    <row r="89" spans="1:4" x14ac:dyDescent="0.3">
      <c r="A89" s="1" t="s">
        <v>35</v>
      </c>
      <c r="B89" s="12">
        <v>9448</v>
      </c>
      <c r="C89" s="12">
        <v>12326</v>
      </c>
      <c r="D89" s="12">
        <v>-4062</v>
      </c>
    </row>
    <row r="90" spans="1:4" x14ac:dyDescent="0.3">
      <c r="A90" s="1" t="s">
        <v>37</v>
      </c>
      <c r="B90" s="12">
        <v>478</v>
      </c>
      <c r="C90" s="12">
        <v>1676</v>
      </c>
      <c r="D90" s="12">
        <v>2081</v>
      </c>
    </row>
    <row r="91" spans="1:4" x14ac:dyDescent="0.3">
      <c r="A91" s="1" t="s">
        <v>85</v>
      </c>
      <c r="B91" s="12">
        <v>5632</v>
      </c>
      <c r="C91" s="12">
        <v>5799</v>
      </c>
      <c r="D91" s="12">
        <v>8916</v>
      </c>
    </row>
    <row r="92" spans="1:4" x14ac:dyDescent="0.3">
      <c r="A92" s="8" t="s">
        <v>63</v>
      </c>
      <c r="B92" s="13">
        <f>+SUM(B77:B91)</f>
        <v>122151</v>
      </c>
      <c r="C92" s="13">
        <f t="shared" ref="C92:D92" si="8">+SUM(C77:C91)</f>
        <v>104038</v>
      </c>
      <c r="D92" s="13">
        <f t="shared" si="8"/>
        <v>80674</v>
      </c>
    </row>
    <row r="93" spans="1:4" x14ac:dyDescent="0.3">
      <c r="A93" s="7" t="s">
        <v>64</v>
      </c>
      <c r="B93" s="12"/>
      <c r="C93" s="12"/>
      <c r="D93" s="12"/>
    </row>
    <row r="94" spans="1:4" x14ac:dyDescent="0.3">
      <c r="A94" s="1" t="s">
        <v>65</v>
      </c>
      <c r="B94" s="12">
        <v>-76923</v>
      </c>
      <c r="C94" s="12">
        <v>-109558</v>
      </c>
      <c r="D94" s="12">
        <v>-114938</v>
      </c>
    </row>
    <row r="95" spans="1:4" x14ac:dyDescent="0.3">
      <c r="A95" s="1" t="s">
        <v>66</v>
      </c>
      <c r="B95" s="12">
        <v>29917</v>
      </c>
      <c r="C95" s="12">
        <v>59023</v>
      </c>
      <c r="D95" s="12">
        <v>69918</v>
      </c>
    </row>
    <row r="96" spans="1:4" x14ac:dyDescent="0.3">
      <c r="A96" s="1" t="s">
        <v>67</v>
      </c>
      <c r="B96" s="12">
        <v>37446</v>
      </c>
      <c r="C96" s="12">
        <v>47460</v>
      </c>
      <c r="D96" s="12">
        <v>50473</v>
      </c>
    </row>
    <row r="97" spans="1:4" x14ac:dyDescent="0.3">
      <c r="A97" s="1" t="s">
        <v>68</v>
      </c>
      <c r="B97" s="12">
        <v>-10708</v>
      </c>
      <c r="C97" s="12">
        <v>-11085</v>
      </c>
      <c r="D97" s="12">
        <v>-7309</v>
      </c>
    </row>
    <row r="98" spans="1:4" x14ac:dyDescent="0.3">
      <c r="A98" s="1" t="s">
        <v>69</v>
      </c>
      <c r="B98" s="12">
        <v>-306</v>
      </c>
      <c r="C98" s="12">
        <v>-33</v>
      </c>
      <c r="D98" s="12">
        <v>-1524</v>
      </c>
    </row>
    <row r="99" spans="1:4" x14ac:dyDescent="0.3">
      <c r="A99" s="1" t="s">
        <v>61</v>
      </c>
      <c r="B99" s="12">
        <v>-1780</v>
      </c>
      <c r="C99" s="12">
        <v>-352</v>
      </c>
      <c r="D99" s="12">
        <v>-909</v>
      </c>
    </row>
    <row r="100" spans="1:4" x14ac:dyDescent="0.3">
      <c r="A100" s="8" t="s">
        <v>70</v>
      </c>
      <c r="B100" s="13">
        <f>+SUM(B94:B99)</f>
        <v>-22354</v>
      </c>
      <c r="C100" s="13">
        <f t="shared" ref="C100:D100" si="9">+SUM(C94:C99)</f>
        <v>-14545</v>
      </c>
      <c r="D100" s="13">
        <f t="shared" si="9"/>
        <v>-4289</v>
      </c>
    </row>
    <row r="101" spans="1:4" x14ac:dyDescent="0.3">
      <c r="A101" s="7" t="s">
        <v>71</v>
      </c>
      <c r="B101" s="12"/>
      <c r="C101" s="12"/>
      <c r="D101" s="12"/>
    </row>
    <row r="102" spans="1:4" x14ac:dyDescent="0.3">
      <c r="A102" s="1" t="s">
        <v>86</v>
      </c>
      <c r="B102" s="12">
        <v>-6223</v>
      </c>
      <c r="C102" s="12">
        <v>-6556</v>
      </c>
      <c r="D102" s="12">
        <v>-3634</v>
      </c>
    </row>
    <row r="103" spans="1:4" x14ac:dyDescent="0.3">
      <c r="A103" s="1" t="s">
        <v>72</v>
      </c>
      <c r="B103" s="12">
        <v>-14841</v>
      </c>
      <c r="C103" s="12">
        <v>-14467</v>
      </c>
      <c r="D103" s="12">
        <v>-14081</v>
      </c>
    </row>
    <row r="104" spans="1:4" x14ac:dyDescent="0.3">
      <c r="A104" s="1" t="s">
        <v>73</v>
      </c>
      <c r="B104" s="12">
        <v>-89402</v>
      </c>
      <c r="C104" s="12">
        <v>-85971</v>
      </c>
      <c r="D104" s="12">
        <v>-72358</v>
      </c>
    </row>
    <row r="105" spans="1:4" x14ac:dyDescent="0.3">
      <c r="A105" s="1" t="s">
        <v>74</v>
      </c>
      <c r="B105" s="12">
        <v>5465</v>
      </c>
      <c r="C105" s="12">
        <v>20393</v>
      </c>
      <c r="D105" s="12">
        <v>16091</v>
      </c>
    </row>
    <row r="106" spans="1:4" x14ac:dyDescent="0.3">
      <c r="A106" s="1" t="s">
        <v>75</v>
      </c>
      <c r="B106" s="12">
        <v>-9543</v>
      </c>
      <c r="C106" s="12">
        <v>-8750</v>
      </c>
      <c r="D106" s="12">
        <v>-12629</v>
      </c>
    </row>
    <row r="107" spans="1:4" x14ac:dyDescent="0.3">
      <c r="A107" s="1" t="s">
        <v>76</v>
      </c>
      <c r="B107" s="12">
        <v>3955</v>
      </c>
      <c r="C107" s="12">
        <v>1022</v>
      </c>
      <c r="D107" s="12">
        <v>-963</v>
      </c>
    </row>
    <row r="108" spans="1:4" x14ac:dyDescent="0.3">
      <c r="A108" s="1" t="s">
        <v>61</v>
      </c>
      <c r="B108" s="12">
        <v>-160</v>
      </c>
      <c r="C108" s="12">
        <v>976</v>
      </c>
      <c r="D108" s="12">
        <v>754</v>
      </c>
    </row>
    <row r="109" spans="1:4" x14ac:dyDescent="0.3">
      <c r="A109" s="8" t="s">
        <v>77</v>
      </c>
      <c r="B109" s="13">
        <f>+SUM(B102:B108)</f>
        <v>-110749</v>
      </c>
      <c r="C109" s="13">
        <f t="shared" ref="C109:D109" si="10">+SUM(C102:C108)</f>
        <v>-93353</v>
      </c>
      <c r="D109" s="13">
        <f t="shared" si="10"/>
        <v>-86820</v>
      </c>
    </row>
    <row r="110" spans="1:4" x14ac:dyDescent="0.3">
      <c r="A110" s="8" t="s">
        <v>78</v>
      </c>
      <c r="B110" s="13">
        <f>+B92+B100+B109</f>
        <v>-10952</v>
      </c>
      <c r="C110" s="13">
        <f t="shared" ref="C110:D110" si="11">+C92+C100+C109</f>
        <v>-3860</v>
      </c>
      <c r="D110" s="13">
        <f t="shared" si="11"/>
        <v>-10435</v>
      </c>
    </row>
    <row r="111" spans="1:4" ht="15" thickBot="1" x14ac:dyDescent="0.35">
      <c r="A111" s="9" t="s">
        <v>79</v>
      </c>
      <c r="B111" s="14">
        <v>24977</v>
      </c>
      <c r="C111" s="14">
        <v>35929</v>
      </c>
      <c r="D111" s="14">
        <v>39789</v>
      </c>
    </row>
    <row r="112" spans="1:4" ht="15" thickTop="1" x14ac:dyDescent="0.3">
      <c r="B112" s="12"/>
      <c r="C112" s="12"/>
      <c r="D112" s="12"/>
    </row>
    <row r="113" spans="1:4" x14ac:dyDescent="0.3">
      <c r="A113" t="s">
        <v>80</v>
      </c>
      <c r="B113" s="12"/>
      <c r="C113" s="12"/>
      <c r="D113" s="12"/>
    </row>
    <row r="114" spans="1:4" x14ac:dyDescent="0.3">
      <c r="A114" t="s">
        <v>81</v>
      </c>
      <c r="B114" s="12">
        <v>19573</v>
      </c>
      <c r="C114" s="12">
        <v>25385</v>
      </c>
      <c r="D114" s="12">
        <v>9501</v>
      </c>
    </row>
    <row r="115" spans="1:4" x14ac:dyDescent="0.3">
      <c r="A115" t="s">
        <v>82</v>
      </c>
      <c r="B115" s="12">
        <v>2865</v>
      </c>
      <c r="C115" s="12">
        <v>2687</v>
      </c>
      <c r="D115" s="12">
        <v>3002</v>
      </c>
    </row>
  </sheetData>
  <mergeCells count="6">
    <mergeCell ref="B3:D3"/>
    <mergeCell ref="B32:D32"/>
    <mergeCell ref="B73:D73"/>
    <mergeCell ref="A2:D2"/>
    <mergeCell ref="A31:D31"/>
    <mergeCell ref="A72:D7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0"/>
  <sheetViews>
    <sheetView tabSelected="1" workbookViewId="0">
      <selection activeCell="F2" sqref="F2"/>
    </sheetView>
  </sheetViews>
  <sheetFormatPr defaultRowHeight="14.4" x14ac:dyDescent="0.3"/>
  <cols>
    <col min="1" max="1" width="4.6640625" customWidth="1"/>
    <col min="2" max="2" width="44.88671875" customWidth="1"/>
    <col min="3" max="5" width="12.44140625" bestFit="1" customWidth="1"/>
    <col min="6" max="6" width="38.77734375" customWidth="1"/>
  </cols>
  <sheetData>
    <row r="1" spans="1:10" ht="60" customHeight="1" x14ac:dyDescent="0.5">
      <c r="A1" s="6"/>
      <c r="B1" s="20" t="s">
        <v>0</v>
      </c>
      <c r="C1" s="19"/>
      <c r="D1" s="19"/>
      <c r="E1" s="19"/>
      <c r="F1" s="19" t="s">
        <v>161</v>
      </c>
      <c r="G1" s="19"/>
      <c r="H1" s="19"/>
      <c r="I1" s="19"/>
      <c r="J1" s="19"/>
    </row>
    <row r="2" spans="1:10" x14ac:dyDescent="0.3">
      <c r="C2" s="33" t="s">
        <v>23</v>
      </c>
      <c r="D2" s="33"/>
      <c r="E2" s="33"/>
    </row>
    <row r="3" spans="1:10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">
      <c r="A4" s="18">
        <v>1</v>
      </c>
      <c r="B4" s="7" t="s">
        <v>99</v>
      </c>
    </row>
    <row r="5" spans="1:10" x14ac:dyDescent="0.3">
      <c r="A5" s="18">
        <f>+A4+0.1</f>
        <v>1.1000000000000001</v>
      </c>
      <c r="B5" s="1" t="s">
        <v>100</v>
      </c>
      <c r="C5" s="25">
        <f>'Financial Statements'!B$42/'Financial Statements'!B$56</f>
        <v>0.87935602862672257</v>
      </c>
      <c r="D5" s="25">
        <f>'Financial Statements'!C$42/'Financial Statements'!C$56</f>
        <v>1.0745531195957954</v>
      </c>
      <c r="E5" s="25">
        <f>'Financial Statements'!D$42/'Financial Statements'!D$56</f>
        <v>1.3636044481554577</v>
      </c>
    </row>
    <row r="6" spans="1:10" x14ac:dyDescent="0.3">
      <c r="A6" s="18">
        <f t="shared" ref="A6:A13" si="0">+A5+0.1</f>
        <v>1.2000000000000002</v>
      </c>
      <c r="B6" s="1" t="s">
        <v>101</v>
      </c>
      <c r="C6" s="25">
        <f>SUM('Financial Statements'!B$36:B$38)/'Financial Statements'!B$56</f>
        <v>0.49673338442155579</v>
      </c>
      <c r="D6" s="25">
        <f>SUM('Financial Statements'!C$36:C$38)/'Financial Statements'!C$56</f>
        <v>0.70860927152317876</v>
      </c>
      <c r="E6" s="25">
        <f>SUM('Financial Statements'!D$36:D$38)/'Financial Statements'!D$56</f>
        <v>1.0158550933657204</v>
      </c>
    </row>
    <row r="7" spans="1:10" x14ac:dyDescent="0.3">
      <c r="A7" s="18">
        <f t="shared" si="0"/>
        <v>1.3000000000000003</v>
      </c>
      <c r="B7" s="1" t="s">
        <v>102</v>
      </c>
      <c r="C7" s="25" cm="1">
        <f t="array" ref="C7">SUM('Financial Statements'!B$36:B$37/'Financial Statements'!B$56)</f>
        <v>0.31369900377966253</v>
      </c>
      <c r="D7" s="25" cm="1">
        <f t="array" ref="D7">SUM('Financial Statements'!C$36:C$37/'Financial Statements'!C$56)</f>
        <v>0.49919111259872012</v>
      </c>
      <c r="E7" s="25" cm="1">
        <f t="array" ref="E7">SUM('Financial Statements'!D$36:D$37/'Financial Statements'!D$56)</f>
        <v>0.86290230757552755</v>
      </c>
    </row>
    <row r="8" spans="1:10" x14ac:dyDescent="0.3">
      <c r="A8" s="18">
        <f t="shared" si="0"/>
        <v>1.4000000000000004</v>
      </c>
      <c r="B8" s="1" t="s">
        <v>103</v>
      </c>
      <c r="C8" s="26">
        <f>SUM('Financial Statements'!B$36:B$38)/(('Financial Statements'!B$17-SUM('Financial Statements'!B$80:B$83))/365)</f>
        <v>924.5329006192668</v>
      </c>
      <c r="D8" s="26">
        <f>SUM('Financial Statements'!C$36:C$38)/(('Financial Statements'!C$17-SUM('Financial Statements'!C$80:C$83))/365)</f>
        <v>1095.7763859814977</v>
      </c>
      <c r="E8" s="26">
        <f>SUM('Financial Statements'!D$36:D$38)/(('Financial Statements'!D$17-SUM('Financial Statements'!D$80:D$83))/365)</f>
        <v>1852.476653235364</v>
      </c>
    </row>
    <row r="9" spans="1:10" x14ac:dyDescent="0.3">
      <c r="A9" s="18">
        <f t="shared" si="0"/>
        <v>1.5000000000000004</v>
      </c>
      <c r="B9" s="1" t="s">
        <v>104</v>
      </c>
      <c r="C9" s="26">
        <f>('Financial Statements'!B$39/'Financial Statements'!B$12)*365</f>
        <v>8.0756980666171607</v>
      </c>
      <c r="D9" s="26">
        <f>('Financial Statements'!C$39/'Financial Statements'!C$12)*365</f>
        <v>11.27659274770989</v>
      </c>
      <c r="E9" s="26">
        <f>('Financial Statements'!D$39/'Financial Statements'!D$12)*365</f>
        <v>8.7418833562358831</v>
      </c>
    </row>
    <row r="10" spans="1:10" x14ac:dyDescent="0.3">
      <c r="A10" s="18">
        <f t="shared" si="0"/>
        <v>1.6000000000000005</v>
      </c>
      <c r="B10" s="1" t="s">
        <v>105</v>
      </c>
      <c r="C10" s="26">
        <f>('Financial Statements'!B$51/'Financial Statements'!B$12)*365</f>
        <v>104.68527730310539</v>
      </c>
      <c r="D10" s="26">
        <f>('Financial Statements'!C$51/'Financial Statements'!C$12)*365</f>
        <v>93.851071222315596</v>
      </c>
      <c r="E10" s="26">
        <f>('Financial Statements'!D$51/'Financial Statements'!D$12)*365</f>
        <v>91.048189715674198</v>
      </c>
    </row>
    <row r="11" spans="1:10" x14ac:dyDescent="0.3">
      <c r="A11" s="18">
        <f t="shared" si="0"/>
        <v>1.7000000000000006</v>
      </c>
      <c r="B11" s="1" t="s">
        <v>106</v>
      </c>
      <c r="C11" s="26">
        <f>('Financial Statements'!B$38/'Financial Statements'!B$8)*365</f>
        <v>26.087825363656648</v>
      </c>
      <c r="D11" s="26">
        <f>('Financial Statements'!C$38/'Financial Statements'!C$8)*365</f>
        <v>26.219311841713207</v>
      </c>
      <c r="E11" s="26">
        <f>('Financial Statements'!D$38/'Financial Statements'!D$8)*365</f>
        <v>21.433437152796749</v>
      </c>
    </row>
    <row r="12" spans="1:10" x14ac:dyDescent="0.3">
      <c r="A12" s="18">
        <f t="shared" si="0"/>
        <v>1.8000000000000007</v>
      </c>
      <c r="B12" s="1" t="s">
        <v>107</v>
      </c>
      <c r="C12" s="26">
        <f t="shared" ref="C12:D12" si="1">SUM(C$11,C$9)-C10</f>
        <v>-70.521753872831582</v>
      </c>
      <c r="D12" s="26">
        <f t="shared" si="1"/>
        <v>-56.355166632892498</v>
      </c>
      <c r="E12" s="26">
        <f>SUM(E$11,E$9)-E10</f>
        <v>-60.872869206641568</v>
      </c>
    </row>
    <row r="13" spans="1:10" x14ac:dyDescent="0.3">
      <c r="A13" s="18">
        <f t="shared" si="0"/>
        <v>1.9000000000000008</v>
      </c>
      <c r="B13" s="1" t="s">
        <v>108</v>
      </c>
      <c r="C13" s="25">
        <f>C$14/'Financial Statements'!B$8</f>
        <v>-4.711052727678481E-2</v>
      </c>
      <c r="D13" s="25">
        <f>D$14/'Financial Statements'!C$8</f>
        <v>2.557289573748623E-2</v>
      </c>
      <c r="E13" s="25">
        <f>E$14/'Financial Statements'!D$8</f>
        <v>0.13959528623208203</v>
      </c>
    </row>
    <row r="14" spans="1:10" x14ac:dyDescent="0.3">
      <c r="A14" s="18"/>
      <c r="B14" s="3" t="s">
        <v>109</v>
      </c>
      <c r="C14" s="26">
        <f>'Financial Statements'!B$42-'Financial Statements'!B$56</f>
        <v>-18577</v>
      </c>
      <c r="D14" s="26">
        <f>'Financial Statements'!C$42-'Financial Statements'!C$56</f>
        <v>9355</v>
      </c>
      <c r="E14" s="26">
        <f>'Financial Statements'!D$42-'Financial Statements'!D$56</f>
        <v>38321</v>
      </c>
    </row>
    <row r="15" spans="1:10" x14ac:dyDescent="0.3">
      <c r="A15" s="18"/>
      <c r="C15" s="26"/>
      <c r="D15" s="26"/>
      <c r="E15" s="26"/>
    </row>
    <row r="16" spans="1:10" x14ac:dyDescent="0.3">
      <c r="A16" s="18">
        <f>+A4+1</f>
        <v>2</v>
      </c>
      <c r="B16" s="17" t="s">
        <v>110</v>
      </c>
      <c r="C16" s="26"/>
      <c r="D16" s="26"/>
      <c r="E16" s="26"/>
    </row>
    <row r="17" spans="1:6" x14ac:dyDescent="0.3">
      <c r="A17" s="18">
        <f>+A16+0.1</f>
        <v>2.1</v>
      </c>
      <c r="B17" s="1" t="s">
        <v>9</v>
      </c>
      <c r="C17" s="25">
        <f>('Financial Statements'!B$8-'Financial Statements'!B$12)/'Financial Statements'!B$8</f>
        <v>0.43309630561360085</v>
      </c>
      <c r="D17" s="25">
        <f>('Financial Statements'!C$8-'Financial Statements'!C$12)/'Financial Statements'!C$8</f>
        <v>0.41779359625167778</v>
      </c>
      <c r="E17" s="25">
        <f>('Financial Statements'!D$8-'Financial Statements'!D$12)/'Financial Statements'!D$8</f>
        <v>0.38233247727810865</v>
      </c>
    </row>
    <row r="18" spans="1:6" x14ac:dyDescent="0.3">
      <c r="A18" s="18">
        <f>+A17+0.1</f>
        <v>2.2000000000000002</v>
      </c>
      <c r="B18" s="1" t="s">
        <v>111</v>
      </c>
      <c r="C18" s="25">
        <f>C$19/'Financial Statements'!B$8</f>
        <v>0.27472814509748228</v>
      </c>
      <c r="D18" s="25">
        <f>D$19/'Financial Statements'!C$8</f>
        <v>0.2669777511706673</v>
      </c>
      <c r="E18" s="25">
        <f>E$19/'Financial Statements'!D$8</f>
        <v>0.20119847731453655</v>
      </c>
    </row>
    <row r="19" spans="1:6" x14ac:dyDescent="0.3">
      <c r="A19" s="18"/>
      <c r="B19" s="3" t="s">
        <v>112</v>
      </c>
      <c r="C19" s="26">
        <f>'Financial Statements'!B$18-'Financial Statements'!B$80</f>
        <v>108333</v>
      </c>
      <c r="D19" s="26">
        <f>'Financial Statements'!C$18-'Financial Statements'!C$80</f>
        <v>97665</v>
      </c>
      <c r="E19" s="26">
        <f>'Financial Statements'!D$18-'Financial Statements'!D$80</f>
        <v>55232</v>
      </c>
      <c r="F19" t="s">
        <v>157</v>
      </c>
    </row>
    <row r="20" spans="1:6" x14ac:dyDescent="0.3">
      <c r="A20" s="18">
        <f>+A18+0.1</f>
        <v>2.3000000000000003</v>
      </c>
      <c r="B20" s="1" t="s">
        <v>113</v>
      </c>
      <c r="C20" s="25">
        <f>C$21/'Financial Statements'!B$8</f>
        <v>0.30288744395528594</v>
      </c>
      <c r="D20" s="25">
        <f>D$21/'Financial Statements'!C$8</f>
        <v>0.29782377527561593</v>
      </c>
      <c r="E20" s="25">
        <f>E$21/'Financial Statements'!D$8</f>
        <v>0.24147314354406862</v>
      </c>
    </row>
    <row r="21" spans="1:6" x14ac:dyDescent="0.3">
      <c r="A21" s="18"/>
      <c r="B21" s="3" t="s">
        <v>114</v>
      </c>
      <c r="C21" s="26">
        <f>'Financial Statements'!B$18</f>
        <v>119437</v>
      </c>
      <c r="D21" s="26">
        <f>'Financial Statements'!C$18</f>
        <v>108949</v>
      </c>
      <c r="E21" s="26">
        <f>'Financial Statements'!D$18</f>
        <v>66288</v>
      </c>
    </row>
    <row r="22" spans="1:6" x14ac:dyDescent="0.3">
      <c r="A22" s="18">
        <f>+A20+0.1</f>
        <v>2.4000000000000004</v>
      </c>
      <c r="B22" s="1" t="s">
        <v>115</v>
      </c>
      <c r="C22" s="26">
        <f>'Financial Statements'!B$22/'Financial Statements'!B$6</f>
        <v>0.31563350927738543</v>
      </c>
      <c r="D22" s="26">
        <f>'Financial Statements'!C$22/'Financial Statements'!C$6</f>
        <v>0.31836767633292085</v>
      </c>
      <c r="E22" s="26">
        <f>'Financial Statements'!D$22/'Financial Statements'!D$6</f>
        <v>0.26007601462307528</v>
      </c>
    </row>
    <row r="23" spans="1:6" x14ac:dyDescent="0.3">
      <c r="A23" s="18"/>
    </row>
    <row r="24" spans="1:6" x14ac:dyDescent="0.3">
      <c r="A24" s="18">
        <f>+A16+1</f>
        <v>3</v>
      </c>
      <c r="B24" s="7" t="s">
        <v>116</v>
      </c>
      <c r="C24" s="26"/>
      <c r="D24" s="26"/>
      <c r="E24" s="26"/>
    </row>
    <row r="25" spans="1:6" x14ac:dyDescent="0.3">
      <c r="A25" s="18">
        <f>+A24+0.1</f>
        <v>3.1</v>
      </c>
      <c r="B25" s="1" t="s">
        <v>117</v>
      </c>
      <c r="C25" s="26">
        <f>SUM('Financial Statements'!B$59,'Financial Statements'!B$55)/'Financial Statements'!B$68</f>
        <v>2.1725410483107042</v>
      </c>
      <c r="D25" s="26">
        <f>SUM('Financial Statements'!C$59,'Financial Statements'!C$55)/'Financial Statements'!C$68</f>
        <v>1.8817403708987162</v>
      </c>
      <c r="E25" s="26">
        <f>SUM('Financial Statements'!D$59,'Financial Statements'!D$55)/'Financial Statements'!D$68</f>
        <v>1.6443471739696047</v>
      </c>
    </row>
    <row r="26" spans="1:6" x14ac:dyDescent="0.3">
      <c r="A26" s="18">
        <f t="shared" ref="A26:A30" si="2">+A25+0.1</f>
        <v>3.2</v>
      </c>
      <c r="B26" s="1" t="s">
        <v>118</v>
      </c>
      <c r="C26" s="26">
        <f>SUM('Financial Statements'!B$59,'Financial Statements'!B$55)/'Financial Statements'!B$48</f>
        <v>0.31207778769967826</v>
      </c>
      <c r="D26" s="26">
        <f>SUM('Financial Statements'!C$59,'Financial Statements'!C$55)/'Financial Statements'!C$48</f>
        <v>0.33822884200090025</v>
      </c>
      <c r="E26" s="26">
        <f>SUM('Financial Statements'!D$59,'Financial Statements'!D$55)/'Financial Statements'!D$48</f>
        <v>0.33171960677765155</v>
      </c>
    </row>
    <row r="27" spans="1:6" x14ac:dyDescent="0.3">
      <c r="A27" s="18">
        <f t="shared" si="2"/>
        <v>3.3000000000000003</v>
      </c>
      <c r="B27" s="1" t="s">
        <v>119</v>
      </c>
      <c r="C27" s="26">
        <f>SUM('Financial Statements'!B$59,'Financial Statements'!B$55)/SUM('Financial Statements'!B$55,'Financial Statements'!B$59,'Financial Statements'!B$68)</f>
        <v>0.68479525252085416</v>
      </c>
      <c r="D27" s="26">
        <f>SUM('Financial Statements'!C$59,'Financial Statements'!C$55)/SUM('Financial Statements'!C$55,'Financial Statements'!C$59,'Financial Statements'!C$68)</f>
        <v>0.65298747586753136</v>
      </c>
      <c r="E27" s="26">
        <f>SUM('Financial Statements'!D$59,'Financial Statements'!D$55)/SUM('Financial Statements'!D$55,'Financial Statements'!D$59,'Financial Statements'!D$68)</f>
        <v>0.62183482946422886</v>
      </c>
    </row>
    <row r="28" spans="1:6" x14ac:dyDescent="0.3">
      <c r="A28" s="18">
        <f t="shared" si="2"/>
        <v>3.4000000000000004</v>
      </c>
      <c r="B28" s="1" t="s">
        <v>120</v>
      </c>
      <c r="C28" s="26">
        <f>C$21/'Financial Statements'!B$115</f>
        <v>41.68830715532286</v>
      </c>
      <c r="D28" s="26">
        <f>D$21/'Financial Statements'!C$115</f>
        <v>40.546706363974693</v>
      </c>
      <c r="E28" s="26">
        <f>E$21/'Financial Statements'!D$115</f>
        <v>22.081279147235175</v>
      </c>
    </row>
    <row r="29" spans="1:6" x14ac:dyDescent="0.3">
      <c r="A29" s="18">
        <f t="shared" si="2"/>
        <v>3.5000000000000004</v>
      </c>
      <c r="B29" s="1" t="s">
        <v>121</v>
      </c>
      <c r="C29" s="26">
        <f>(C$19-'Financial Statements'!B$114)/('Financial Statements'!B$115+'Financial Statements'!B$55)</f>
        <v>6.3431715857928967</v>
      </c>
      <c r="D29" s="26">
        <f>(D$19-'Financial Statements'!C$114)/('Financial Statements'!C$115+'Financial Statements'!C$55)</f>
        <v>5.8764227642276419</v>
      </c>
      <c r="E29" s="26">
        <f>(E$19-'Financial Statements'!D$114)/('Financial Statements'!D$115+'Financial Statements'!D$55)</f>
        <v>3.8837367303609343</v>
      </c>
      <c r="F29" t="s">
        <v>158</v>
      </c>
    </row>
    <row r="30" spans="1:6" x14ac:dyDescent="0.3">
      <c r="A30" s="18">
        <f t="shared" si="2"/>
        <v>3.6000000000000005</v>
      </c>
      <c r="B30" s="1" t="s">
        <v>122</v>
      </c>
      <c r="C30" s="26">
        <f>C$31/('Financial Statements'!B$27/1000)</f>
        <v>6.6209450527236653</v>
      </c>
      <c r="D30" s="26">
        <f>D$31/('Financial Statements'!C$27/1000)</f>
        <v>6.2627565133961047</v>
      </c>
      <c r="E30" s="26">
        <f>E$31/('Financial Statements'!D$27/1000)</f>
        <v>4.4275284188634254</v>
      </c>
    </row>
    <row r="31" spans="1:6" x14ac:dyDescent="0.3">
      <c r="A31" s="18"/>
      <c r="B31" s="3" t="s">
        <v>123</v>
      </c>
      <c r="C31" s="26">
        <f>'Financial Statements'!B$92+'Financial Statements'!B$97+'Financial Statements'!B$105+'Financial Statements'!B$106</f>
        <v>107365</v>
      </c>
      <c r="D31" s="26">
        <f>'Financial Statements'!C$92+'Financial Statements'!C$97+'Financial Statements'!C$105+'Financial Statements'!C$106</f>
        <v>104596</v>
      </c>
      <c r="E31" s="26">
        <f>'Financial Statements'!D$92+'Financial Statements'!D$97+'Financial Statements'!D$105+'Financial Statements'!D$106</f>
        <v>76827</v>
      </c>
    </row>
    <row r="32" spans="1:6" x14ac:dyDescent="0.3">
      <c r="A32" s="18"/>
      <c r="C32" s="26"/>
      <c r="D32" s="26"/>
      <c r="E32" s="26"/>
    </row>
    <row r="33" spans="1:10" x14ac:dyDescent="0.3">
      <c r="A33" s="18">
        <f>+A24+1</f>
        <v>4</v>
      </c>
      <c r="B33" s="17" t="s">
        <v>124</v>
      </c>
      <c r="C33" s="26"/>
      <c r="D33" s="26"/>
      <c r="E33" s="26"/>
    </row>
    <row r="34" spans="1:10" x14ac:dyDescent="0.3">
      <c r="A34" s="18">
        <f>+A33+0.1</f>
        <v>4.0999999999999996</v>
      </c>
      <c r="B34" s="1" t="s">
        <v>125</v>
      </c>
      <c r="C34" s="26">
        <f>'Financial Statements'!B$8/'Financial Statements'!B$48</f>
        <v>1.1178523337727317</v>
      </c>
      <c r="D34" s="26">
        <f>'Financial Statements'!C$8/'Financial Statements'!C$48</f>
        <v>1.0422077367080529</v>
      </c>
      <c r="E34" s="26">
        <f>'Financial Statements'!D$8/'Financial Statements'!D$48</f>
        <v>0.84756150274168851</v>
      </c>
    </row>
    <row r="35" spans="1:10" x14ac:dyDescent="0.3">
      <c r="A35" s="18">
        <f t="shared" ref="A35:A37" si="3">+A34+0.1</f>
        <v>4.1999999999999993</v>
      </c>
      <c r="B35" s="1" t="s">
        <v>126</v>
      </c>
      <c r="C35" s="26">
        <f>'Financial Statements'!B$8/'Financial Statements'!B$47</f>
        <v>1.8142535081665516</v>
      </c>
      <c r="D35" s="26">
        <f>'Financial Statements'!C$8/'Financial Statements'!C$47</f>
        <v>1.6922966608994938</v>
      </c>
      <c r="E35" s="26">
        <f>'Financial Statements'!D$8/'Financial Statements'!D$47</f>
        <v>1.5236020535590398</v>
      </c>
    </row>
    <row r="36" spans="1:10" x14ac:dyDescent="0.3">
      <c r="A36" s="18">
        <f t="shared" si="3"/>
        <v>4.2999999999999989</v>
      </c>
      <c r="B36" s="1" t="s">
        <v>127</v>
      </c>
      <c r="C36" s="26">
        <f>'Financial Statements'!B$12/'Financial Statements'!B$39</f>
        <v>45.197331176708452</v>
      </c>
      <c r="D36" s="26">
        <f>'Financial Statements'!C$12/'Financial Statements'!C$39</f>
        <v>32.367933130699086</v>
      </c>
      <c r="E36" s="26">
        <f>'Financial Statements'!D$12/'Financial Statements'!D$39</f>
        <v>41.753016498399411</v>
      </c>
    </row>
    <row r="37" spans="1:10" x14ac:dyDescent="0.3">
      <c r="A37" s="18">
        <f t="shared" si="3"/>
        <v>4.3999999999999986</v>
      </c>
      <c r="B37" s="1" t="s">
        <v>128</v>
      </c>
      <c r="C37" s="26">
        <f>'Financial Statements'!B$22/'Financial Statements'!B$48</f>
        <v>0.28292440929256851</v>
      </c>
      <c r="D37" s="26">
        <f>'Financial Statements'!C$22/'Financial Statements'!C$48</f>
        <v>0.26974205275183616</v>
      </c>
      <c r="E37" s="26">
        <f>'Financial Statements'!D$22/'Financial Statements'!D$48</f>
        <v>0.1772557180259843</v>
      </c>
    </row>
    <row r="38" spans="1:10" x14ac:dyDescent="0.3">
      <c r="A38" s="18"/>
      <c r="C38" s="26"/>
      <c r="D38" s="26"/>
      <c r="E38" s="26"/>
    </row>
    <row r="39" spans="1:10" x14ac:dyDescent="0.3">
      <c r="A39" s="18">
        <f>+A33+1</f>
        <v>5</v>
      </c>
      <c r="B39" s="17" t="s">
        <v>129</v>
      </c>
      <c r="C39" s="26"/>
      <c r="D39" s="26"/>
      <c r="E39" s="26"/>
      <c r="G39" s="33" t="s">
        <v>150</v>
      </c>
      <c r="H39" s="33"/>
      <c r="I39" s="33"/>
      <c r="J39" s="27">
        <v>191.24</v>
      </c>
    </row>
    <row r="40" spans="1:10" x14ac:dyDescent="0.3">
      <c r="A40" s="18">
        <f>+A39+0.1</f>
        <v>5.0999999999999996</v>
      </c>
      <c r="B40" s="1" t="s">
        <v>130</v>
      </c>
      <c r="C40" s="26">
        <f t="shared" ref="C40:D40" si="4">$J$39/C$41</f>
        <v>31.072620703986853</v>
      </c>
      <c r="D40" s="26">
        <f t="shared" si="4"/>
        <v>33.734170440219692</v>
      </c>
      <c r="E40" s="26">
        <f>$J$39/E$41</f>
        <v>57.801104972217871</v>
      </c>
    </row>
    <row r="41" spans="1:10" x14ac:dyDescent="0.3">
      <c r="A41" s="18">
        <f t="shared" ref="A41:A44" si="5">+A40+0.1</f>
        <v>5.1999999999999993</v>
      </c>
      <c r="B41" s="3" t="s">
        <v>131</v>
      </c>
      <c r="C41" s="26">
        <f>'Financial Statements'!B$22/('Financial Statements'!B$27/1000)</f>
        <v>6.1546144376377772</v>
      </c>
      <c r="D41" s="26">
        <f>'Financial Statements'!C$22/('Financial Statements'!C$27/1000)</f>
        <v>5.6690292811230183</v>
      </c>
      <c r="E41" s="26">
        <f>'Financial Statements'!D$22/('Financial Statements'!D$27/1000)</f>
        <v>3.3085872682177895</v>
      </c>
      <c r="F41" t="s">
        <v>159</v>
      </c>
    </row>
    <row r="42" spans="1:10" x14ac:dyDescent="0.3">
      <c r="A42" s="18">
        <f t="shared" si="5"/>
        <v>5.2999999999999989</v>
      </c>
      <c r="B42" s="1" t="s">
        <v>132</v>
      </c>
      <c r="C42" s="26">
        <f t="shared" ref="C42:D42" si="6">$J$39/C$43</f>
        <v>61.200283472529208</v>
      </c>
      <c r="D42" s="26">
        <f t="shared" si="6"/>
        <v>50.625317122840393</v>
      </c>
      <c r="E42" s="26">
        <f>$J$39/E$43</f>
        <v>50.787726129264293</v>
      </c>
    </row>
    <row r="43" spans="1:10" x14ac:dyDescent="0.3">
      <c r="A43" s="18">
        <f t="shared" si="5"/>
        <v>5.3999999999999986</v>
      </c>
      <c r="B43" s="3" t="s">
        <v>133</v>
      </c>
      <c r="C43" s="26">
        <f>'Financial Statements'!B$68/('Financial Statements'!B$27/1000)</f>
        <v>3.1248221274308534</v>
      </c>
      <c r="D43" s="26">
        <f>'Financial Statements'!C$68/('Financial Statements'!C$27/1000)</f>
        <v>3.7775565837141025</v>
      </c>
      <c r="E43" s="26">
        <f>'Financial Statements'!D$68/('Financial Statements'!D$27/1000)</f>
        <v>3.7654767120949324</v>
      </c>
      <c r="F43" t="s">
        <v>159</v>
      </c>
    </row>
    <row r="44" spans="1:10" x14ac:dyDescent="0.3">
      <c r="A44" s="18">
        <f t="shared" si="5"/>
        <v>5.4999999999999982</v>
      </c>
      <c r="B44" s="1" t="s">
        <v>134</v>
      </c>
      <c r="C44" s="26">
        <f t="shared" ref="C44:D44" si="7">C$45/C$41</f>
        <v>0.14870294480125848</v>
      </c>
      <c r="D44" s="26">
        <f t="shared" si="7"/>
        <v>0.15279890156316012</v>
      </c>
      <c r="E44" s="26">
        <f>E$45/E$41</f>
        <v>0.24526658654264866</v>
      </c>
    </row>
    <row r="45" spans="1:10" x14ac:dyDescent="0.3">
      <c r="A45" s="18"/>
      <c r="B45" s="3" t="s">
        <v>135</v>
      </c>
      <c r="C45" s="26">
        <f>-'Financial Statements'!B$103/('Financial Statements'!B$27/1000)</f>
        <v>0.91520929099307891</v>
      </c>
      <c r="D45" s="26">
        <f>-'Financial Statements'!C$103/('Financial Statements'!C$27/1000)</f>
        <v>0.86622144708498849</v>
      </c>
      <c r="E45" s="26">
        <f>-'Financial Statements'!D$103/('Financial Statements'!D$27/1000)</f>
        <v>0.81148590555424394</v>
      </c>
      <c r="F45" t="s">
        <v>159</v>
      </c>
    </row>
    <row r="46" spans="1:10" x14ac:dyDescent="0.3">
      <c r="A46" s="18">
        <f>+A44+0.1</f>
        <v>5.5999999999999979</v>
      </c>
      <c r="B46" s="1" t="s">
        <v>136</v>
      </c>
      <c r="C46" s="24">
        <f t="shared" ref="C46:D46" si="8">(C$45/$J$39)</f>
        <v>4.785658287978869E-3</v>
      </c>
      <c r="D46" s="24">
        <f t="shared" si="8"/>
        <v>4.5294993049832064E-3</v>
      </c>
      <c r="E46" s="24">
        <f>(E$45/$J$39)</f>
        <v>4.2432854295871361E-3</v>
      </c>
    </row>
    <row r="47" spans="1:10" x14ac:dyDescent="0.3">
      <c r="A47" s="18">
        <f t="shared" ref="A47:A50" si="9">+A45+0.1</f>
        <v>0.1</v>
      </c>
      <c r="B47" s="1" t="s">
        <v>137</v>
      </c>
      <c r="C47" s="26">
        <f>'Financial Statements'!B$22/'Financial Statements'!B$68</f>
        <v>1.9695887275023682</v>
      </c>
      <c r="D47" s="26">
        <f>'Financial Statements'!C$22/'Financial Statements'!C$68</f>
        <v>1.5007132667617689</v>
      </c>
      <c r="E47" s="26">
        <f>'Financial Statements'!D$22/'Financial Statements'!D$68</f>
        <v>0.87866358530127486</v>
      </c>
    </row>
    <row r="48" spans="1:10" x14ac:dyDescent="0.3">
      <c r="A48" s="18">
        <f t="shared" si="9"/>
        <v>5.6999999999999975</v>
      </c>
      <c r="B48" s="1" t="s">
        <v>138</v>
      </c>
      <c r="C48" s="26">
        <f>'Financial Statements'!B$22/SUM('Financial Statements'!B$55,'Financial Statements'!B$59,'Financial Statements'!B$68)</f>
        <v>0.62082371749015608</v>
      </c>
      <c r="D48" s="26">
        <f>'Financial Statements'!C$22/SUM('Financial Statements'!C$55,'Financial Statements'!C$59,'Financial Statements'!C$68)</f>
        <v>0.52076629869808422</v>
      </c>
      <c r="E48" s="26">
        <f>'Financial Statements'!D$22/SUM('Financial Statements'!D$55,'Financial Statements'!D$59,'Financial Statements'!D$68)</f>
        <v>0.3322799645790287</v>
      </c>
    </row>
    <row r="49" spans="1:6" x14ac:dyDescent="0.3">
      <c r="A49" s="18">
        <f t="shared" si="9"/>
        <v>0.2</v>
      </c>
      <c r="B49" s="1" t="s">
        <v>128</v>
      </c>
      <c r="C49" s="26">
        <f>'Financial Statements'!B$22/'Financial Statements'!B$48</f>
        <v>0.28292440929256851</v>
      </c>
      <c r="D49" s="26">
        <f>'Financial Statements'!C$22/'Financial Statements'!C$48</f>
        <v>0.26974205275183616</v>
      </c>
      <c r="E49" s="26">
        <f>'Financial Statements'!D$22/'Financial Statements'!D$48</f>
        <v>0.1772557180259843</v>
      </c>
    </row>
    <row r="50" spans="1:6" x14ac:dyDescent="0.3">
      <c r="A50" s="18">
        <f t="shared" si="9"/>
        <v>5.7999999999999972</v>
      </c>
      <c r="B50" s="1" t="s">
        <v>139</v>
      </c>
      <c r="C50" s="26">
        <f t="shared" ref="C50:D50" si="10">C$51/C$19</f>
        <v>29.423922203945242</v>
      </c>
      <c r="D50" s="26">
        <f t="shared" si="10"/>
        <v>33.560950773357909</v>
      </c>
      <c r="E50" s="26">
        <f>E$51/E$19</f>
        <v>61.338413194524911</v>
      </c>
    </row>
    <row r="51" spans="1:6" x14ac:dyDescent="0.3">
      <c r="A51" s="18"/>
      <c r="B51" s="3" t="s">
        <v>140</v>
      </c>
      <c r="C51" s="26">
        <f>($J$39*('Financial Statements'!B27/1000))+SUM('Financial Statements'!B$55,'Financial Statements'!B$59)-'Financial Statements'!B$36</f>
        <v>3187581.7641199999</v>
      </c>
      <c r="D51" s="26">
        <f>($J$39*('Financial Statements'!C27/1000))+SUM('Financial Statements'!C$55,'Financial Statements'!C$59)-'Financial Statements'!C$36</f>
        <v>3277730.2572800005</v>
      </c>
      <c r="E51" s="26">
        <f>($J$39*('Financial Statements'!D27/1000))+SUM('Financial Statements'!D$55,'Financial Statements'!D$59)-'Financial Statements'!D$36</f>
        <v>3387843.2375599998</v>
      </c>
      <c r="F51" t="s">
        <v>160</v>
      </c>
    </row>
    <row r="53" spans="1:6" x14ac:dyDescent="0.3">
      <c r="B53" s="17" t="s">
        <v>151</v>
      </c>
    </row>
    <row r="54" spans="1:6" x14ac:dyDescent="0.3">
      <c r="B54" s="29" t="s">
        <v>4</v>
      </c>
      <c r="C54" s="32">
        <f>('Financial Statements'!B$6-'Financial Statements'!C$6)/'Financial Statements'!B$6</f>
        <v>5.9478366471747222E-2</v>
      </c>
      <c r="D54" s="32">
        <f>('Financial Statements'!C$6-'Financial Statements'!D$6)/'Financial Statements'!C$6</f>
        <v>0.25772381234195946</v>
      </c>
      <c r="E54" s="31"/>
    </row>
    <row r="55" spans="1:6" x14ac:dyDescent="0.3">
      <c r="B55" s="29" t="s">
        <v>5</v>
      </c>
      <c r="C55" s="32">
        <f>('Financial Statements'!B$7-'Financial Statements'!C$7)/'Financial Statements'!B$7</f>
        <v>0.12420484071215554</v>
      </c>
      <c r="D55" s="32">
        <f>('Financial Statements'!C$7-'Financial Statements'!D$7)/'Financial Statements'!C$7</f>
        <v>0.21420533430763611</v>
      </c>
      <c r="E55" s="31"/>
    </row>
    <row r="56" spans="1:6" x14ac:dyDescent="0.3">
      <c r="B56" s="29" t="s">
        <v>9</v>
      </c>
      <c r="C56" s="32">
        <f>('Financial Statements'!B$13-'Financial Statements'!C$13)/'Financial Statements'!B$13</f>
        <v>0.10508133175627409</v>
      </c>
      <c r="D56" s="32">
        <f>('Financial Statements'!C$13-'Financial Statements'!D$13)/'Financial Statements'!C$13</f>
        <v>0.31327697662854304</v>
      </c>
      <c r="E56" s="31"/>
    </row>
    <row r="57" spans="1:6" x14ac:dyDescent="0.3">
      <c r="B57" s="30" t="s">
        <v>11</v>
      </c>
      <c r="C57" s="32">
        <f>('Financial Statements'!B$15-'Financial Statements'!C$15)/'Financial Statements'!B$15</f>
        <v>0.16521275379985526</v>
      </c>
      <c r="D57" s="32">
        <f>('Financial Statements'!C$15-'Financial Statements'!D$15)/'Financial Statements'!C$15</f>
        <v>0.14429132061695721</v>
      </c>
      <c r="E57" s="31"/>
    </row>
    <row r="58" spans="1:6" x14ac:dyDescent="0.3">
      <c r="B58" s="30" t="s">
        <v>12</v>
      </c>
      <c r="C58" s="32">
        <f>('Financial Statements'!B$16-'Financial Statements'!C$16)/'Financial Statements'!B$16</f>
        <v>0.1243723599266757</v>
      </c>
      <c r="D58" s="32">
        <f>('Financial Statements'!C$16-'Financial Statements'!D$16)/'Financial Statements'!C$16</f>
        <v>9.3614891002594097E-2</v>
      </c>
      <c r="E58" s="31"/>
    </row>
    <row r="59" spans="1:6" x14ac:dyDescent="0.3">
      <c r="B59" s="30" t="s">
        <v>14</v>
      </c>
      <c r="C59" s="32">
        <f>('Financial Statements'!B$18-'Financial Statements'!C$18)/'Financial Statements'!B$18</f>
        <v>8.7811984560898212E-2</v>
      </c>
      <c r="D59" s="32">
        <f>('Financial Statements'!C$18-'Financial Statements'!D$18)/'Financial Statements'!C$18</f>
        <v>0.39156853206546183</v>
      </c>
      <c r="E59" s="31"/>
    </row>
    <row r="60" spans="1:6" x14ac:dyDescent="0.3">
      <c r="B60" s="30" t="s">
        <v>18</v>
      </c>
      <c r="C60" s="32">
        <f>('Financial Statements'!B$22-'Financial Statements'!C$22)/'Financial Statements'!B$22</f>
        <v>5.1331122310952576E-2</v>
      </c>
      <c r="D60" s="32">
        <f>('Financial Statements'!C$22-'Financial Statements'!D$22)/'Financial Statements'!C$22</f>
        <v>0.39363117870722436</v>
      </c>
      <c r="E60" s="31"/>
    </row>
    <row r="61" spans="1:6" x14ac:dyDescent="0.3">
      <c r="B61" t="s">
        <v>25</v>
      </c>
      <c r="C61" s="32"/>
      <c r="D61" s="32"/>
      <c r="E61" s="31"/>
    </row>
    <row r="62" spans="1:6" x14ac:dyDescent="0.3">
      <c r="B62" s="1" t="s">
        <v>26</v>
      </c>
      <c r="C62" s="32">
        <f>('Financial Statements'!B$36-'Financial Statements'!C$36)/'Financial Statements'!B$36</f>
        <v>-0.47762835151822719</v>
      </c>
      <c r="D62" s="32">
        <f>('Financial Statements'!C$36-'Financial Statements'!D$36)/'Financial Statements'!C$36</f>
        <v>-8.8036634230108754E-2</v>
      </c>
      <c r="E62" s="31"/>
    </row>
    <row r="63" spans="1:6" x14ac:dyDescent="0.3">
      <c r="B63" s="1" t="s">
        <v>27</v>
      </c>
      <c r="C63" s="32">
        <f>('Financial Statements'!B$37-'Financial Statements'!C$37)/'Financial Statements'!B$37</f>
        <v>-0.1233271149322735</v>
      </c>
      <c r="D63" s="32">
        <f>('Financial Statements'!C$37-'Financial Statements'!D$37)/'Financial Statements'!C$37</f>
        <v>-0.91079100328531715</v>
      </c>
      <c r="E63" s="31"/>
    </row>
    <row r="64" spans="1:6" x14ac:dyDescent="0.3">
      <c r="B64" s="1" t="s">
        <v>28</v>
      </c>
      <c r="C64" s="32">
        <f>('Financial Statements'!B$38-'Financial Statements'!C$38)/'Financial Statements'!B$38</f>
        <v>6.7627022424070399E-2</v>
      </c>
      <c r="D64" s="32">
        <f>('Financial Statements'!C$38-'Financial Statements'!D$38)/'Financial Statements'!C$38</f>
        <v>0.38655909886597156</v>
      </c>
      <c r="E64" s="31"/>
    </row>
    <row r="65" spans="2:5" x14ac:dyDescent="0.3">
      <c r="B65" s="1" t="s">
        <v>29</v>
      </c>
      <c r="C65" s="32">
        <f>('Financial Statements'!B$39-'Financial Statements'!C$39)/'Financial Statements'!B$39</f>
        <v>-0.3303679741205014</v>
      </c>
      <c r="D65" s="32">
        <f>('Financial Statements'!C$39-'Financial Statements'!D$39)/'Financial Statements'!C$39</f>
        <v>0.38282674772036474</v>
      </c>
      <c r="E65" s="31"/>
    </row>
    <row r="66" spans="2:5" x14ac:dyDescent="0.3">
      <c r="B66" t="s">
        <v>48</v>
      </c>
      <c r="C66" s="32"/>
      <c r="D66" s="32"/>
      <c r="E66" s="31"/>
    </row>
    <row r="67" spans="2:5" x14ac:dyDescent="0.3">
      <c r="B67" s="1" t="s">
        <v>27</v>
      </c>
      <c r="C67" s="32">
        <f>('Financial Statements'!B$44-'Financial Statements'!C$44)/'Financial Statements'!B$44</f>
        <v>-5.8540623318571253E-2</v>
      </c>
      <c r="D67" s="32">
        <f>('Financial Statements'!C$44-'Financial Statements'!D$44)/'Financial Statements'!C$44</f>
        <v>0.21106219257567818</v>
      </c>
      <c r="E67" s="31"/>
    </row>
    <row r="68" spans="2:5" x14ac:dyDescent="0.3">
      <c r="B68" s="1" t="s">
        <v>32</v>
      </c>
      <c r="C68" s="32">
        <f>('Financial Statements'!B$45-'Financial Statements'!C$45)/'Financial Statements'!B$45</f>
        <v>6.3561032362229028E-2</v>
      </c>
      <c r="D68" s="32">
        <f>('Financial Statements'!C$45-'Financial Statements'!D$45)/'Financial Statements'!C$45</f>
        <v>6.7799188640973632E-2</v>
      </c>
      <c r="E68" s="31"/>
    </row>
    <row r="69" spans="2:5" x14ac:dyDescent="0.3">
      <c r="B69" t="s">
        <v>34</v>
      </c>
      <c r="C69" s="32"/>
      <c r="D69" s="32"/>
      <c r="E69" s="31"/>
    </row>
    <row r="70" spans="2:5" x14ac:dyDescent="0.3">
      <c r="B70" s="1" t="s">
        <v>35</v>
      </c>
      <c r="C70" s="32">
        <f>('Financial Statements'!B$51-'Financial Statements'!C$51)/'Financial Statements'!B$51</f>
        <v>0.14586290259689622</v>
      </c>
      <c r="D70" s="32">
        <f>('Financial Statements'!C$51-'Financial Statements'!D$51)/'Financial Statements'!C$51</f>
        <v>0.2276537077954093</v>
      </c>
      <c r="E70" s="31"/>
    </row>
    <row r="71" spans="2:5" x14ac:dyDescent="0.3">
      <c r="B71" s="1" t="s">
        <v>36</v>
      </c>
      <c r="C71" s="32">
        <f>('Financial Statements'!B$52-'Financial Statements'!C$52)/'Financial Statements'!B$52</f>
        <v>0.21944284657736873</v>
      </c>
      <c r="D71" s="32">
        <f>('Financial Statements'!C$52-'Financial Statements'!D$52)/'Financial Statements'!C$52</f>
        <v>0.10125702735139916</v>
      </c>
      <c r="E71" s="31"/>
    </row>
    <row r="72" spans="2:5" x14ac:dyDescent="0.3">
      <c r="B72" s="1" t="s">
        <v>37</v>
      </c>
      <c r="C72" s="32">
        <f>('Financial Statements'!B$53-'Financial Statements'!C$53)/'Financial Statements'!B$53</f>
        <v>3.7917087967644085E-2</v>
      </c>
      <c r="D72" s="32">
        <f>('Financial Statements'!C$53-'Financial Statements'!D$53)/'Financial Statements'!C$53</f>
        <v>0.12729900157645824</v>
      </c>
      <c r="E72" s="31"/>
    </row>
    <row r="73" spans="2:5" x14ac:dyDescent="0.3">
      <c r="B73" t="s">
        <v>51</v>
      </c>
      <c r="C73" s="32"/>
      <c r="D73" s="32"/>
      <c r="E73" s="31"/>
    </row>
    <row r="74" spans="2:5" x14ac:dyDescent="0.3">
      <c r="B74" s="1" t="s">
        <v>37</v>
      </c>
      <c r="C74" s="32">
        <f>('Financial Statements'!B$59-'Financial Statements'!C$59)/'Financial Statements'!B$59</f>
        <v>-0.10253741448478663</v>
      </c>
      <c r="D74" s="32">
        <f>('Financial Statements'!C$59-'Financial Statements'!D$59)/'Financial Statements'!C$59</f>
        <v>9.5677597932286029E-2</v>
      </c>
      <c r="E74" s="31"/>
    </row>
    <row r="75" spans="2:5" x14ac:dyDescent="0.3">
      <c r="B75" s="1" t="s">
        <v>39</v>
      </c>
      <c r="C75" s="32">
        <f>('Financial Statements'!B$60-'Financial Statements'!C$60)/'Financial Statements'!B$60</f>
        <v>-8.5120670709372834E-2</v>
      </c>
      <c r="D75" s="32">
        <f>('Financial Statements'!C$60-'Financial Statements'!D$60)/'Financial Statements'!C$60</f>
        <v>-2.1847163619315518E-2</v>
      </c>
      <c r="E75" s="31"/>
    </row>
    <row r="76" spans="2:5" x14ac:dyDescent="0.3">
      <c r="B76" s="30"/>
      <c r="C76" s="32"/>
      <c r="D76" s="32"/>
      <c r="E76" s="31"/>
    </row>
    <row r="77" spans="2:5" x14ac:dyDescent="0.3">
      <c r="B77" s="30"/>
      <c r="C77" s="32"/>
      <c r="D77" s="32"/>
      <c r="E77" s="31"/>
    </row>
    <row r="78" spans="2:5" x14ac:dyDescent="0.3">
      <c r="B78" s="30"/>
      <c r="C78" s="32"/>
      <c r="D78" s="32"/>
      <c r="E78" s="31"/>
    </row>
    <row r="80" spans="2:5" x14ac:dyDescent="0.3">
      <c r="B80" s="7" t="s">
        <v>152</v>
      </c>
    </row>
    <row r="81" spans="2:5" x14ac:dyDescent="0.3">
      <c r="B81" s="30" t="s">
        <v>153</v>
      </c>
      <c r="C81" s="23">
        <f>'Financial Statements'!B$12/'Financial Statements'!B$8</f>
        <v>0.56690369438639909</v>
      </c>
      <c r="D81" s="23">
        <f>'Financial Statements'!C$12/'Financial Statements'!C$8</f>
        <v>0.58220640374832222</v>
      </c>
      <c r="E81" s="23">
        <f>'Financial Statements'!D$12/'Financial Statements'!D$8</f>
        <v>0.61766752272189129</v>
      </c>
    </row>
    <row r="82" spans="2:5" x14ac:dyDescent="0.3">
      <c r="B82" s="30" t="s">
        <v>154</v>
      </c>
      <c r="C82" s="23">
        <f>'Financial Statements'!B$13/'Financial Statements'!B$8</f>
        <v>0.43309630561360085</v>
      </c>
      <c r="D82" s="23">
        <f>'Financial Statements'!C$13/'Financial Statements'!C$8</f>
        <v>0.41779359625167778</v>
      </c>
      <c r="E82" s="23">
        <f>'Financial Statements'!D$13/'Financial Statements'!D$8</f>
        <v>0.38233247727810865</v>
      </c>
    </row>
    <row r="83" spans="2:5" x14ac:dyDescent="0.3">
      <c r="B83" s="30" t="s">
        <v>11</v>
      </c>
      <c r="C83" s="23">
        <f>'Financial Statements'!B$15/'Financial Statements'!B$8</f>
        <v>6.657148363798665E-2</v>
      </c>
      <c r="D83" s="23">
        <f>'Financial Statements'!C$15/'Financial Statements'!C$8</f>
        <v>5.9904269074427925E-2</v>
      </c>
      <c r="E83" s="23">
        <f>'Financial Statements'!D$15/'Financial Statements'!D$8</f>
        <v>6.8309564140393061E-2</v>
      </c>
    </row>
    <row r="84" spans="2:5" x14ac:dyDescent="0.3">
      <c r="B84" s="30" t="s">
        <v>12</v>
      </c>
      <c r="C84" s="23">
        <f>'Financial Statements'!B$16/'Financial Statements'!B$8</f>
        <v>6.3637378020328261E-2</v>
      </c>
      <c r="D84" s="23">
        <f>'Financial Statements'!C$16/'Financial Statements'!C$8</f>
        <v>6.006555190163388E-2</v>
      </c>
      <c r="E84" s="23">
        <f>'Financial Statements'!D$16/'Financial Statements'!D$8</f>
        <v>7.2549769593646979E-2</v>
      </c>
    </row>
    <row r="85" spans="2:5" x14ac:dyDescent="0.3">
      <c r="B85" s="30" t="s">
        <v>14</v>
      </c>
      <c r="C85" s="23">
        <f>'Financial Statements'!B$18/'Financial Statements'!B$8</f>
        <v>0.30288744395528594</v>
      </c>
      <c r="D85" s="23">
        <f>'Financial Statements'!C$18/'Financial Statements'!C$8</f>
        <v>0.29782377527561593</v>
      </c>
      <c r="E85" s="23">
        <f>'Financial Statements'!D$18/'Financial Statements'!D$8</f>
        <v>0.24147314354406862</v>
      </c>
    </row>
    <row r="86" spans="2:5" x14ac:dyDescent="0.3">
      <c r="B86" s="30" t="s">
        <v>18</v>
      </c>
      <c r="C86" s="23">
        <f>'Financial Statements'!B$22/'Financial Statements'!B$8</f>
        <v>0.25309640705199732</v>
      </c>
      <c r="D86" s="23">
        <f>'Financial Statements'!C$22/'Financial Statements'!C$8</f>
        <v>0.25881793355694238</v>
      </c>
      <c r="E86" s="23">
        <f>'Financial Statements'!D$22/'Financial Statements'!D$8</f>
        <v>0.20913611278072236</v>
      </c>
    </row>
    <row r="88" spans="2:5" x14ac:dyDescent="0.3">
      <c r="B88" s="7" t="s">
        <v>94</v>
      </c>
      <c r="C88" s="23">
        <f>'Financial Statements'!B$114/'Financial Statements'!B$18</f>
        <v>0.16387719048536048</v>
      </c>
      <c r="D88" s="23">
        <f>'Financial Statements'!C$114/'Financial Statements'!C$18</f>
        <v>0.23299892610303904</v>
      </c>
      <c r="E88" s="23">
        <f>'Financial Statements'!D$114/'Financial Statements'!D$18</f>
        <v>0.14332910934105719</v>
      </c>
    </row>
    <row r="89" spans="2:5" x14ac:dyDescent="0.3">
      <c r="B89" s="7" t="s">
        <v>155</v>
      </c>
      <c r="C89" s="23">
        <f>-'Financial Statements'!B$97/'Financial Statements'!B$8</f>
        <v>2.7155058732831552E-2</v>
      </c>
      <c r="D89" s="23">
        <f>-'Financial Statements'!C$97/'Financial Statements'!C$8</f>
        <v>3.0302036264033657E-2</v>
      </c>
      <c r="E89" s="23">
        <f>-'Financial Statements'!D$97/'Financial Statements'!D$8</f>
        <v>2.6625138881299748E-2</v>
      </c>
    </row>
    <row r="90" spans="2:5" x14ac:dyDescent="0.3">
      <c r="B90" s="7" t="s">
        <v>156</v>
      </c>
      <c r="C90" s="23">
        <f>-'Financial Statements'!B$97/'Financial Statements'!B$47</f>
        <v>4.9266160570508394E-2</v>
      </c>
      <c r="D90" s="23">
        <f>-'Financial Statements'!C$97/'Financial Statements'!C$47</f>
        <v>5.1280034788079534E-2</v>
      </c>
      <c r="E90" s="23">
        <f>-'Financial Statements'!D$97/'Financial Statements'!D$47</f>
        <v>4.0566116275842931E-2</v>
      </c>
    </row>
  </sheetData>
  <mergeCells count="2">
    <mergeCell ref="C2:E2"/>
    <mergeCell ref="G39:I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2020-05-18T16:32:37Z</dcterms:created>
  <dcterms:modified xsi:type="dcterms:W3CDTF">2023-12-04T19:39:37Z</dcterms:modified>
</cp:coreProperties>
</file>