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yoos\Downloads\IA work\"/>
    </mc:Choice>
  </mc:AlternateContent>
  <xr:revisionPtr revIDLastSave="0" documentId="8_{12AEA753-E166-4FD1-80BF-4051C0A3532D}" xr6:coauthVersionLast="47" xr6:coauthVersionMax="47" xr10:uidLastSave="{00000000-0000-0000-0000-000000000000}"/>
  <bookViews>
    <workbookView xWindow="-108" yWindow="-108" windowWidth="23256" windowHeight="13896" activeTab="3" xr2:uid="{00000000-000D-0000-FFFF-FFFF00000000}"/>
  </bookViews>
  <sheets>
    <sheet name="Sheet1" sheetId="1" r:id="rId1"/>
    <sheet name="Historicals" sheetId="2" r:id="rId2"/>
    <sheet name="Segmental forecast" sheetId="3" r:id="rId3"/>
    <sheet name="Three Statements" sheetId="4" r:id="rId4"/>
    <sheet name="Graph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4" l="1"/>
  <c r="M17" i="4"/>
  <c r="L17" i="4"/>
  <c r="K9" i="4"/>
  <c r="L9" i="4"/>
  <c r="M9" i="4"/>
  <c r="N9" i="4"/>
  <c r="J9" i="4"/>
  <c r="K7" i="4"/>
  <c r="L7" i="4"/>
  <c r="M7" i="4"/>
  <c r="M8" i="4" s="1"/>
  <c r="N7" i="4"/>
  <c r="N8" i="4" s="1"/>
  <c r="K3" i="4"/>
  <c r="K23" i="4" s="1"/>
  <c r="L3" i="4"/>
  <c r="L4" i="4" s="1"/>
  <c r="M3" i="4"/>
  <c r="N3" i="4"/>
  <c r="N4" i="4" s="1"/>
  <c r="N18" i="4" l="1"/>
  <c r="L18" i="4"/>
  <c r="M18" i="4"/>
  <c r="M4" i="4"/>
  <c r="L8" i="4"/>
  <c r="N23" i="4"/>
  <c r="M23" i="4"/>
  <c r="L23" i="4"/>
  <c r="I174" i="2"/>
  <c r="I177" i="2" s="1"/>
  <c r="I178" i="2" s="1"/>
  <c r="H174" i="2"/>
  <c r="H177" i="2" s="1"/>
  <c r="H178" i="2" s="1"/>
  <c r="G174" i="2"/>
  <c r="G177" i="2" s="1"/>
  <c r="G178" i="2" s="1"/>
  <c r="F174" i="2"/>
  <c r="F177" i="2" s="1"/>
  <c r="F178" i="2" s="1"/>
  <c r="E174" i="2"/>
  <c r="E177" i="2" s="1"/>
  <c r="E178" i="2" s="1"/>
  <c r="D174" i="2"/>
  <c r="D177" i="2" s="1"/>
  <c r="D178" i="2" s="1"/>
  <c r="C174" i="2"/>
  <c r="C177" i="2" s="1"/>
  <c r="C178" i="2" s="1"/>
  <c r="B174" i="2"/>
  <c r="B177" i="2" s="1"/>
  <c r="B178" i="2" s="1"/>
  <c r="I163" i="2"/>
  <c r="H163" i="2"/>
  <c r="G163" i="2"/>
  <c r="F163" i="2"/>
  <c r="E163" i="2"/>
  <c r="E165" i="2" s="1"/>
  <c r="D163" i="2"/>
  <c r="C163" i="2"/>
  <c r="B163" i="2"/>
  <c r="I152" i="2"/>
  <c r="I155" i="2" s="1"/>
  <c r="I156" i="2" s="1"/>
  <c r="H152" i="2"/>
  <c r="H155" i="2" s="1"/>
  <c r="H156" i="2" s="1"/>
  <c r="G152" i="2"/>
  <c r="G155" i="2" s="1"/>
  <c r="G156" i="2" s="1"/>
  <c r="F152" i="2"/>
  <c r="F155" i="2" s="1"/>
  <c r="F156" i="2" s="1"/>
  <c r="E152" i="2"/>
  <c r="E155" i="2" s="1"/>
  <c r="E156" i="2" s="1"/>
  <c r="D152" i="2"/>
  <c r="D155" i="2" s="1"/>
  <c r="D156" i="2" s="1"/>
  <c r="C152" i="2"/>
  <c r="C155" i="2" s="1"/>
  <c r="C156" i="2" s="1"/>
  <c r="B152" i="2"/>
  <c r="B155" i="2" s="1"/>
  <c r="B156" i="2" s="1"/>
  <c r="I141" i="2"/>
  <c r="I144" i="2" s="1"/>
  <c r="I145" i="2" s="1"/>
  <c r="H141" i="2"/>
  <c r="H144" i="2" s="1"/>
  <c r="H145" i="2" s="1"/>
  <c r="G141" i="2"/>
  <c r="G144" i="2" s="1"/>
  <c r="G145" i="2" s="1"/>
  <c r="F141" i="2"/>
  <c r="F144" i="2" s="1"/>
  <c r="F145" i="2" s="1"/>
  <c r="E141" i="2"/>
  <c r="E144" i="2" s="1"/>
  <c r="E145" i="2" s="1"/>
  <c r="D141" i="2"/>
  <c r="D144" i="2" s="1"/>
  <c r="C141" i="2"/>
  <c r="C144" i="2" s="1"/>
  <c r="C145" i="2" s="1"/>
  <c r="B141" i="2"/>
  <c r="B144" i="2" s="1"/>
  <c r="B145" i="2" s="1"/>
  <c r="I121" i="2"/>
  <c r="H121" i="2"/>
  <c r="G121" i="2"/>
  <c r="F121" i="2"/>
  <c r="E121" i="2"/>
  <c r="D121" i="2"/>
  <c r="C121" i="2"/>
  <c r="B121" i="2"/>
  <c r="I117" i="2"/>
  <c r="H117" i="2"/>
  <c r="G117" i="2"/>
  <c r="F117" i="2"/>
  <c r="E117" i="2"/>
  <c r="E126" i="2" s="1"/>
  <c r="E133" i="2" s="1"/>
  <c r="E134" i="2" s="1"/>
  <c r="D117" i="2"/>
  <c r="D126" i="2" s="1"/>
  <c r="D133" i="2" s="1"/>
  <c r="D134" i="2" s="1"/>
  <c r="C117" i="2"/>
  <c r="B117" i="2"/>
  <c r="B126" i="2" s="1"/>
  <c r="B133" i="2" s="1"/>
  <c r="C116" i="2"/>
  <c r="C113" i="2" s="1"/>
  <c r="B116" i="2"/>
  <c r="C115" i="2"/>
  <c r="B115" i="2"/>
  <c r="C114" i="2"/>
  <c r="B114" i="2"/>
  <c r="I113" i="2"/>
  <c r="H113" i="2"/>
  <c r="G113" i="2"/>
  <c r="F113" i="2"/>
  <c r="E113" i="2"/>
  <c r="D113" i="2"/>
  <c r="B113" i="2"/>
  <c r="I109" i="2"/>
  <c r="I126" i="2" s="1"/>
  <c r="I133" i="2" s="1"/>
  <c r="H109" i="2"/>
  <c r="H126" i="2" s="1"/>
  <c r="H133" i="2" s="1"/>
  <c r="H134" i="2" s="1"/>
  <c r="G109" i="2"/>
  <c r="G126" i="2" s="1"/>
  <c r="G133" i="2" s="1"/>
  <c r="G134" i="2" s="1"/>
  <c r="F109" i="2"/>
  <c r="F126" i="2" s="1"/>
  <c r="F133" i="2" s="1"/>
  <c r="F134" i="2" s="1"/>
  <c r="E109" i="2"/>
  <c r="D109" i="2"/>
  <c r="C109" i="2"/>
  <c r="C126" i="2" s="1"/>
  <c r="C133" i="2" s="1"/>
  <c r="C134" i="2" s="1"/>
  <c r="B109" i="2"/>
  <c r="I94" i="2"/>
  <c r="H94" i="2"/>
  <c r="G94" i="2"/>
  <c r="F94" i="2"/>
  <c r="C94" i="2"/>
  <c r="B94" i="2"/>
  <c r="E93" i="2"/>
  <c r="E94" i="2" s="1"/>
  <c r="D93" i="2"/>
  <c r="D94" i="2" s="1"/>
  <c r="C93" i="2"/>
  <c r="B93" i="2"/>
  <c r="I85" i="2"/>
  <c r="H85" i="2"/>
  <c r="G85" i="2"/>
  <c r="F85" i="2"/>
  <c r="E85" i="2"/>
  <c r="D85" i="2"/>
  <c r="C85" i="2"/>
  <c r="B85" i="2"/>
  <c r="I58" i="2"/>
  <c r="I59" i="2" s="1"/>
  <c r="H58" i="2"/>
  <c r="H59" i="2" s="1"/>
  <c r="G58" i="2"/>
  <c r="G59" i="2" s="1"/>
  <c r="F58" i="2"/>
  <c r="F59" i="2" s="1"/>
  <c r="E58" i="2"/>
  <c r="E59" i="2" s="1"/>
  <c r="D58" i="2"/>
  <c r="D59" i="2" s="1"/>
  <c r="C58" i="2"/>
  <c r="C59" i="2" s="1"/>
  <c r="B58" i="2"/>
  <c r="B59" i="2" s="1"/>
  <c r="I45" i="2"/>
  <c r="H45" i="2"/>
  <c r="G45" i="2"/>
  <c r="F45" i="2"/>
  <c r="E45" i="2"/>
  <c r="D45" i="2"/>
  <c r="C45" i="2"/>
  <c r="B45" i="2"/>
  <c r="I30" i="2"/>
  <c r="I36" i="2" s="1"/>
  <c r="H30" i="2"/>
  <c r="H36" i="2" s="1"/>
  <c r="G30" i="2"/>
  <c r="G36" i="2" s="1"/>
  <c r="F30" i="2"/>
  <c r="F36" i="2" s="1"/>
  <c r="E30" i="2"/>
  <c r="E36" i="2" s="1"/>
  <c r="D30" i="2"/>
  <c r="D36" i="2" s="1"/>
  <c r="C30" i="2"/>
  <c r="C36" i="2" s="1"/>
  <c r="B30" i="2"/>
  <c r="B36" i="2" s="1"/>
  <c r="I7" i="2"/>
  <c r="H7" i="2"/>
  <c r="G7" i="2"/>
  <c r="F7" i="2"/>
  <c r="E7" i="2"/>
  <c r="D7" i="2"/>
  <c r="C7" i="2"/>
  <c r="B7" i="2"/>
  <c r="I4" i="2"/>
  <c r="I10" i="2" s="1"/>
  <c r="I12" i="2" s="1"/>
  <c r="H4" i="2"/>
  <c r="H10" i="2" s="1"/>
  <c r="H12" i="2" s="1"/>
  <c r="G4" i="2"/>
  <c r="G10" i="2" s="1"/>
  <c r="G12" i="2" s="1"/>
  <c r="F4" i="2"/>
  <c r="F10" i="2" s="1"/>
  <c r="F12" i="2" s="1"/>
  <c r="E4" i="2"/>
  <c r="E10" i="2" s="1"/>
  <c r="E12" i="2" s="1"/>
  <c r="D4" i="2"/>
  <c r="D10" i="2" s="1"/>
  <c r="D12" i="2" s="1"/>
  <c r="C4" i="2"/>
  <c r="C10" i="2" s="1"/>
  <c r="C12" i="2" s="1"/>
  <c r="B4" i="2"/>
  <c r="B10" i="2" s="1"/>
  <c r="B12" i="2" s="1"/>
  <c r="H1" i="2"/>
  <c r="G1" i="2"/>
  <c r="F1" i="2"/>
  <c r="E1" i="2" s="1"/>
  <c r="D1" i="2" s="1"/>
  <c r="C1" i="2" s="1"/>
  <c r="B1" i="2" s="1"/>
  <c r="D64" i="2" l="1"/>
  <c r="D76" i="2" s="1"/>
  <c r="D96" i="2" s="1"/>
  <c r="D98" i="2" s="1"/>
  <c r="D99" i="2" s="1"/>
  <c r="D20" i="2"/>
  <c r="D60" i="2"/>
  <c r="E20" i="2"/>
  <c r="E64" i="2"/>
  <c r="E76" i="2" s="1"/>
  <c r="E96" i="2" s="1"/>
  <c r="E98" i="2" s="1"/>
  <c r="E99" i="2" s="1"/>
  <c r="E60" i="2"/>
  <c r="F64" i="2"/>
  <c r="F76" i="2" s="1"/>
  <c r="F96" i="2" s="1"/>
  <c r="F98" i="2" s="1"/>
  <c r="F99" i="2" s="1"/>
  <c r="F20" i="2"/>
  <c r="F60" i="2"/>
  <c r="G20" i="2"/>
  <c r="G64" i="2"/>
  <c r="G76" i="2" s="1"/>
  <c r="G96" i="2" s="1"/>
  <c r="G98" i="2" s="1"/>
  <c r="G99" i="2" s="1"/>
  <c r="G60" i="2"/>
  <c r="H166" i="2"/>
  <c r="H167" i="2" s="1"/>
  <c r="H64" i="2"/>
  <c r="H76" i="2" s="1"/>
  <c r="H96" i="2" s="1"/>
  <c r="H98" i="2" s="1"/>
  <c r="H20" i="2"/>
  <c r="H60" i="2"/>
  <c r="I166" i="2"/>
  <c r="I167" i="2" s="1"/>
  <c r="I64" i="2"/>
  <c r="I76" i="2" s="1"/>
  <c r="I96" i="2" s="1"/>
  <c r="I20" i="2"/>
  <c r="I60" i="2"/>
  <c r="B166" i="2"/>
  <c r="B167" i="2" s="1"/>
  <c r="B64" i="2"/>
  <c r="B76" i="2" s="1"/>
  <c r="B96" i="2" s="1"/>
  <c r="B98" i="2" s="1"/>
  <c r="B99" i="2" s="1"/>
  <c r="B20" i="2"/>
  <c r="B60" i="2"/>
  <c r="C64" i="2"/>
  <c r="C76" i="2" s="1"/>
  <c r="C96" i="2" s="1"/>
  <c r="C98" i="2" s="1"/>
  <c r="C99" i="2" s="1"/>
  <c r="C20" i="2"/>
  <c r="C60" i="2"/>
  <c r="I134" i="2"/>
  <c r="B134" i="2"/>
  <c r="D145" i="2"/>
  <c r="B165" i="2"/>
  <c r="C165" i="2"/>
  <c r="C166" i="2" s="1"/>
  <c r="C167" i="2" s="1"/>
  <c r="D165" i="2"/>
  <c r="D166" i="2" s="1"/>
  <c r="D167" i="2" s="1"/>
  <c r="E166" i="2"/>
  <c r="E167" i="2" s="1"/>
  <c r="F165" i="2"/>
  <c r="F166" i="2" s="1"/>
  <c r="F167" i="2" s="1"/>
  <c r="G165" i="2"/>
  <c r="G166" i="2" s="1"/>
  <c r="G167" i="2" s="1"/>
  <c r="H165" i="2"/>
  <c r="I165" i="2"/>
  <c r="I97" i="2" l="1"/>
  <c r="H99" i="2"/>
  <c r="I98" i="2"/>
  <c r="I99" i="2" s="1"/>
  <c r="J28" i="3" l="1"/>
  <c r="K29" i="3"/>
  <c r="B68" i="4"/>
  <c r="I66" i="4"/>
  <c r="H66" i="4"/>
  <c r="G66" i="4"/>
  <c r="F66" i="4"/>
  <c r="E66" i="4"/>
  <c r="D66" i="4"/>
  <c r="C66" i="4"/>
  <c r="B66" i="4"/>
  <c r="I64" i="4"/>
  <c r="H64" i="4"/>
  <c r="G64" i="4"/>
  <c r="F64" i="4"/>
  <c r="E64" i="4"/>
  <c r="D64" i="4"/>
  <c r="C64" i="4"/>
  <c r="B64" i="4"/>
  <c r="I63" i="4"/>
  <c r="H63" i="4"/>
  <c r="G63" i="4"/>
  <c r="F63" i="4"/>
  <c r="E63" i="4"/>
  <c r="D63" i="4"/>
  <c r="C63" i="4"/>
  <c r="B63" i="4"/>
  <c r="I62" i="4"/>
  <c r="H62" i="4"/>
  <c r="G62" i="4"/>
  <c r="F62" i="4"/>
  <c r="E62" i="4"/>
  <c r="D62" i="4"/>
  <c r="C62" i="4"/>
  <c r="B62" i="4"/>
  <c r="N61" i="4"/>
  <c r="M61" i="4"/>
  <c r="L61" i="4"/>
  <c r="K61" i="4"/>
  <c r="I60" i="4"/>
  <c r="H60" i="4"/>
  <c r="G60" i="4"/>
  <c r="F60" i="4"/>
  <c r="E60" i="4"/>
  <c r="D60" i="4"/>
  <c r="C60" i="4"/>
  <c r="B60" i="4"/>
  <c r="I58" i="4"/>
  <c r="H58" i="4"/>
  <c r="G58" i="4"/>
  <c r="F58" i="4"/>
  <c r="E58" i="4"/>
  <c r="D58" i="4"/>
  <c r="C58" i="4"/>
  <c r="B58" i="4"/>
  <c r="N52" i="4"/>
  <c r="M52" i="4"/>
  <c r="L52" i="4"/>
  <c r="I50" i="4"/>
  <c r="H50" i="4"/>
  <c r="G50" i="4"/>
  <c r="F50" i="4"/>
  <c r="E50" i="4"/>
  <c r="D50" i="4"/>
  <c r="C50" i="4"/>
  <c r="B50" i="4"/>
  <c r="I48" i="4"/>
  <c r="H48" i="4"/>
  <c r="G48" i="4"/>
  <c r="F48" i="4"/>
  <c r="E48" i="4"/>
  <c r="D48" i="4"/>
  <c r="C48" i="4"/>
  <c r="B48" i="4"/>
  <c r="I42" i="4"/>
  <c r="H42" i="4"/>
  <c r="G42" i="4"/>
  <c r="G39" i="4" s="1"/>
  <c r="F42" i="4"/>
  <c r="E42" i="4"/>
  <c r="D42" i="4"/>
  <c r="C42" i="4"/>
  <c r="B42" i="4"/>
  <c r="I41" i="4"/>
  <c r="H41" i="4"/>
  <c r="G41" i="4"/>
  <c r="F41" i="4"/>
  <c r="E41" i="4"/>
  <c r="D41" i="4"/>
  <c r="C41" i="4"/>
  <c r="B41" i="4"/>
  <c r="I40" i="4"/>
  <c r="I39" i="4" s="1"/>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H32" i="4" s="1"/>
  <c r="G34" i="4"/>
  <c r="F34" i="4"/>
  <c r="E34" i="4"/>
  <c r="E32" i="4" s="1"/>
  <c r="D34" i="4"/>
  <c r="C34" i="4"/>
  <c r="B34" i="4"/>
  <c r="I33" i="4"/>
  <c r="H33" i="4"/>
  <c r="G33" i="4"/>
  <c r="F33" i="4"/>
  <c r="E33" i="4"/>
  <c r="D33" i="4"/>
  <c r="C33" i="4"/>
  <c r="B33" i="4"/>
  <c r="N32" i="4"/>
  <c r="M32" i="4"/>
  <c r="L32" i="4"/>
  <c r="K32" i="4"/>
  <c r="J32"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D52" i="4" s="1"/>
  <c r="B23" i="4"/>
  <c r="I22" i="4"/>
  <c r="H22" i="4"/>
  <c r="G22" i="4"/>
  <c r="F22" i="4"/>
  <c r="E22" i="4"/>
  <c r="D22" i="4"/>
  <c r="C22" i="4"/>
  <c r="B22" i="4"/>
  <c r="I21" i="4"/>
  <c r="H21" i="4"/>
  <c r="H31" i="4" s="1"/>
  <c r="G21" i="4"/>
  <c r="F21" i="4"/>
  <c r="F31" i="4" s="1"/>
  <c r="E21" i="4"/>
  <c r="E31" i="4" s="1"/>
  <c r="D21" i="4"/>
  <c r="C21" i="4"/>
  <c r="B21" i="4"/>
  <c r="I15" i="4"/>
  <c r="J15" i="4" s="1"/>
  <c r="H15" i="4"/>
  <c r="G15" i="4"/>
  <c r="F15" i="4"/>
  <c r="E15" i="4"/>
  <c r="D15" i="4"/>
  <c r="C15" i="4"/>
  <c r="B15" i="4"/>
  <c r="I12" i="4"/>
  <c r="H12" i="4"/>
  <c r="G12" i="4"/>
  <c r="F12" i="4"/>
  <c r="E12" i="4"/>
  <c r="D12" i="4"/>
  <c r="C12" i="4"/>
  <c r="B12" i="4"/>
  <c r="I10" i="4"/>
  <c r="H10" i="4"/>
  <c r="G10" i="4"/>
  <c r="F10" i="4"/>
  <c r="E10" i="4"/>
  <c r="D10" i="4"/>
  <c r="C10" i="4"/>
  <c r="B10" i="4"/>
  <c r="J1" i="4"/>
  <c r="K1" i="4" s="1"/>
  <c r="L1" i="4" s="1"/>
  <c r="M1" i="4" s="1"/>
  <c r="N1" i="4" s="1"/>
  <c r="H1" i="4"/>
  <c r="G1" i="4" s="1"/>
  <c r="F1" i="4" s="1"/>
  <c r="E1" i="4" s="1"/>
  <c r="D1" i="4" s="1"/>
  <c r="C1" i="4" s="1"/>
  <c r="B1" i="4" s="1"/>
  <c r="E215" i="3"/>
  <c r="I214" i="3"/>
  <c r="H214" i="3"/>
  <c r="H216" i="3" s="1"/>
  <c r="G214" i="3"/>
  <c r="G216" i="3" s="1"/>
  <c r="F214" i="3"/>
  <c r="F216" i="3" s="1"/>
  <c r="E214" i="3"/>
  <c r="D214" i="3"/>
  <c r="D216" i="3" s="1"/>
  <c r="C214" i="3"/>
  <c r="C216" i="3" s="1"/>
  <c r="B214" i="3"/>
  <c r="B216" i="3" s="1"/>
  <c r="E213" i="3"/>
  <c r="I211" i="3"/>
  <c r="H211" i="3"/>
  <c r="H213" i="3" s="1"/>
  <c r="G211" i="3"/>
  <c r="G213" i="3" s="1"/>
  <c r="F211" i="3"/>
  <c r="F213" i="3" s="1"/>
  <c r="E211" i="3"/>
  <c r="E212" i="3" s="1"/>
  <c r="D211" i="3"/>
  <c r="D213" i="3" s="1"/>
  <c r="C211" i="3"/>
  <c r="C213" i="3" s="1"/>
  <c r="B211" i="3"/>
  <c r="B213" i="3" s="1"/>
  <c r="I208" i="3"/>
  <c r="H208" i="3"/>
  <c r="H210" i="3" s="1"/>
  <c r="G208" i="3"/>
  <c r="G210" i="3" s="1"/>
  <c r="F208" i="3"/>
  <c r="F210" i="3" s="1"/>
  <c r="E208" i="3"/>
  <c r="D208" i="3"/>
  <c r="D210" i="3" s="1"/>
  <c r="C208" i="3"/>
  <c r="C210" i="3" s="1"/>
  <c r="B208" i="3"/>
  <c r="B210" i="3" s="1"/>
  <c r="E205" i="3"/>
  <c r="I204" i="3"/>
  <c r="I201" i="3" s="1"/>
  <c r="H204" i="3"/>
  <c r="H207" i="3" s="1"/>
  <c r="G204" i="3"/>
  <c r="G207" i="3" s="1"/>
  <c r="F204" i="3"/>
  <c r="F207" i="3" s="1"/>
  <c r="E204" i="3"/>
  <c r="E207" i="3" s="1"/>
  <c r="D204" i="3"/>
  <c r="D207" i="3" s="1"/>
  <c r="C204" i="3"/>
  <c r="C207" i="3" s="1"/>
  <c r="B204" i="3"/>
  <c r="B207" i="3" s="1"/>
  <c r="B202" i="3"/>
  <c r="H201" i="3"/>
  <c r="H203" i="3" s="1"/>
  <c r="G201" i="3"/>
  <c r="F201" i="3"/>
  <c r="F203" i="3" s="1"/>
  <c r="D201" i="3"/>
  <c r="D203" i="3" s="1"/>
  <c r="C201" i="3"/>
  <c r="B201" i="3"/>
  <c r="B203" i="3" s="1"/>
  <c r="J200" i="3"/>
  <c r="H200" i="3"/>
  <c r="D200" i="3"/>
  <c r="I199" i="3"/>
  <c r="H199" i="3"/>
  <c r="G199" i="3"/>
  <c r="F199" i="3"/>
  <c r="G200" i="3" s="1"/>
  <c r="E199" i="3"/>
  <c r="E200" i="3" s="1"/>
  <c r="D199" i="3"/>
  <c r="C199" i="3"/>
  <c r="C200" i="3" s="1"/>
  <c r="B199" i="3"/>
  <c r="B200" i="3" s="1"/>
  <c r="G196" i="3"/>
  <c r="I195" i="3"/>
  <c r="H195" i="3"/>
  <c r="G195" i="3"/>
  <c r="G197" i="3" s="1"/>
  <c r="F195" i="3"/>
  <c r="F197" i="3" s="1"/>
  <c r="E195" i="3"/>
  <c r="D195" i="3"/>
  <c r="C195" i="3"/>
  <c r="B195" i="3"/>
  <c r="I192" i="3"/>
  <c r="H192" i="3"/>
  <c r="G192" i="3"/>
  <c r="F192" i="3"/>
  <c r="F194" i="3" s="1"/>
  <c r="E192" i="3"/>
  <c r="D192" i="3"/>
  <c r="C192" i="3"/>
  <c r="C194" i="3" s="1"/>
  <c r="B192" i="3"/>
  <c r="G190" i="3"/>
  <c r="I189" i="3"/>
  <c r="H189" i="3"/>
  <c r="G189" i="3"/>
  <c r="G191" i="3" s="1"/>
  <c r="F189" i="3"/>
  <c r="F191" i="3" s="1"/>
  <c r="E189" i="3"/>
  <c r="D189" i="3"/>
  <c r="C189" i="3"/>
  <c r="C11" i="3" s="1"/>
  <c r="B189" i="3"/>
  <c r="G186" i="3"/>
  <c r="C186" i="3"/>
  <c r="I185" i="3"/>
  <c r="I188" i="3" s="1"/>
  <c r="H185" i="3"/>
  <c r="H188" i="3" s="1"/>
  <c r="G185" i="3"/>
  <c r="F185" i="3"/>
  <c r="F188" i="3" s="1"/>
  <c r="E185" i="3"/>
  <c r="E188" i="3" s="1"/>
  <c r="D185" i="3"/>
  <c r="D188" i="3" s="1"/>
  <c r="C185" i="3"/>
  <c r="B185" i="3"/>
  <c r="B188" i="3" s="1"/>
  <c r="J184" i="3"/>
  <c r="I183" i="3"/>
  <c r="E183" i="3"/>
  <c r="I182" i="3"/>
  <c r="I184" i="3" s="1"/>
  <c r="H182" i="3"/>
  <c r="F182" i="3"/>
  <c r="E182" i="3"/>
  <c r="D182" i="3"/>
  <c r="B182" i="3"/>
  <c r="F181" i="3"/>
  <c r="I180" i="3"/>
  <c r="H180" i="3"/>
  <c r="G180" i="3"/>
  <c r="F180" i="3"/>
  <c r="E180" i="3"/>
  <c r="D180" i="3"/>
  <c r="C180" i="3"/>
  <c r="B180" i="3"/>
  <c r="N179" i="3"/>
  <c r="M179" i="3"/>
  <c r="L179" i="3"/>
  <c r="K179" i="3"/>
  <c r="J179" i="3"/>
  <c r="G179" i="3"/>
  <c r="G181" i="3" s="1"/>
  <c r="C179" i="3"/>
  <c r="C181" i="3" s="1"/>
  <c r="I178" i="3"/>
  <c r="I179" i="3" s="1"/>
  <c r="I181" i="3" s="1"/>
  <c r="H178" i="3"/>
  <c r="H179" i="3" s="1"/>
  <c r="H181" i="3" s="1"/>
  <c r="G178" i="3"/>
  <c r="F178" i="3"/>
  <c r="F179" i="3" s="1"/>
  <c r="E178" i="3"/>
  <c r="D178" i="3"/>
  <c r="D179" i="3" s="1"/>
  <c r="D181" i="3" s="1"/>
  <c r="C178" i="3"/>
  <c r="B178" i="3"/>
  <c r="B179" i="3" s="1"/>
  <c r="B181" i="3" s="1"/>
  <c r="H177" i="3"/>
  <c r="I176" i="3"/>
  <c r="H176" i="3"/>
  <c r="G176" i="3"/>
  <c r="F176" i="3"/>
  <c r="E176" i="3"/>
  <c r="D176" i="3"/>
  <c r="C176" i="3"/>
  <c r="B176" i="3"/>
  <c r="N175" i="3"/>
  <c r="M175" i="3"/>
  <c r="L175" i="3"/>
  <c r="K175" i="3"/>
  <c r="J175" i="3"/>
  <c r="I175" i="3"/>
  <c r="I177" i="3" s="1"/>
  <c r="E175" i="3"/>
  <c r="E177" i="3" s="1"/>
  <c r="N174" i="3"/>
  <c r="J174" i="3"/>
  <c r="K174" i="3" s="1"/>
  <c r="L174" i="3" s="1"/>
  <c r="M174" i="3" s="1"/>
  <c r="I174" i="3"/>
  <c r="H174" i="3"/>
  <c r="H175" i="3" s="1"/>
  <c r="G174" i="3"/>
  <c r="G175" i="3" s="1"/>
  <c r="G177" i="3" s="1"/>
  <c r="F174" i="3"/>
  <c r="F175" i="3" s="1"/>
  <c r="F177" i="3" s="1"/>
  <c r="E174" i="3"/>
  <c r="D174" i="3"/>
  <c r="D175" i="3" s="1"/>
  <c r="D177" i="3" s="1"/>
  <c r="C174" i="3"/>
  <c r="C175" i="3" s="1"/>
  <c r="C177" i="3" s="1"/>
  <c r="B174" i="3"/>
  <c r="B175" i="3" s="1"/>
  <c r="B177" i="3" s="1"/>
  <c r="I172" i="3"/>
  <c r="H172" i="3"/>
  <c r="G172" i="3"/>
  <c r="F172" i="3"/>
  <c r="E172" i="3"/>
  <c r="D172" i="3"/>
  <c r="C172" i="3"/>
  <c r="B172" i="3"/>
  <c r="B173" i="3" s="1"/>
  <c r="N171" i="3"/>
  <c r="M171" i="3"/>
  <c r="L171" i="3"/>
  <c r="K171" i="3"/>
  <c r="J171" i="3"/>
  <c r="C171" i="3"/>
  <c r="C173" i="3" s="1"/>
  <c r="B171" i="3"/>
  <c r="I170" i="3"/>
  <c r="J170" i="3" s="1"/>
  <c r="K170" i="3" s="1"/>
  <c r="L170" i="3" s="1"/>
  <c r="M170" i="3" s="1"/>
  <c r="N170" i="3" s="1"/>
  <c r="H170" i="3"/>
  <c r="G170" i="3"/>
  <c r="G171" i="3" s="1"/>
  <c r="G173" i="3" s="1"/>
  <c r="F170" i="3"/>
  <c r="F171" i="3" s="1"/>
  <c r="F173" i="3" s="1"/>
  <c r="E170" i="3"/>
  <c r="E171" i="3" s="1"/>
  <c r="E173" i="3" s="1"/>
  <c r="D170" i="3"/>
  <c r="D171" i="3" s="1"/>
  <c r="D173" i="3" s="1"/>
  <c r="C170" i="3"/>
  <c r="B170" i="3"/>
  <c r="H169" i="3"/>
  <c r="I168" i="3"/>
  <c r="H168" i="3"/>
  <c r="G168" i="3"/>
  <c r="F168" i="3"/>
  <c r="E168" i="3"/>
  <c r="D168" i="3"/>
  <c r="C168" i="3"/>
  <c r="B168" i="3"/>
  <c r="N167" i="3"/>
  <c r="M167" i="3"/>
  <c r="L167" i="3"/>
  <c r="K167" i="3"/>
  <c r="J167" i="3"/>
  <c r="I167" i="3"/>
  <c r="I169" i="3" s="1"/>
  <c r="E167" i="3"/>
  <c r="E169" i="3" s="1"/>
  <c r="D167" i="3"/>
  <c r="D169" i="3" s="1"/>
  <c r="J166" i="3"/>
  <c r="K166" i="3" s="1"/>
  <c r="L166" i="3" s="1"/>
  <c r="M166" i="3" s="1"/>
  <c r="N166" i="3" s="1"/>
  <c r="I166" i="3"/>
  <c r="H166" i="3"/>
  <c r="H167" i="3" s="1"/>
  <c r="G166" i="3"/>
  <c r="F166" i="3"/>
  <c r="F167" i="3" s="1"/>
  <c r="F169" i="3" s="1"/>
  <c r="E166" i="3"/>
  <c r="D166" i="3"/>
  <c r="C166" i="3"/>
  <c r="B166" i="3"/>
  <c r="B167" i="3" s="1"/>
  <c r="B169" i="3" s="1"/>
  <c r="C165" i="3"/>
  <c r="I164" i="3"/>
  <c r="H164" i="3"/>
  <c r="G164" i="3"/>
  <c r="G187" i="3" s="1"/>
  <c r="F164" i="3"/>
  <c r="E164" i="3"/>
  <c r="D164" i="3"/>
  <c r="D184" i="3" s="1"/>
  <c r="C164" i="3"/>
  <c r="B164" i="3"/>
  <c r="B165" i="3" s="1"/>
  <c r="I160" i="3"/>
  <c r="H160" i="3"/>
  <c r="H162" i="3" s="1"/>
  <c r="G160" i="3"/>
  <c r="G162" i="3" s="1"/>
  <c r="F160" i="3"/>
  <c r="F162" i="3" s="1"/>
  <c r="E160" i="3"/>
  <c r="E162" i="3" s="1"/>
  <c r="D160" i="3"/>
  <c r="D162" i="3" s="1"/>
  <c r="C160" i="3"/>
  <c r="B160" i="3"/>
  <c r="B162" i="3" s="1"/>
  <c r="F159" i="3"/>
  <c r="F158" i="3"/>
  <c r="I157" i="3"/>
  <c r="I159" i="3" s="1"/>
  <c r="H157" i="3"/>
  <c r="H159" i="3" s="1"/>
  <c r="G157" i="3"/>
  <c r="G159" i="3" s="1"/>
  <c r="F157" i="3"/>
  <c r="E157" i="3"/>
  <c r="E159" i="3" s="1"/>
  <c r="D157" i="3"/>
  <c r="D159" i="3" s="1"/>
  <c r="C157" i="3"/>
  <c r="C159" i="3" s="1"/>
  <c r="B157" i="3"/>
  <c r="B159" i="3" s="1"/>
  <c r="F156" i="3"/>
  <c r="F155" i="3"/>
  <c r="I154" i="3"/>
  <c r="I156" i="3" s="1"/>
  <c r="H154" i="3"/>
  <c r="H156" i="3" s="1"/>
  <c r="G154" i="3"/>
  <c r="G156" i="3" s="1"/>
  <c r="F154" i="3"/>
  <c r="E154" i="3"/>
  <c r="E156" i="3" s="1"/>
  <c r="D154" i="3"/>
  <c r="D156" i="3" s="1"/>
  <c r="C154" i="3"/>
  <c r="C156" i="3" s="1"/>
  <c r="B154" i="3"/>
  <c r="B156" i="3" s="1"/>
  <c r="I150" i="3"/>
  <c r="I147" i="3" s="1"/>
  <c r="H150" i="3"/>
  <c r="H153" i="3" s="1"/>
  <c r="G150" i="3"/>
  <c r="G147" i="3" s="1"/>
  <c r="F150" i="3"/>
  <c r="F147" i="3" s="1"/>
  <c r="E150" i="3"/>
  <c r="E153" i="3" s="1"/>
  <c r="D150" i="3"/>
  <c r="D153" i="3" s="1"/>
  <c r="C150" i="3"/>
  <c r="C147" i="3" s="1"/>
  <c r="C148" i="3" s="1"/>
  <c r="B150" i="3"/>
  <c r="B153" i="3" s="1"/>
  <c r="N149" i="3"/>
  <c r="M149" i="3"/>
  <c r="L149" i="3"/>
  <c r="K149" i="3"/>
  <c r="J149" i="3"/>
  <c r="C149" i="3"/>
  <c r="H147" i="3"/>
  <c r="E147" i="3"/>
  <c r="D147" i="3"/>
  <c r="D148" i="3" s="1"/>
  <c r="B147" i="3"/>
  <c r="B149" i="3" s="1"/>
  <c r="J146" i="3"/>
  <c r="G146" i="3"/>
  <c r="F146" i="3"/>
  <c r="K145" i="3"/>
  <c r="I145" i="3"/>
  <c r="J145" i="3" s="1"/>
  <c r="H145" i="3"/>
  <c r="H149" i="3" s="1"/>
  <c r="G145" i="3"/>
  <c r="F145" i="3"/>
  <c r="E145" i="3"/>
  <c r="E146" i="3" s="1"/>
  <c r="D145" i="3"/>
  <c r="D146" i="3" s="1"/>
  <c r="C145" i="3"/>
  <c r="C146" i="3" s="1"/>
  <c r="B145" i="3"/>
  <c r="B146" i="3" s="1"/>
  <c r="I141" i="3"/>
  <c r="H141" i="3"/>
  <c r="H143" i="3" s="1"/>
  <c r="G141" i="3"/>
  <c r="F141" i="3"/>
  <c r="F143" i="3" s="1"/>
  <c r="E141" i="3"/>
  <c r="E143" i="3" s="1"/>
  <c r="D141" i="3"/>
  <c r="D143" i="3" s="1"/>
  <c r="C141" i="3"/>
  <c r="C143" i="3" s="1"/>
  <c r="B141" i="3"/>
  <c r="B143" i="3" s="1"/>
  <c r="D139" i="3"/>
  <c r="I138" i="3"/>
  <c r="I140" i="3" s="1"/>
  <c r="H138" i="3"/>
  <c r="H140" i="3" s="1"/>
  <c r="G138" i="3"/>
  <c r="F138" i="3"/>
  <c r="F140" i="3" s="1"/>
  <c r="E138" i="3"/>
  <c r="E140" i="3" s="1"/>
  <c r="D138" i="3"/>
  <c r="D140" i="3" s="1"/>
  <c r="C138" i="3"/>
  <c r="C140" i="3" s="1"/>
  <c r="B138" i="3"/>
  <c r="B140" i="3" s="1"/>
  <c r="D137" i="3"/>
  <c r="I135" i="3"/>
  <c r="I137" i="3" s="1"/>
  <c r="H135" i="3"/>
  <c r="H137" i="3" s="1"/>
  <c r="G135" i="3"/>
  <c r="F135" i="3"/>
  <c r="F137" i="3" s="1"/>
  <c r="E135" i="3"/>
  <c r="E128" i="3" s="1"/>
  <c r="D135" i="3"/>
  <c r="D128" i="3" s="1"/>
  <c r="C135" i="3"/>
  <c r="C137" i="3" s="1"/>
  <c r="B135" i="3"/>
  <c r="B137" i="3" s="1"/>
  <c r="D133" i="3"/>
  <c r="D132" i="3"/>
  <c r="I131" i="3"/>
  <c r="I134" i="3" s="1"/>
  <c r="H131" i="3"/>
  <c r="H134" i="3" s="1"/>
  <c r="G131" i="3"/>
  <c r="G134" i="3" s="1"/>
  <c r="F131" i="3"/>
  <c r="F134" i="3" s="1"/>
  <c r="E131" i="3"/>
  <c r="E134" i="3" s="1"/>
  <c r="D131" i="3"/>
  <c r="D134" i="3" s="1"/>
  <c r="C131" i="3"/>
  <c r="C134" i="3" s="1"/>
  <c r="B131" i="3"/>
  <c r="B134" i="3" s="1"/>
  <c r="N130" i="3"/>
  <c r="E130" i="3"/>
  <c r="C129" i="3"/>
  <c r="B129" i="3"/>
  <c r="H128" i="3"/>
  <c r="G128" i="3"/>
  <c r="F128" i="3"/>
  <c r="C128" i="3"/>
  <c r="C130" i="3" s="1"/>
  <c r="B128" i="3"/>
  <c r="G127" i="3"/>
  <c r="I126" i="3"/>
  <c r="H126" i="3"/>
  <c r="G126" i="3"/>
  <c r="F126" i="3"/>
  <c r="E126" i="3"/>
  <c r="D126" i="3"/>
  <c r="C126" i="3"/>
  <c r="B126" i="3"/>
  <c r="N125" i="3"/>
  <c r="M125" i="3"/>
  <c r="L125" i="3"/>
  <c r="K125" i="3"/>
  <c r="J125" i="3"/>
  <c r="E125" i="3"/>
  <c r="E127" i="3" s="1"/>
  <c r="D125" i="3"/>
  <c r="D127" i="3" s="1"/>
  <c r="I124" i="3"/>
  <c r="H124" i="3"/>
  <c r="H125" i="3" s="1"/>
  <c r="H127" i="3" s="1"/>
  <c r="G124" i="3"/>
  <c r="F124" i="3"/>
  <c r="G125" i="3" s="1"/>
  <c r="E124" i="3"/>
  <c r="D124" i="3"/>
  <c r="C124" i="3"/>
  <c r="C125" i="3" s="1"/>
  <c r="C127" i="3" s="1"/>
  <c r="B124" i="3"/>
  <c r="B125" i="3" s="1"/>
  <c r="B127" i="3" s="1"/>
  <c r="I122" i="3"/>
  <c r="H122" i="3"/>
  <c r="G122" i="3"/>
  <c r="F122" i="3"/>
  <c r="E122" i="3"/>
  <c r="D122" i="3"/>
  <c r="C122" i="3"/>
  <c r="B122" i="3"/>
  <c r="N121" i="3"/>
  <c r="M121" i="3"/>
  <c r="L121" i="3"/>
  <c r="K121" i="3"/>
  <c r="J121" i="3"/>
  <c r="G121" i="3"/>
  <c r="G123" i="3" s="1"/>
  <c r="F121" i="3"/>
  <c r="F123" i="3" s="1"/>
  <c r="I120" i="3"/>
  <c r="J120" i="3" s="1"/>
  <c r="K120" i="3" s="1"/>
  <c r="L120" i="3" s="1"/>
  <c r="M120" i="3" s="1"/>
  <c r="N120" i="3" s="1"/>
  <c r="H120" i="3"/>
  <c r="H121" i="3" s="1"/>
  <c r="H123" i="3" s="1"/>
  <c r="G120" i="3"/>
  <c r="F120" i="3"/>
  <c r="E120" i="3"/>
  <c r="E121" i="3" s="1"/>
  <c r="E123" i="3" s="1"/>
  <c r="D120" i="3"/>
  <c r="C120" i="3"/>
  <c r="C121" i="3" s="1"/>
  <c r="C123" i="3" s="1"/>
  <c r="B120" i="3"/>
  <c r="B121" i="3" s="1"/>
  <c r="B123" i="3" s="1"/>
  <c r="C119" i="3"/>
  <c r="I118" i="3"/>
  <c r="H118" i="3"/>
  <c r="G118" i="3"/>
  <c r="F118" i="3"/>
  <c r="E118" i="3"/>
  <c r="D118" i="3"/>
  <c r="C118" i="3"/>
  <c r="B118" i="3"/>
  <c r="N117" i="3"/>
  <c r="M117" i="3"/>
  <c r="L117" i="3"/>
  <c r="K117" i="3"/>
  <c r="J117" i="3"/>
  <c r="I117" i="3"/>
  <c r="I119" i="3" s="1"/>
  <c r="H117" i="3"/>
  <c r="H119" i="3" s="1"/>
  <c r="J116" i="3"/>
  <c r="K116" i="3" s="1"/>
  <c r="I116" i="3"/>
  <c r="H116" i="3"/>
  <c r="G116" i="3"/>
  <c r="F116" i="3"/>
  <c r="G117" i="3" s="1"/>
  <c r="G119" i="3" s="1"/>
  <c r="E116" i="3"/>
  <c r="E117" i="3" s="1"/>
  <c r="E119" i="3" s="1"/>
  <c r="D116" i="3"/>
  <c r="D117" i="3" s="1"/>
  <c r="D119" i="3" s="1"/>
  <c r="C116" i="3"/>
  <c r="B116" i="3"/>
  <c r="C117" i="3" s="1"/>
  <c r="J115" i="3"/>
  <c r="C115" i="3"/>
  <c r="B115" i="3"/>
  <c r="J114" i="3"/>
  <c r="J138" i="3" s="1"/>
  <c r="J139" i="3" s="1"/>
  <c r="I114" i="3"/>
  <c r="H114" i="3"/>
  <c r="I115" i="3" s="1"/>
  <c r="G114" i="3"/>
  <c r="G115" i="3" s="1"/>
  <c r="F114" i="3"/>
  <c r="F115" i="3" s="1"/>
  <c r="E114" i="3"/>
  <c r="D114" i="3"/>
  <c r="E115" i="3" s="1"/>
  <c r="C114" i="3"/>
  <c r="B114" i="3"/>
  <c r="B130" i="3" s="1"/>
  <c r="G112" i="3"/>
  <c r="G111" i="3"/>
  <c r="I110" i="3"/>
  <c r="H110" i="3"/>
  <c r="H112" i="3" s="1"/>
  <c r="G110" i="3"/>
  <c r="F110" i="3"/>
  <c r="F112" i="3" s="1"/>
  <c r="E110" i="3"/>
  <c r="D110" i="3"/>
  <c r="D112" i="3" s="1"/>
  <c r="C110" i="3"/>
  <c r="C112" i="3" s="1"/>
  <c r="B110" i="3"/>
  <c r="G109" i="3"/>
  <c r="G108" i="3"/>
  <c r="I107" i="3"/>
  <c r="H107" i="3"/>
  <c r="H109" i="3" s="1"/>
  <c r="G107" i="3"/>
  <c r="F107" i="3"/>
  <c r="F109" i="3" s="1"/>
  <c r="E107" i="3"/>
  <c r="E109" i="3" s="1"/>
  <c r="D107" i="3"/>
  <c r="D109" i="3" s="1"/>
  <c r="C107" i="3"/>
  <c r="C109" i="3" s="1"/>
  <c r="B107" i="3"/>
  <c r="I104" i="3"/>
  <c r="H104" i="3"/>
  <c r="H106" i="3" s="1"/>
  <c r="G104" i="3"/>
  <c r="G106" i="3" s="1"/>
  <c r="F104" i="3"/>
  <c r="F106" i="3" s="1"/>
  <c r="E104" i="3"/>
  <c r="E106" i="3" s="1"/>
  <c r="D104" i="3"/>
  <c r="D106" i="3" s="1"/>
  <c r="C104" i="3"/>
  <c r="C106" i="3" s="1"/>
  <c r="B104" i="3"/>
  <c r="G101" i="3"/>
  <c r="I100" i="3"/>
  <c r="I103" i="3" s="1"/>
  <c r="H100" i="3"/>
  <c r="H103" i="3" s="1"/>
  <c r="G100" i="3"/>
  <c r="G103" i="3" s="1"/>
  <c r="F100" i="3"/>
  <c r="F103" i="3" s="1"/>
  <c r="E100" i="3"/>
  <c r="E103" i="3" s="1"/>
  <c r="D100" i="3"/>
  <c r="D103" i="3" s="1"/>
  <c r="C100" i="3"/>
  <c r="C103" i="3" s="1"/>
  <c r="B100" i="3"/>
  <c r="B103" i="3" s="1"/>
  <c r="E98" i="3"/>
  <c r="I97" i="3"/>
  <c r="H97" i="3"/>
  <c r="F97" i="3"/>
  <c r="F99" i="3" s="1"/>
  <c r="E97" i="3"/>
  <c r="E99" i="3" s="1"/>
  <c r="D97" i="3"/>
  <c r="D99" i="3" s="1"/>
  <c r="B97" i="3"/>
  <c r="B98" i="3" s="1"/>
  <c r="I96" i="3"/>
  <c r="I95" i="3"/>
  <c r="H95" i="3"/>
  <c r="G95" i="3"/>
  <c r="F95" i="3"/>
  <c r="E95" i="3"/>
  <c r="D95" i="3"/>
  <c r="C95" i="3"/>
  <c r="B95" i="3"/>
  <c r="N94" i="3"/>
  <c r="M94" i="3"/>
  <c r="L94" i="3"/>
  <c r="K94" i="3"/>
  <c r="J94" i="3"/>
  <c r="G94" i="3"/>
  <c r="G96" i="3" s="1"/>
  <c r="F94" i="3"/>
  <c r="F96" i="3" s="1"/>
  <c r="K93" i="3"/>
  <c r="L93" i="3" s="1"/>
  <c r="M93" i="3" s="1"/>
  <c r="N93" i="3" s="1"/>
  <c r="J93" i="3"/>
  <c r="I93" i="3"/>
  <c r="H93" i="3"/>
  <c r="I94" i="3" s="1"/>
  <c r="G93" i="3"/>
  <c r="F93" i="3"/>
  <c r="E93" i="3"/>
  <c r="D93" i="3"/>
  <c r="E94" i="3" s="1"/>
  <c r="E96" i="3" s="1"/>
  <c r="C93" i="3"/>
  <c r="C94" i="3" s="1"/>
  <c r="C96" i="3" s="1"/>
  <c r="B93" i="3"/>
  <c r="B94" i="3" s="1"/>
  <c r="B96" i="3" s="1"/>
  <c r="I91" i="3"/>
  <c r="H91" i="3"/>
  <c r="G91" i="3"/>
  <c r="F91" i="3"/>
  <c r="E91" i="3"/>
  <c r="D91" i="3"/>
  <c r="C91" i="3"/>
  <c r="B91" i="3"/>
  <c r="N90" i="3"/>
  <c r="M90" i="3"/>
  <c r="L90" i="3"/>
  <c r="K90" i="3"/>
  <c r="J90" i="3"/>
  <c r="I90" i="3"/>
  <c r="I92" i="3" s="1"/>
  <c r="H90" i="3"/>
  <c r="H92" i="3" s="1"/>
  <c r="I89" i="3"/>
  <c r="J89" i="3" s="1"/>
  <c r="H89" i="3"/>
  <c r="G89" i="3"/>
  <c r="F89" i="3"/>
  <c r="G90" i="3" s="1"/>
  <c r="G92" i="3" s="1"/>
  <c r="E89" i="3"/>
  <c r="E90" i="3" s="1"/>
  <c r="E92" i="3" s="1"/>
  <c r="D89" i="3"/>
  <c r="D90" i="3" s="1"/>
  <c r="D92" i="3" s="1"/>
  <c r="C89" i="3"/>
  <c r="B89" i="3"/>
  <c r="C90" i="3" s="1"/>
  <c r="C92" i="3" s="1"/>
  <c r="I87" i="3"/>
  <c r="H87" i="3"/>
  <c r="G87" i="3"/>
  <c r="F87" i="3"/>
  <c r="E87" i="3"/>
  <c r="D87" i="3"/>
  <c r="C87" i="3"/>
  <c r="B87" i="3"/>
  <c r="N86" i="3"/>
  <c r="M86" i="3"/>
  <c r="L86" i="3"/>
  <c r="K86" i="3"/>
  <c r="J86" i="3"/>
  <c r="B86" i="3"/>
  <c r="B88" i="3" s="1"/>
  <c r="K85" i="3"/>
  <c r="L85" i="3" s="1"/>
  <c r="J85" i="3"/>
  <c r="I85" i="3"/>
  <c r="H85" i="3"/>
  <c r="I86" i="3" s="1"/>
  <c r="I88" i="3" s="1"/>
  <c r="G85" i="3"/>
  <c r="G86" i="3" s="1"/>
  <c r="G88" i="3" s="1"/>
  <c r="F85" i="3"/>
  <c r="F86" i="3" s="1"/>
  <c r="F88" i="3" s="1"/>
  <c r="E85" i="3"/>
  <c r="D85" i="3"/>
  <c r="E86" i="3" s="1"/>
  <c r="E88" i="3" s="1"/>
  <c r="C85" i="3"/>
  <c r="C86" i="3" s="1"/>
  <c r="C88" i="3" s="1"/>
  <c r="B85" i="3"/>
  <c r="D84" i="3"/>
  <c r="I83" i="3"/>
  <c r="I84" i="3" s="1"/>
  <c r="H83" i="3"/>
  <c r="H84" i="3" s="1"/>
  <c r="G83" i="3"/>
  <c r="F83" i="3"/>
  <c r="G84" i="3" s="1"/>
  <c r="E83" i="3"/>
  <c r="E84" i="3" s="1"/>
  <c r="D83" i="3"/>
  <c r="C83" i="3"/>
  <c r="B83" i="3"/>
  <c r="I80" i="3"/>
  <c r="I79" i="3"/>
  <c r="H79" i="3"/>
  <c r="G79" i="3"/>
  <c r="G81" i="3" s="1"/>
  <c r="F79" i="3"/>
  <c r="F80" i="3" s="1"/>
  <c r="E79" i="3"/>
  <c r="E80" i="3" s="1"/>
  <c r="D79" i="3"/>
  <c r="C79" i="3"/>
  <c r="C80" i="3" s="1"/>
  <c r="B79" i="3"/>
  <c r="B80" i="3" s="1"/>
  <c r="F78" i="3"/>
  <c r="E78" i="3"/>
  <c r="E77" i="3"/>
  <c r="B77" i="3"/>
  <c r="I76" i="3"/>
  <c r="I77" i="3" s="1"/>
  <c r="H76" i="3"/>
  <c r="G76" i="3"/>
  <c r="G77" i="3" s="1"/>
  <c r="F76" i="3"/>
  <c r="E76" i="3"/>
  <c r="F77" i="3" s="1"/>
  <c r="D76" i="3"/>
  <c r="C76" i="3"/>
  <c r="C78" i="3" s="1"/>
  <c r="B76" i="3"/>
  <c r="B78" i="3" s="1"/>
  <c r="I74" i="3"/>
  <c r="G74" i="3"/>
  <c r="I73" i="3"/>
  <c r="H73" i="3"/>
  <c r="G73" i="3"/>
  <c r="G75" i="3" s="1"/>
  <c r="F73" i="3"/>
  <c r="F74" i="3" s="1"/>
  <c r="E73" i="3"/>
  <c r="E74" i="3" s="1"/>
  <c r="D73" i="3"/>
  <c r="C73" i="3"/>
  <c r="C74" i="3" s="1"/>
  <c r="B73" i="3"/>
  <c r="B74" i="3" s="1"/>
  <c r="F70" i="3"/>
  <c r="I69" i="3"/>
  <c r="I72" i="3" s="1"/>
  <c r="H69" i="3"/>
  <c r="H66" i="3" s="1"/>
  <c r="G69" i="3"/>
  <c r="G66" i="3" s="1"/>
  <c r="F69" i="3"/>
  <c r="F72" i="3" s="1"/>
  <c r="E69" i="3"/>
  <c r="E72" i="3" s="1"/>
  <c r="D69" i="3"/>
  <c r="D72" i="3" s="1"/>
  <c r="C69" i="3"/>
  <c r="C72" i="3" s="1"/>
  <c r="B69" i="3"/>
  <c r="B72" i="3" s="1"/>
  <c r="K68" i="3"/>
  <c r="J68" i="3"/>
  <c r="I68" i="3"/>
  <c r="I66" i="3"/>
  <c r="D66" i="3"/>
  <c r="D67" i="3" s="1"/>
  <c r="C66" i="3"/>
  <c r="C67" i="3" s="1"/>
  <c r="B66" i="3"/>
  <c r="B67" i="3" s="1"/>
  <c r="I64" i="3"/>
  <c r="H64" i="3"/>
  <c r="G64" i="3"/>
  <c r="F64" i="3"/>
  <c r="E64" i="3"/>
  <c r="D64" i="3"/>
  <c r="C64" i="3"/>
  <c r="B64" i="3"/>
  <c r="N63" i="3"/>
  <c r="M63" i="3"/>
  <c r="L63" i="3"/>
  <c r="K63" i="3"/>
  <c r="J63" i="3"/>
  <c r="I63" i="3"/>
  <c r="I65" i="3" s="1"/>
  <c r="H63" i="3"/>
  <c r="H65" i="3" s="1"/>
  <c r="G63" i="3"/>
  <c r="G65" i="3" s="1"/>
  <c r="L62" i="3"/>
  <c r="M62" i="3" s="1"/>
  <c r="N62" i="3" s="1"/>
  <c r="K62" i="3"/>
  <c r="J62" i="3"/>
  <c r="I62" i="3"/>
  <c r="H62" i="3"/>
  <c r="G62" i="3"/>
  <c r="F62" i="3"/>
  <c r="F63" i="3" s="1"/>
  <c r="F65" i="3" s="1"/>
  <c r="E62" i="3"/>
  <c r="E63" i="3" s="1"/>
  <c r="E65" i="3" s="1"/>
  <c r="D62" i="3"/>
  <c r="D63" i="3" s="1"/>
  <c r="D65" i="3" s="1"/>
  <c r="C62" i="3"/>
  <c r="C63" i="3" s="1"/>
  <c r="C65" i="3" s="1"/>
  <c r="B62" i="3"/>
  <c r="B63" i="3" s="1"/>
  <c r="B65" i="3" s="1"/>
  <c r="I60" i="3"/>
  <c r="H60" i="3"/>
  <c r="G60" i="3"/>
  <c r="F60" i="3"/>
  <c r="E60" i="3"/>
  <c r="D60" i="3"/>
  <c r="C60" i="3"/>
  <c r="B60" i="3"/>
  <c r="N59" i="3"/>
  <c r="M59" i="3"/>
  <c r="L59" i="3"/>
  <c r="K59" i="3"/>
  <c r="J59" i="3"/>
  <c r="I59" i="3"/>
  <c r="I61" i="3" s="1"/>
  <c r="C59" i="3"/>
  <c r="C61" i="3" s="1"/>
  <c r="B59" i="3"/>
  <c r="B61" i="3" s="1"/>
  <c r="I58" i="3"/>
  <c r="J58" i="3" s="1"/>
  <c r="K58" i="3" s="1"/>
  <c r="L58" i="3" s="1"/>
  <c r="M58" i="3" s="1"/>
  <c r="N58" i="3" s="1"/>
  <c r="H58" i="3"/>
  <c r="H59" i="3" s="1"/>
  <c r="H61" i="3" s="1"/>
  <c r="G58" i="3"/>
  <c r="G59" i="3" s="1"/>
  <c r="G61" i="3" s="1"/>
  <c r="F58" i="3"/>
  <c r="F59" i="3" s="1"/>
  <c r="F61" i="3" s="1"/>
  <c r="E58" i="3"/>
  <c r="E59" i="3" s="1"/>
  <c r="E61" i="3" s="1"/>
  <c r="D58" i="3"/>
  <c r="D59" i="3" s="1"/>
  <c r="D61" i="3" s="1"/>
  <c r="C58" i="3"/>
  <c r="B58" i="3"/>
  <c r="I56" i="3"/>
  <c r="H56" i="3"/>
  <c r="G56" i="3"/>
  <c r="F56" i="3"/>
  <c r="E56" i="3"/>
  <c r="D56" i="3"/>
  <c r="C56" i="3"/>
  <c r="B56" i="3"/>
  <c r="N55" i="3"/>
  <c r="M55" i="3"/>
  <c r="L55" i="3"/>
  <c r="K55" i="3"/>
  <c r="J55" i="3"/>
  <c r="E55" i="3"/>
  <c r="E57" i="3" s="1"/>
  <c r="D55" i="3"/>
  <c r="D57" i="3" s="1"/>
  <c r="C55" i="3"/>
  <c r="C57" i="3" s="1"/>
  <c r="I54" i="3"/>
  <c r="I55" i="3" s="1"/>
  <c r="I57" i="3" s="1"/>
  <c r="H54" i="3"/>
  <c r="H55" i="3" s="1"/>
  <c r="H57" i="3" s="1"/>
  <c r="G54" i="3"/>
  <c r="G55" i="3" s="1"/>
  <c r="G57" i="3" s="1"/>
  <c r="F54" i="3"/>
  <c r="F55" i="3" s="1"/>
  <c r="F57" i="3" s="1"/>
  <c r="E54" i="3"/>
  <c r="D54" i="3"/>
  <c r="C54" i="3"/>
  <c r="B54" i="3"/>
  <c r="B55" i="3" s="1"/>
  <c r="B57" i="3" s="1"/>
  <c r="G53" i="3"/>
  <c r="F53" i="3"/>
  <c r="E53" i="3"/>
  <c r="I52" i="3"/>
  <c r="I81" i="3" s="1"/>
  <c r="H52" i="3"/>
  <c r="H53" i="3" s="1"/>
  <c r="G52" i="3"/>
  <c r="G78" i="3" s="1"/>
  <c r="F52" i="3"/>
  <c r="E52" i="3"/>
  <c r="D52" i="3"/>
  <c r="D53" i="3" s="1"/>
  <c r="C52" i="3"/>
  <c r="C53" i="3" s="1"/>
  <c r="B52" i="3"/>
  <c r="B53" i="3" s="1"/>
  <c r="B50" i="3"/>
  <c r="B49" i="3"/>
  <c r="I48" i="3"/>
  <c r="I50" i="3" s="1"/>
  <c r="H48" i="3"/>
  <c r="H50" i="3" s="1"/>
  <c r="G48" i="3"/>
  <c r="G50" i="3" s="1"/>
  <c r="F48" i="3"/>
  <c r="F50" i="3" s="1"/>
  <c r="E48" i="3"/>
  <c r="E50" i="3" s="1"/>
  <c r="D48" i="3"/>
  <c r="D50" i="3" s="1"/>
  <c r="C48" i="3"/>
  <c r="C50" i="3" s="1"/>
  <c r="B48" i="3"/>
  <c r="B47" i="3"/>
  <c r="B46" i="3"/>
  <c r="I45" i="3"/>
  <c r="I47" i="3" s="1"/>
  <c r="H45" i="3"/>
  <c r="H47" i="3" s="1"/>
  <c r="G45" i="3"/>
  <c r="G47" i="3" s="1"/>
  <c r="F45" i="3"/>
  <c r="F47" i="3" s="1"/>
  <c r="E45" i="3"/>
  <c r="E47" i="3" s="1"/>
  <c r="D45" i="3"/>
  <c r="D47" i="3" s="1"/>
  <c r="C45" i="3"/>
  <c r="C47" i="3" s="1"/>
  <c r="B45" i="3"/>
  <c r="I42" i="3"/>
  <c r="I44" i="3" s="1"/>
  <c r="H42" i="3"/>
  <c r="H44" i="3" s="1"/>
  <c r="G42" i="3"/>
  <c r="G44" i="3" s="1"/>
  <c r="F42" i="3"/>
  <c r="F44" i="3" s="1"/>
  <c r="E42" i="3"/>
  <c r="E44" i="3" s="1"/>
  <c r="D42" i="3"/>
  <c r="D44" i="3" s="1"/>
  <c r="C42" i="3"/>
  <c r="C44" i="3" s="1"/>
  <c r="B42" i="3"/>
  <c r="B43" i="3" s="1"/>
  <c r="B40" i="3"/>
  <c r="B39" i="3"/>
  <c r="I38" i="3"/>
  <c r="I41" i="3" s="1"/>
  <c r="H38" i="3"/>
  <c r="H41" i="3" s="1"/>
  <c r="G38" i="3"/>
  <c r="G41" i="3" s="1"/>
  <c r="F38" i="3"/>
  <c r="F41" i="3" s="1"/>
  <c r="E38" i="3"/>
  <c r="E41" i="3" s="1"/>
  <c r="D38" i="3"/>
  <c r="D41" i="3" s="1"/>
  <c r="C38" i="3"/>
  <c r="C41" i="3" s="1"/>
  <c r="B38" i="3"/>
  <c r="B41" i="3" s="1"/>
  <c r="I35" i="3"/>
  <c r="I37" i="3" s="1"/>
  <c r="H35" i="3"/>
  <c r="H37" i="3" s="1"/>
  <c r="G35" i="3"/>
  <c r="G37" i="3" s="1"/>
  <c r="F35" i="3"/>
  <c r="F37" i="3" s="1"/>
  <c r="E35" i="3"/>
  <c r="E37" i="3" s="1"/>
  <c r="D35" i="3"/>
  <c r="D37" i="3" s="1"/>
  <c r="C35" i="3"/>
  <c r="C37" i="3" s="1"/>
  <c r="B35" i="3"/>
  <c r="B37" i="3" s="1"/>
  <c r="N34" i="3"/>
  <c r="M34" i="3"/>
  <c r="L34" i="3"/>
  <c r="K34" i="3"/>
  <c r="N33" i="3"/>
  <c r="M33" i="3"/>
  <c r="L33" i="3"/>
  <c r="K33" i="3"/>
  <c r="I33" i="3"/>
  <c r="H33" i="3"/>
  <c r="G33" i="3"/>
  <c r="F33" i="3"/>
  <c r="E33" i="3"/>
  <c r="D33" i="3"/>
  <c r="C33" i="3"/>
  <c r="B33" i="3"/>
  <c r="N32" i="3"/>
  <c r="M32" i="3"/>
  <c r="L32" i="3"/>
  <c r="K32" i="3"/>
  <c r="J32" i="3"/>
  <c r="H32" i="3"/>
  <c r="H34" i="3" s="1"/>
  <c r="G32" i="3"/>
  <c r="G34" i="3" s="1"/>
  <c r="I31" i="3"/>
  <c r="J31" i="3" s="1"/>
  <c r="K31" i="3" s="1"/>
  <c r="L31" i="3" s="1"/>
  <c r="M31" i="3" s="1"/>
  <c r="N31" i="3" s="1"/>
  <c r="H31" i="3"/>
  <c r="G31" i="3"/>
  <c r="F31" i="3"/>
  <c r="F32" i="3" s="1"/>
  <c r="F34" i="3" s="1"/>
  <c r="E31" i="3"/>
  <c r="E32" i="3" s="1"/>
  <c r="E34" i="3" s="1"/>
  <c r="D31" i="3"/>
  <c r="D32" i="3" s="1"/>
  <c r="D34" i="3" s="1"/>
  <c r="C31" i="3"/>
  <c r="C32" i="3" s="1"/>
  <c r="C34" i="3" s="1"/>
  <c r="B31" i="3"/>
  <c r="B32" i="3" s="1"/>
  <c r="B34" i="3" s="1"/>
  <c r="N30" i="3"/>
  <c r="M30" i="3"/>
  <c r="L30" i="3"/>
  <c r="K30" i="3"/>
  <c r="N29" i="3"/>
  <c r="M29" i="3"/>
  <c r="L29" i="3"/>
  <c r="I29" i="3"/>
  <c r="H29" i="3"/>
  <c r="G29" i="3"/>
  <c r="F29" i="3"/>
  <c r="E29" i="3"/>
  <c r="D29" i="3"/>
  <c r="C29" i="3"/>
  <c r="B29" i="3"/>
  <c r="C28" i="3"/>
  <c r="C30" i="3" s="1"/>
  <c r="I27" i="3"/>
  <c r="I28" i="3" s="1"/>
  <c r="I30" i="3" s="1"/>
  <c r="H27" i="3"/>
  <c r="H28" i="3" s="1"/>
  <c r="H30" i="3" s="1"/>
  <c r="G27" i="3"/>
  <c r="G28" i="3" s="1"/>
  <c r="G30" i="3" s="1"/>
  <c r="F27" i="3"/>
  <c r="F28" i="3" s="1"/>
  <c r="F30" i="3" s="1"/>
  <c r="E27" i="3"/>
  <c r="E28" i="3" s="1"/>
  <c r="E30" i="3" s="1"/>
  <c r="D27" i="3"/>
  <c r="D28" i="3" s="1"/>
  <c r="D30" i="3" s="1"/>
  <c r="C27" i="3"/>
  <c r="B27" i="3"/>
  <c r="B28" i="3" s="1"/>
  <c r="B30" i="3" s="1"/>
  <c r="N26" i="3"/>
  <c r="M26" i="3"/>
  <c r="L26" i="3"/>
  <c r="K26" i="3"/>
  <c r="H26" i="3"/>
  <c r="M25" i="3"/>
  <c r="L25" i="3"/>
  <c r="I25" i="3"/>
  <c r="H25" i="3"/>
  <c r="G25" i="3"/>
  <c r="F25" i="3"/>
  <c r="E25" i="3"/>
  <c r="D25" i="3"/>
  <c r="C25" i="3"/>
  <c r="B25" i="3"/>
  <c r="N24" i="3"/>
  <c r="M24" i="3"/>
  <c r="L24" i="3"/>
  <c r="K24" i="3"/>
  <c r="J24" i="3"/>
  <c r="H24" i="3"/>
  <c r="G24" i="3"/>
  <c r="G26" i="3" s="1"/>
  <c r="I23" i="3"/>
  <c r="I24" i="3" s="1"/>
  <c r="I26" i="3" s="1"/>
  <c r="H23" i="3"/>
  <c r="G23" i="3"/>
  <c r="F23" i="3"/>
  <c r="F24" i="3" s="1"/>
  <c r="F26" i="3" s="1"/>
  <c r="E23" i="3"/>
  <c r="E24" i="3" s="1"/>
  <c r="E26" i="3" s="1"/>
  <c r="D23" i="3"/>
  <c r="D24" i="3" s="1"/>
  <c r="D26" i="3" s="1"/>
  <c r="C23" i="3"/>
  <c r="C24" i="3" s="1"/>
  <c r="C26" i="3" s="1"/>
  <c r="B23" i="3"/>
  <c r="B24" i="3" s="1"/>
  <c r="B26" i="3" s="1"/>
  <c r="I21" i="3"/>
  <c r="I3" i="3" s="1"/>
  <c r="H21" i="3"/>
  <c r="H22" i="3" s="1"/>
  <c r="G21" i="3"/>
  <c r="G22" i="3" s="1"/>
  <c r="F21" i="3"/>
  <c r="F22" i="3" s="1"/>
  <c r="E21" i="3"/>
  <c r="E22" i="3" s="1"/>
  <c r="D21" i="3"/>
  <c r="D22" i="3" s="1"/>
  <c r="C21" i="3"/>
  <c r="C22" i="3" s="1"/>
  <c r="B21" i="3"/>
  <c r="B22" i="3" s="1"/>
  <c r="A20" i="3"/>
  <c r="I17" i="3"/>
  <c r="I19" i="3" s="1"/>
  <c r="H17" i="3"/>
  <c r="H19" i="3" s="1"/>
  <c r="G17" i="3"/>
  <c r="E17" i="3"/>
  <c r="E19" i="3" s="1"/>
  <c r="D17" i="3"/>
  <c r="D19" i="3" s="1"/>
  <c r="C17" i="3"/>
  <c r="C19" i="3" s="1"/>
  <c r="B17" i="3"/>
  <c r="B18" i="3" s="1"/>
  <c r="I14" i="3"/>
  <c r="I53" i="4" s="1"/>
  <c r="H14" i="3"/>
  <c r="H53" i="4" s="1"/>
  <c r="H59" i="4" s="1"/>
  <c r="G14" i="3"/>
  <c r="G53" i="4" s="1"/>
  <c r="G59" i="4" s="1"/>
  <c r="F14" i="3"/>
  <c r="F53" i="4" s="1"/>
  <c r="E14" i="3"/>
  <c r="E53" i="4" s="1"/>
  <c r="D14" i="3"/>
  <c r="D53" i="4" s="1"/>
  <c r="C14" i="3"/>
  <c r="C53" i="4" s="1"/>
  <c r="B14" i="3"/>
  <c r="B53" i="4" s="1"/>
  <c r="I11" i="3"/>
  <c r="H11" i="3"/>
  <c r="G11" i="3"/>
  <c r="D11" i="3"/>
  <c r="B11" i="3"/>
  <c r="B12" i="3" s="1"/>
  <c r="B8" i="4" s="1"/>
  <c r="I8" i="3"/>
  <c r="H8" i="3"/>
  <c r="G8" i="3"/>
  <c r="E8" i="3"/>
  <c r="D8" i="3"/>
  <c r="C8" i="3"/>
  <c r="C10" i="3" s="1"/>
  <c r="B8" i="3"/>
  <c r="D5" i="3"/>
  <c r="D5" i="4" s="1"/>
  <c r="B5" i="3"/>
  <c r="B5" i="4" s="1"/>
  <c r="E4" i="3"/>
  <c r="E4" i="4" s="1"/>
  <c r="H3" i="3"/>
  <c r="H3" i="4" s="1"/>
  <c r="F3" i="3"/>
  <c r="F3" i="4" s="1"/>
  <c r="E3" i="3"/>
  <c r="E3" i="4" s="1"/>
  <c r="D3" i="3"/>
  <c r="D3" i="4" s="1"/>
  <c r="C3" i="3"/>
  <c r="C3" i="4" s="1"/>
  <c r="B3" i="3"/>
  <c r="B3" i="4" s="1"/>
  <c r="N1" i="3"/>
  <c r="M1" i="3"/>
  <c r="L1" i="3"/>
  <c r="K1" i="3"/>
  <c r="J1" i="3"/>
  <c r="H1" i="3"/>
  <c r="G1" i="3"/>
  <c r="F1" i="3"/>
  <c r="E1" i="3"/>
  <c r="D1" i="3"/>
  <c r="C1" i="3"/>
  <c r="B1" i="3"/>
  <c r="G31" i="4" l="1"/>
  <c r="C32" i="4"/>
  <c r="C43" i="4" s="1"/>
  <c r="C44" i="4" s="1"/>
  <c r="B39" i="4"/>
  <c r="C39" i="4"/>
  <c r="E59" i="4"/>
  <c r="I32" i="4"/>
  <c r="D39" i="4"/>
  <c r="K15" i="4"/>
  <c r="J62" i="4"/>
  <c r="J65" i="4" s="1"/>
  <c r="E39" i="4"/>
  <c r="F39" i="4"/>
  <c r="F43" i="4" s="1"/>
  <c r="F44" i="4" s="1"/>
  <c r="D31" i="4"/>
  <c r="H39" i="4"/>
  <c r="F52" i="4"/>
  <c r="F32" i="4"/>
  <c r="B31" i="4"/>
  <c r="F61" i="4"/>
  <c r="I59" i="4"/>
  <c r="D32" i="4"/>
  <c r="B59" i="4"/>
  <c r="H61" i="4"/>
  <c r="C65" i="4"/>
  <c r="I43" i="4"/>
  <c r="C31" i="4"/>
  <c r="B32" i="4"/>
  <c r="C59" i="4"/>
  <c r="F59" i="4"/>
  <c r="I31" i="4"/>
  <c r="G61" i="4"/>
  <c r="C52" i="4"/>
  <c r="D65" i="4"/>
  <c r="G32" i="4"/>
  <c r="G43" i="4" s="1"/>
  <c r="E52" i="4"/>
  <c r="B65" i="4"/>
  <c r="D61" i="4"/>
  <c r="E43" i="4"/>
  <c r="E44" i="4" s="1"/>
  <c r="D59" i="4"/>
  <c r="H43" i="4"/>
  <c r="H44" i="4" s="1"/>
  <c r="E61" i="4"/>
  <c r="C46" i="4"/>
  <c r="C49" i="4" s="1"/>
  <c r="C7" i="4"/>
  <c r="C11" i="4" s="1"/>
  <c r="C14" i="4" s="1"/>
  <c r="C16" i="4" s="1"/>
  <c r="C13" i="3"/>
  <c r="C9" i="4" s="1"/>
  <c r="C12" i="3"/>
  <c r="C8" i="4" s="1"/>
  <c r="I67" i="3"/>
  <c r="H5" i="3"/>
  <c r="H68" i="3"/>
  <c r="H67" i="3"/>
  <c r="I3" i="4"/>
  <c r="I24" i="4" s="1"/>
  <c r="I4" i="3"/>
  <c r="I4" i="4" s="1"/>
  <c r="G68" i="3"/>
  <c r="G5" i="3"/>
  <c r="E210" i="3"/>
  <c r="E209" i="3"/>
  <c r="C9" i="3"/>
  <c r="C15" i="3"/>
  <c r="C16" i="3"/>
  <c r="C18" i="3"/>
  <c r="J23" i="3"/>
  <c r="K23" i="3" s="1"/>
  <c r="L23" i="3" s="1"/>
  <c r="M23" i="3" s="1"/>
  <c r="C36" i="3"/>
  <c r="C39" i="3"/>
  <c r="C40" i="3"/>
  <c r="C43" i="3"/>
  <c r="C46" i="3"/>
  <c r="C49" i="3"/>
  <c r="G70" i="3"/>
  <c r="G71" i="3"/>
  <c r="G72" i="3"/>
  <c r="C77" i="3"/>
  <c r="C84" i="3"/>
  <c r="B84" i="3"/>
  <c r="B112" i="3"/>
  <c r="I125" i="3"/>
  <c r="I127" i="3" s="1"/>
  <c r="J124" i="3"/>
  <c r="K124" i="3" s="1"/>
  <c r="L124" i="3" s="1"/>
  <c r="M124" i="3" s="1"/>
  <c r="N124" i="3" s="1"/>
  <c r="D130" i="3"/>
  <c r="D129" i="3"/>
  <c r="F148" i="3"/>
  <c r="F149" i="3"/>
  <c r="E165" i="3"/>
  <c r="F165" i="3"/>
  <c r="C196" i="3"/>
  <c r="C197" i="3"/>
  <c r="B47" i="4"/>
  <c r="B6" i="4"/>
  <c r="I22" i="3"/>
  <c r="C47" i="4"/>
  <c r="C6" i="4"/>
  <c r="D4" i="3"/>
  <c r="D4" i="4" s="1"/>
  <c r="D7" i="3"/>
  <c r="D47" i="4"/>
  <c r="D6" i="4"/>
  <c r="D9" i="3"/>
  <c r="D10" i="3"/>
  <c r="D46" i="4"/>
  <c r="D49" i="4" s="1"/>
  <c r="D7" i="4"/>
  <c r="D11" i="4" s="1"/>
  <c r="D14" i="4" s="1"/>
  <c r="D16" i="4" s="1"/>
  <c r="D12" i="3"/>
  <c r="D8" i="4" s="1"/>
  <c r="D13" i="3"/>
  <c r="D9" i="4" s="1"/>
  <c r="D15" i="3"/>
  <c r="D16" i="3"/>
  <c r="D18" i="3"/>
  <c r="I32" i="3"/>
  <c r="I34" i="3" s="1"/>
  <c r="D36" i="3"/>
  <c r="D39" i="3"/>
  <c r="D40" i="3"/>
  <c r="D43" i="3"/>
  <c r="D46" i="3"/>
  <c r="D49" i="3"/>
  <c r="J54" i="3"/>
  <c r="B68" i="3"/>
  <c r="H70" i="3"/>
  <c r="H71" i="3"/>
  <c r="H72" i="3"/>
  <c r="H75" i="3"/>
  <c r="H74" i="3"/>
  <c r="B75" i="3"/>
  <c r="D78" i="3"/>
  <c r="H81" i="3"/>
  <c r="B81" i="3"/>
  <c r="E129" i="3"/>
  <c r="G148" i="3"/>
  <c r="G149" i="3"/>
  <c r="B44" i="3"/>
  <c r="F71" i="3"/>
  <c r="G80" i="3"/>
  <c r="E6" i="4"/>
  <c r="E47" i="4"/>
  <c r="E9" i="3"/>
  <c r="E11" i="3"/>
  <c r="E15" i="3"/>
  <c r="E16" i="3"/>
  <c r="E18" i="3"/>
  <c r="E36" i="3"/>
  <c r="E39" i="3"/>
  <c r="E40" i="3"/>
  <c r="E43" i="3"/>
  <c r="E46" i="3"/>
  <c r="E49" i="3"/>
  <c r="E66" i="3"/>
  <c r="C68" i="3"/>
  <c r="I70" i="3"/>
  <c r="I71" i="3"/>
  <c r="C75" i="3"/>
  <c r="I78" i="3"/>
  <c r="C81" i="3"/>
  <c r="G102" i="3"/>
  <c r="D121" i="3"/>
  <c r="D123" i="3" s="1"/>
  <c r="D142" i="3"/>
  <c r="E148" i="3"/>
  <c r="E149" i="3"/>
  <c r="B6" i="3"/>
  <c r="B10" i="3"/>
  <c r="B15" i="3"/>
  <c r="B19" i="3"/>
  <c r="C4" i="3"/>
  <c r="C4" i="4" s="1"/>
  <c r="E10" i="3"/>
  <c r="F4" i="3"/>
  <c r="F4" i="4" s="1"/>
  <c r="F8" i="3"/>
  <c r="F11" i="3"/>
  <c r="F15" i="3"/>
  <c r="F16" i="3"/>
  <c r="F17" i="3"/>
  <c r="F36" i="3"/>
  <c r="F39" i="3"/>
  <c r="F40" i="3"/>
  <c r="F43" i="3"/>
  <c r="F46" i="3"/>
  <c r="F49" i="3"/>
  <c r="I53" i="3"/>
  <c r="F66" i="3"/>
  <c r="D68" i="3"/>
  <c r="B70" i="3"/>
  <c r="B71" i="3"/>
  <c r="E75" i="3"/>
  <c r="E81" i="3"/>
  <c r="K89" i="3"/>
  <c r="L89" i="3" s="1"/>
  <c r="M89" i="3" s="1"/>
  <c r="N89" i="3" s="1"/>
  <c r="J83" i="3"/>
  <c r="I106" i="3"/>
  <c r="E112" i="3"/>
  <c r="F129" i="3"/>
  <c r="G137" i="3"/>
  <c r="J157" i="3"/>
  <c r="J147" i="3"/>
  <c r="J148" i="3" s="1"/>
  <c r="I149" i="3"/>
  <c r="I148" i="3"/>
  <c r="F161" i="3"/>
  <c r="B9" i="3"/>
  <c r="B16" i="3"/>
  <c r="G143" i="3"/>
  <c r="G3" i="3"/>
  <c r="G13" i="3" s="1"/>
  <c r="G9" i="4" s="1"/>
  <c r="G6" i="4"/>
  <c r="G47" i="4"/>
  <c r="G9" i="3"/>
  <c r="G7" i="4"/>
  <c r="G11" i="4" s="1"/>
  <c r="G14" i="4" s="1"/>
  <c r="G16" i="4" s="1"/>
  <c r="G46" i="4"/>
  <c r="G49" i="4" s="1"/>
  <c r="G12" i="3"/>
  <c r="G8" i="4" s="1"/>
  <c r="G15" i="3"/>
  <c r="G18" i="3"/>
  <c r="G36" i="3"/>
  <c r="G39" i="3"/>
  <c r="G40" i="3"/>
  <c r="G43" i="3"/>
  <c r="G46" i="3"/>
  <c r="G49" i="3"/>
  <c r="C70" i="3"/>
  <c r="C71" i="3"/>
  <c r="F75" i="3"/>
  <c r="F81" i="3"/>
  <c r="M85" i="3"/>
  <c r="L83" i="3"/>
  <c r="I98" i="3"/>
  <c r="I99" i="3"/>
  <c r="B106" i="3"/>
  <c r="G105" i="3"/>
  <c r="G129" i="3"/>
  <c r="G130" i="3"/>
  <c r="K157" i="3"/>
  <c r="K147" i="3"/>
  <c r="K148" i="3" s="1"/>
  <c r="L145" i="3"/>
  <c r="F151" i="3"/>
  <c r="C162" i="3"/>
  <c r="G194" i="3"/>
  <c r="G193" i="3"/>
  <c r="B46" i="4"/>
  <c r="B49" i="4" s="1"/>
  <c r="B7" i="4"/>
  <c r="B11" i="4" s="1"/>
  <c r="B36" i="3"/>
  <c r="C190" i="3"/>
  <c r="C191" i="3"/>
  <c r="H47" i="4"/>
  <c r="H6" i="4"/>
  <c r="H9" i="3"/>
  <c r="H10" i="3"/>
  <c r="H46" i="4"/>
  <c r="H49" i="4" s="1"/>
  <c r="H7" i="4"/>
  <c r="H11" i="4" s="1"/>
  <c r="H14" i="4" s="1"/>
  <c r="H16" i="4" s="1"/>
  <c r="H12" i="3"/>
  <c r="H8" i="4" s="1"/>
  <c r="H13" i="3"/>
  <c r="H9" i="4" s="1"/>
  <c r="H15" i="3"/>
  <c r="H16" i="3"/>
  <c r="H18" i="3"/>
  <c r="J27" i="3"/>
  <c r="K27" i="3" s="1"/>
  <c r="L27" i="3" s="1"/>
  <c r="M27" i="3" s="1"/>
  <c r="N27" i="3" s="1"/>
  <c r="H36" i="3"/>
  <c r="H39" i="3"/>
  <c r="H40" i="3"/>
  <c r="H43" i="3"/>
  <c r="H46" i="3"/>
  <c r="H49" i="3"/>
  <c r="D70" i="3"/>
  <c r="D71" i="3"/>
  <c r="D75" i="3"/>
  <c r="D74" i="3"/>
  <c r="H78" i="3"/>
  <c r="D81" i="3"/>
  <c r="I109" i="3"/>
  <c r="H129" i="3"/>
  <c r="G140" i="3"/>
  <c r="H148" i="3"/>
  <c r="F152" i="3"/>
  <c r="B4" i="3"/>
  <c r="B4" i="4" s="1"/>
  <c r="B7" i="3"/>
  <c r="B13" i="3"/>
  <c r="B9" i="4" s="1"/>
  <c r="I47" i="4"/>
  <c r="I6" i="4"/>
  <c r="I9" i="3"/>
  <c r="I10" i="3"/>
  <c r="I46" i="4"/>
  <c r="I49" i="4" s="1"/>
  <c r="I7" i="4"/>
  <c r="I11" i="4" s="1"/>
  <c r="I14" i="4" s="1"/>
  <c r="I16" i="4" s="1"/>
  <c r="I12" i="3"/>
  <c r="I8" i="4" s="1"/>
  <c r="I13" i="3"/>
  <c r="I9" i="4" s="1"/>
  <c r="I15" i="3"/>
  <c r="I16" i="3"/>
  <c r="I18" i="3"/>
  <c r="I36" i="3"/>
  <c r="I39" i="3"/>
  <c r="I40" i="3"/>
  <c r="I43" i="3"/>
  <c r="I46" i="3"/>
  <c r="I49" i="3"/>
  <c r="E70" i="3"/>
  <c r="E71" i="3"/>
  <c r="I75" i="3"/>
  <c r="G97" i="3"/>
  <c r="B109" i="3"/>
  <c r="L116" i="3"/>
  <c r="K114" i="3"/>
  <c r="D136" i="3"/>
  <c r="F153" i="3"/>
  <c r="H99" i="3"/>
  <c r="H101" i="3"/>
  <c r="H102" i="3"/>
  <c r="H105" i="3"/>
  <c r="H108" i="3"/>
  <c r="H111" i="3"/>
  <c r="F130" i="3"/>
  <c r="E132" i="3"/>
  <c r="E133" i="3"/>
  <c r="E136" i="3"/>
  <c r="E137" i="3"/>
  <c r="E139" i="3"/>
  <c r="E142" i="3"/>
  <c r="D149" i="3"/>
  <c r="G151" i="3"/>
  <c r="G152" i="3"/>
  <c r="G153" i="3"/>
  <c r="G155" i="3"/>
  <c r="G158" i="3"/>
  <c r="G161" i="3"/>
  <c r="H171" i="3"/>
  <c r="H173" i="3" s="1"/>
  <c r="D191" i="3"/>
  <c r="H194" i="3"/>
  <c r="D197" i="3"/>
  <c r="C203" i="3"/>
  <c r="C202" i="3"/>
  <c r="I203" i="3"/>
  <c r="I202" i="3"/>
  <c r="I65" i="4"/>
  <c r="J61" i="4"/>
  <c r="D77" i="3"/>
  <c r="D80" i="3"/>
  <c r="K83" i="3"/>
  <c r="F84" i="3"/>
  <c r="D86" i="3"/>
  <c r="D88" i="3" s="1"/>
  <c r="B90" i="3"/>
  <c r="B92" i="3" s="1"/>
  <c r="H94" i="3"/>
  <c r="H96" i="3" s="1"/>
  <c r="C97" i="3"/>
  <c r="F98" i="3"/>
  <c r="I101" i="3"/>
  <c r="I102" i="3"/>
  <c r="I105" i="3"/>
  <c r="I108" i="3"/>
  <c r="I111" i="3"/>
  <c r="I112" i="3"/>
  <c r="D115" i="3"/>
  <c r="B117" i="3"/>
  <c r="B119" i="3" s="1"/>
  <c r="F125" i="3"/>
  <c r="F127" i="3" s="1"/>
  <c r="I128" i="3"/>
  <c r="F132" i="3"/>
  <c r="F133" i="3"/>
  <c r="F136" i="3"/>
  <c r="F139" i="3"/>
  <c r="F142" i="3"/>
  <c r="H146" i="3"/>
  <c r="B148" i="3"/>
  <c r="H151" i="3"/>
  <c r="H152" i="3"/>
  <c r="H155" i="3"/>
  <c r="H158" i="3"/>
  <c r="H161" i="3"/>
  <c r="C182" i="3"/>
  <c r="E191" i="3"/>
  <c r="I194" i="3"/>
  <c r="E197" i="3"/>
  <c r="E216" i="3"/>
  <c r="I61" i="4"/>
  <c r="B99" i="3"/>
  <c r="B101" i="3"/>
  <c r="B102" i="3"/>
  <c r="B105" i="3"/>
  <c r="B108" i="3"/>
  <c r="B111" i="3"/>
  <c r="I121" i="3"/>
  <c r="I123" i="3" s="1"/>
  <c r="J128" i="3"/>
  <c r="H130" i="3"/>
  <c r="G132" i="3"/>
  <c r="G133" i="3"/>
  <c r="G136" i="3"/>
  <c r="G139" i="3"/>
  <c r="G142" i="3"/>
  <c r="I146" i="3"/>
  <c r="I151" i="3"/>
  <c r="I152" i="3"/>
  <c r="I153" i="3"/>
  <c r="I155" i="3"/>
  <c r="I158" i="3"/>
  <c r="J160" i="3"/>
  <c r="I161" i="3"/>
  <c r="I162" i="3"/>
  <c r="H165" i="3"/>
  <c r="G165" i="3"/>
  <c r="G167" i="3"/>
  <c r="G169" i="3" s="1"/>
  <c r="B184" i="3"/>
  <c r="B183" i="3"/>
  <c r="C187" i="3"/>
  <c r="B194" i="3"/>
  <c r="C193" i="3"/>
  <c r="I200" i="3"/>
  <c r="J199" i="3"/>
  <c r="E206" i="3"/>
  <c r="E24" i="4"/>
  <c r="C101" i="3"/>
  <c r="C102" i="3"/>
  <c r="C105" i="3"/>
  <c r="C108" i="3"/>
  <c r="C111" i="3"/>
  <c r="H132" i="3"/>
  <c r="H133" i="3"/>
  <c r="H136" i="3"/>
  <c r="H139" i="3"/>
  <c r="H142" i="3"/>
  <c r="B151" i="3"/>
  <c r="B152" i="3"/>
  <c r="B155" i="3"/>
  <c r="B158" i="3"/>
  <c r="B161" i="3"/>
  <c r="I165" i="3"/>
  <c r="E179" i="3"/>
  <c r="E181" i="3" s="1"/>
  <c r="G203" i="3"/>
  <c r="G202" i="3"/>
  <c r="I210" i="3"/>
  <c r="F24" i="4"/>
  <c r="D101" i="3"/>
  <c r="D102" i="3"/>
  <c r="D105" i="3"/>
  <c r="D108" i="3"/>
  <c r="D111" i="3"/>
  <c r="I132" i="3"/>
  <c r="I133" i="3"/>
  <c r="I136" i="3"/>
  <c r="I139" i="3"/>
  <c r="J141" i="3"/>
  <c r="I142" i="3"/>
  <c r="I143" i="3"/>
  <c r="C151" i="3"/>
  <c r="C152" i="3"/>
  <c r="C153" i="3"/>
  <c r="C155" i="3"/>
  <c r="C158" i="3"/>
  <c r="C161" i="3"/>
  <c r="J164" i="3"/>
  <c r="E184" i="3"/>
  <c r="C188" i="3"/>
  <c r="H191" i="3"/>
  <c r="D194" i="3"/>
  <c r="H197" i="3"/>
  <c r="E201" i="3"/>
  <c r="H77" i="3"/>
  <c r="H80" i="3"/>
  <c r="H86" i="3"/>
  <c r="H88" i="3" s="1"/>
  <c r="F90" i="3"/>
  <c r="F92" i="3" s="1"/>
  <c r="D94" i="3"/>
  <c r="D96" i="3" s="1"/>
  <c r="E101" i="3"/>
  <c r="E102" i="3"/>
  <c r="E105" i="3"/>
  <c r="E108" i="3"/>
  <c r="E111" i="3"/>
  <c r="H115" i="3"/>
  <c r="F117" i="3"/>
  <c r="F119" i="3" s="1"/>
  <c r="B132" i="3"/>
  <c r="B133" i="3"/>
  <c r="B136" i="3"/>
  <c r="B139" i="3"/>
  <c r="B142" i="3"/>
  <c r="D151" i="3"/>
  <c r="D152" i="3"/>
  <c r="D155" i="3"/>
  <c r="D158" i="3"/>
  <c r="D161" i="3"/>
  <c r="F183" i="3"/>
  <c r="F184" i="3"/>
  <c r="G182" i="3"/>
  <c r="G188" i="3"/>
  <c r="I191" i="3"/>
  <c r="E194" i="3"/>
  <c r="I197" i="3"/>
  <c r="I213" i="3"/>
  <c r="H24" i="4"/>
  <c r="F101" i="3"/>
  <c r="F102" i="3"/>
  <c r="F105" i="3"/>
  <c r="F108" i="3"/>
  <c r="F111" i="3"/>
  <c r="C132" i="3"/>
  <c r="C133" i="3"/>
  <c r="C136" i="3"/>
  <c r="C139" i="3"/>
  <c r="C142" i="3"/>
  <c r="E151" i="3"/>
  <c r="E152" i="3"/>
  <c r="E155" i="3"/>
  <c r="E158" i="3"/>
  <c r="E161" i="3"/>
  <c r="D165" i="3"/>
  <c r="C167" i="3"/>
  <c r="C169" i="3" s="1"/>
  <c r="H183" i="3"/>
  <c r="H184" i="3"/>
  <c r="B191" i="3"/>
  <c r="B197" i="3"/>
  <c r="D186" i="3"/>
  <c r="D187" i="3"/>
  <c r="D190" i="3"/>
  <c r="D193" i="3"/>
  <c r="D196" i="3"/>
  <c r="F205" i="3"/>
  <c r="F206" i="3"/>
  <c r="F209" i="3"/>
  <c r="F212" i="3"/>
  <c r="F215" i="3"/>
  <c r="B24" i="4"/>
  <c r="G52" i="4"/>
  <c r="B61" i="4"/>
  <c r="E65" i="4"/>
  <c r="I171" i="3"/>
  <c r="I173" i="3" s="1"/>
  <c r="J178" i="3"/>
  <c r="K178" i="3" s="1"/>
  <c r="E186" i="3"/>
  <c r="E187" i="3"/>
  <c r="E190" i="3"/>
  <c r="E193" i="3"/>
  <c r="E196" i="3"/>
  <c r="F200" i="3"/>
  <c r="H202" i="3"/>
  <c r="G205" i="3"/>
  <c r="G206" i="3"/>
  <c r="G209" i="3"/>
  <c r="G212" i="3"/>
  <c r="G215" i="3"/>
  <c r="C24" i="4"/>
  <c r="H52" i="4"/>
  <c r="C61" i="4"/>
  <c r="F65" i="4"/>
  <c r="F186" i="3"/>
  <c r="F187" i="3"/>
  <c r="F190" i="3"/>
  <c r="F193" i="3"/>
  <c r="F196" i="3"/>
  <c r="H205" i="3"/>
  <c r="H206" i="3"/>
  <c r="H209" i="3"/>
  <c r="H212" i="3"/>
  <c r="H215" i="3"/>
  <c r="D24" i="4"/>
  <c r="I52" i="4"/>
  <c r="G65" i="4"/>
  <c r="I205" i="3"/>
  <c r="I206" i="3"/>
  <c r="I207" i="3"/>
  <c r="I209" i="3"/>
  <c r="I212" i="3"/>
  <c r="I215" i="3"/>
  <c r="I216" i="3"/>
  <c r="H65" i="4"/>
  <c r="H186" i="3"/>
  <c r="H187" i="3"/>
  <c r="H190" i="3"/>
  <c r="H193" i="3"/>
  <c r="H196" i="3"/>
  <c r="B205" i="3"/>
  <c r="B206" i="3"/>
  <c r="B209" i="3"/>
  <c r="B212" i="3"/>
  <c r="B215" i="3"/>
  <c r="I186" i="3"/>
  <c r="I187" i="3"/>
  <c r="I190" i="3"/>
  <c r="I193" i="3"/>
  <c r="I196" i="3"/>
  <c r="D202" i="3"/>
  <c r="C205" i="3"/>
  <c r="C206" i="3"/>
  <c r="C209" i="3"/>
  <c r="C212" i="3"/>
  <c r="C215" i="3"/>
  <c r="B186" i="3"/>
  <c r="B187" i="3"/>
  <c r="B190" i="3"/>
  <c r="B193" i="3"/>
  <c r="B196" i="3"/>
  <c r="D205" i="3"/>
  <c r="D206" i="3"/>
  <c r="D209" i="3"/>
  <c r="D212" i="3"/>
  <c r="D215" i="3"/>
  <c r="J21" i="3"/>
  <c r="J158" i="3"/>
  <c r="L15" i="4" l="1"/>
  <c r="K62" i="4"/>
  <c r="K65" i="4" s="1"/>
  <c r="I19" i="4"/>
  <c r="I17" i="4" s="1"/>
  <c r="I18" i="4" s="1"/>
  <c r="H19" i="4"/>
  <c r="H17" i="4" s="1"/>
  <c r="G44" i="4"/>
  <c r="G19" i="4"/>
  <c r="G17" i="4" s="1"/>
  <c r="B43" i="4"/>
  <c r="B44" i="4" s="1"/>
  <c r="D19" i="4"/>
  <c r="D17" i="4" s="1"/>
  <c r="D18" i="4" s="1"/>
  <c r="G13" i="4"/>
  <c r="D43" i="4"/>
  <c r="D44" i="4" s="1"/>
  <c r="C19" i="4"/>
  <c r="C17" i="4" s="1"/>
  <c r="C13" i="4"/>
  <c r="B55" i="4"/>
  <c r="B56" i="4" s="1"/>
  <c r="B67" i="4" s="1"/>
  <c r="B69" i="4" s="1"/>
  <c r="D13" i="4"/>
  <c r="D55" i="4"/>
  <c r="I44" i="4"/>
  <c r="H13" i="4"/>
  <c r="I13" i="4"/>
  <c r="L157" i="3"/>
  <c r="L147" i="3"/>
  <c r="L148" i="3" s="1"/>
  <c r="M145" i="3"/>
  <c r="J107" i="3"/>
  <c r="J84" i="3"/>
  <c r="J97" i="3"/>
  <c r="J98" i="3" s="1"/>
  <c r="G5" i="4"/>
  <c r="G7" i="3"/>
  <c r="G183" i="3"/>
  <c r="G184" i="3"/>
  <c r="C55" i="4"/>
  <c r="C56" i="4" s="1"/>
  <c r="C67" i="4" s="1"/>
  <c r="G19" i="3"/>
  <c r="K164" i="3"/>
  <c r="L178" i="3"/>
  <c r="L21" i="3"/>
  <c r="J201" i="3"/>
  <c r="J211" i="3"/>
  <c r="J214" i="3" s="1"/>
  <c r="K199" i="3"/>
  <c r="C184" i="3"/>
  <c r="D183" i="3"/>
  <c r="C183" i="3"/>
  <c r="G98" i="3"/>
  <c r="G99" i="3"/>
  <c r="I54" i="4"/>
  <c r="G16" i="3"/>
  <c r="G55" i="4"/>
  <c r="G56" i="4" s="1"/>
  <c r="G67" i="4" s="1"/>
  <c r="K54" i="3"/>
  <c r="J52" i="3"/>
  <c r="H5" i="4"/>
  <c r="H7" i="3"/>
  <c r="H6" i="3"/>
  <c r="K21" i="3"/>
  <c r="J129" i="3"/>
  <c r="C98" i="3"/>
  <c r="C99" i="3"/>
  <c r="D98" i="3"/>
  <c r="C5" i="3"/>
  <c r="H54" i="4"/>
  <c r="H98" i="3"/>
  <c r="F68" i="3"/>
  <c r="F5" i="3"/>
  <c r="F67" i="3"/>
  <c r="F19" i="3"/>
  <c r="F18" i="3"/>
  <c r="G67" i="3"/>
  <c r="J143" i="3"/>
  <c r="J142" i="3"/>
  <c r="J131" i="3"/>
  <c r="J135" i="3" s="1"/>
  <c r="B54" i="4"/>
  <c r="L107" i="3"/>
  <c r="L108" i="3" s="1"/>
  <c r="L97" i="3"/>
  <c r="L84" i="3"/>
  <c r="E202" i="3"/>
  <c r="E203" i="3"/>
  <c r="F202" i="3"/>
  <c r="J161" i="3"/>
  <c r="J150" i="3"/>
  <c r="J154" i="3" s="1"/>
  <c r="J162" i="3"/>
  <c r="I55" i="4"/>
  <c r="I56" i="4" s="1"/>
  <c r="I67" i="4" s="1"/>
  <c r="N85" i="3"/>
  <c r="N83" i="3" s="1"/>
  <c r="M83" i="3"/>
  <c r="G54" i="4"/>
  <c r="F7" i="4"/>
  <c r="F11" i="4" s="1"/>
  <c r="F46" i="4"/>
  <c r="F49" i="4" s="1"/>
  <c r="F13" i="3"/>
  <c r="F9" i="4" s="1"/>
  <c r="F12" i="3"/>
  <c r="F8" i="4" s="1"/>
  <c r="E7" i="4"/>
  <c r="E11" i="4" s="1"/>
  <c r="E46" i="4"/>
  <c r="E49" i="4" s="1"/>
  <c r="E12" i="3"/>
  <c r="E8" i="4" s="1"/>
  <c r="E13" i="3"/>
  <c r="E9" i="4" s="1"/>
  <c r="B14" i="4"/>
  <c r="B13" i="4"/>
  <c r="G3" i="4"/>
  <c r="G24" i="4" s="1"/>
  <c r="G4" i="3"/>
  <c r="G4" i="4" s="1"/>
  <c r="E68" i="3"/>
  <c r="E5" i="3"/>
  <c r="E67" i="3"/>
  <c r="I129" i="3"/>
  <c r="I130" i="3"/>
  <c r="I5" i="3"/>
  <c r="K138" i="3"/>
  <c r="K139" i="3" s="1"/>
  <c r="K128" i="3"/>
  <c r="K129" i="3" s="1"/>
  <c r="K115" i="3"/>
  <c r="H55" i="4"/>
  <c r="H56" i="4" s="1"/>
  <c r="H67" i="4" s="1"/>
  <c r="F6" i="4"/>
  <c r="F47" i="4"/>
  <c r="F10" i="3"/>
  <c r="F9" i="3"/>
  <c r="J165" i="3"/>
  <c r="J192" i="3"/>
  <c r="J182" i="3"/>
  <c r="J183" i="3" s="1"/>
  <c r="K107" i="3"/>
  <c r="K108" i="3" s="1"/>
  <c r="K84" i="3"/>
  <c r="K97" i="3"/>
  <c r="K98" i="3" s="1"/>
  <c r="L114" i="3"/>
  <c r="M116" i="3"/>
  <c r="H4" i="3"/>
  <c r="H4" i="4" s="1"/>
  <c r="G10" i="3"/>
  <c r="E55" i="4"/>
  <c r="D56" i="4"/>
  <c r="D67" i="4" s="1"/>
  <c r="D54" i="4"/>
  <c r="C54" i="4"/>
  <c r="J45" i="3"/>
  <c r="J3" i="3"/>
  <c r="J22" i="3"/>
  <c r="J35" i="3"/>
  <c r="N23" i="3"/>
  <c r="N21" i="3" s="1"/>
  <c r="M21" i="3"/>
  <c r="L45" i="3"/>
  <c r="L35" i="3"/>
  <c r="L22" i="3"/>
  <c r="K22" i="3"/>
  <c r="K45" i="3"/>
  <c r="K35" i="3"/>
  <c r="K158" i="3"/>
  <c r="H18" i="4" l="1"/>
  <c r="B16" i="4"/>
  <c r="B19" i="4"/>
  <c r="M15" i="4"/>
  <c r="L62" i="4"/>
  <c r="L65" i="4" s="1"/>
  <c r="F55" i="4"/>
  <c r="F56" i="4" s="1"/>
  <c r="F67" i="4" s="1"/>
  <c r="L98" i="3"/>
  <c r="M114" i="3"/>
  <c r="N116" i="3"/>
  <c r="N114" i="3" s="1"/>
  <c r="I5" i="4"/>
  <c r="I7" i="3"/>
  <c r="I6" i="3"/>
  <c r="F54" i="4"/>
  <c r="J156" i="3"/>
  <c r="J155" i="3"/>
  <c r="C5" i="4"/>
  <c r="C6" i="3"/>
  <c r="C7" i="3"/>
  <c r="D6" i="3"/>
  <c r="M178" i="3"/>
  <c r="L164" i="3"/>
  <c r="L138" i="3"/>
  <c r="L139" i="3" s="1"/>
  <c r="L128" i="3"/>
  <c r="L129" i="3" s="1"/>
  <c r="L115" i="3"/>
  <c r="F14" i="4"/>
  <c r="F13" i="4"/>
  <c r="K160" i="3"/>
  <c r="J76" i="3"/>
  <c r="J53" i="3"/>
  <c r="J66" i="3"/>
  <c r="J67" i="3" s="1"/>
  <c r="K182" i="3"/>
  <c r="K192" i="3"/>
  <c r="K193" i="3" s="1"/>
  <c r="K165" i="3"/>
  <c r="L54" i="3"/>
  <c r="K52" i="3"/>
  <c r="J136" i="3"/>
  <c r="J137" i="3"/>
  <c r="F5" i="4"/>
  <c r="F7" i="3"/>
  <c r="F6" i="3"/>
  <c r="J108" i="3"/>
  <c r="J110" i="3"/>
  <c r="E5" i="4"/>
  <c r="E6" i="3"/>
  <c r="E7" i="3"/>
  <c r="E56" i="4"/>
  <c r="E67" i="4" s="1"/>
  <c r="E54" i="4"/>
  <c r="M107" i="3"/>
  <c r="M108" i="3" s="1"/>
  <c r="M97" i="3"/>
  <c r="M98" i="3" s="1"/>
  <c r="M84" i="3"/>
  <c r="K211" i="3"/>
  <c r="K214" i="3" s="1"/>
  <c r="L199" i="3"/>
  <c r="K201" i="3"/>
  <c r="M157" i="3"/>
  <c r="N145" i="3"/>
  <c r="M147" i="3"/>
  <c r="M148" i="3" s="1"/>
  <c r="B70" i="4"/>
  <c r="C68" i="4"/>
  <c r="C69" i="4" s="1"/>
  <c r="B71" i="4"/>
  <c r="B51" i="4" s="1"/>
  <c r="E14" i="4"/>
  <c r="E13" i="4"/>
  <c r="N107" i="3"/>
  <c r="N108" i="3" s="1"/>
  <c r="N97" i="3"/>
  <c r="N98" i="3" s="1"/>
  <c r="N84" i="3"/>
  <c r="J215" i="3"/>
  <c r="J216" i="3"/>
  <c r="J204" i="3"/>
  <c r="J193" i="3"/>
  <c r="J195" i="3"/>
  <c r="K141" i="3"/>
  <c r="K202" i="3"/>
  <c r="J202" i="3"/>
  <c r="J208" i="3"/>
  <c r="G6" i="3"/>
  <c r="L46" i="3"/>
  <c r="J4" i="3"/>
  <c r="J3" i="4"/>
  <c r="J46" i="3"/>
  <c r="J48" i="3"/>
  <c r="J5" i="3"/>
  <c r="J36" i="3"/>
  <c r="N35" i="3"/>
  <c r="N45" i="3"/>
  <c r="N22" i="3"/>
  <c r="K46" i="3"/>
  <c r="M45" i="3"/>
  <c r="M46" i="3" s="1"/>
  <c r="M35" i="3"/>
  <c r="M22" i="3"/>
  <c r="K36" i="3"/>
  <c r="L36" i="3"/>
  <c r="L158" i="3"/>
  <c r="N15" i="4" l="1"/>
  <c r="N62" i="4" s="1"/>
  <c r="N65" i="4" s="1"/>
  <c r="M62" i="4"/>
  <c r="M65" i="4" s="1"/>
  <c r="F16" i="4"/>
  <c r="F19" i="4"/>
  <c r="F17" i="4" s="1"/>
  <c r="E16" i="4"/>
  <c r="E19" i="4"/>
  <c r="E17" i="4" s="1"/>
  <c r="E18" i="4" s="1"/>
  <c r="J23" i="4"/>
  <c r="K4" i="4"/>
  <c r="K215" i="3"/>
  <c r="K216" i="3"/>
  <c r="K204" i="3"/>
  <c r="K208" i="3" s="1"/>
  <c r="K209" i="3" s="1"/>
  <c r="J77" i="3"/>
  <c r="J79" i="3"/>
  <c r="N178" i="3"/>
  <c r="N164" i="3" s="1"/>
  <c r="M164" i="3"/>
  <c r="K142" i="3"/>
  <c r="K143" i="3"/>
  <c r="K131" i="3"/>
  <c r="K135" i="3" s="1"/>
  <c r="J112" i="3"/>
  <c r="J100" i="3"/>
  <c r="J104" i="3" s="1"/>
  <c r="K110" i="3"/>
  <c r="J111" i="3"/>
  <c r="K76" i="3"/>
  <c r="K77" i="3" s="1"/>
  <c r="K53" i="3"/>
  <c r="K66" i="3"/>
  <c r="K3" i="3"/>
  <c r="K4" i="3" s="1"/>
  <c r="K161" i="3"/>
  <c r="K162" i="3"/>
  <c r="K150" i="3"/>
  <c r="K154" i="3" s="1"/>
  <c r="J197" i="3"/>
  <c r="J196" i="3"/>
  <c r="J185" i="3"/>
  <c r="J189" i="3" s="1"/>
  <c r="M54" i="3"/>
  <c r="L52" i="3"/>
  <c r="C70" i="4"/>
  <c r="D68" i="4"/>
  <c r="D69" i="4" s="1"/>
  <c r="C71" i="4"/>
  <c r="C51" i="4" s="1"/>
  <c r="N138" i="3"/>
  <c r="N128" i="3"/>
  <c r="N115" i="3"/>
  <c r="K183" i="3"/>
  <c r="M138" i="3"/>
  <c r="M139" i="3" s="1"/>
  <c r="M128" i="3"/>
  <c r="M129" i="3" s="1"/>
  <c r="M115" i="3"/>
  <c r="N157" i="3"/>
  <c r="N147" i="3"/>
  <c r="N148" i="3" s="1"/>
  <c r="J209" i="3"/>
  <c r="J210" i="3"/>
  <c r="L211" i="3"/>
  <c r="L214" i="3" s="1"/>
  <c r="L201" i="3"/>
  <c r="L202" i="3" s="1"/>
  <c r="M199" i="3"/>
  <c r="L182" i="3"/>
  <c r="L183" i="3" s="1"/>
  <c r="L165" i="3"/>
  <c r="L192" i="3"/>
  <c r="L193" i="3" s="1"/>
  <c r="J5" i="4"/>
  <c r="J7" i="3"/>
  <c r="J6" i="3"/>
  <c r="J38" i="3"/>
  <c r="J50" i="3"/>
  <c r="J49" i="3"/>
  <c r="J17" i="3"/>
  <c r="J4" i="4"/>
  <c r="N46" i="3"/>
  <c r="M36" i="3"/>
  <c r="N36" i="3"/>
  <c r="K210" i="3"/>
  <c r="M158" i="3"/>
  <c r="F18" i="4" l="1"/>
  <c r="G18" i="4"/>
  <c r="K52" i="4"/>
  <c r="J52" i="4"/>
  <c r="L215" i="3"/>
  <c r="L204" i="3"/>
  <c r="L208" i="3" s="1"/>
  <c r="L216" i="3"/>
  <c r="M214" i="3"/>
  <c r="L76" i="3"/>
  <c r="L77" i="3" s="1"/>
  <c r="L53" i="3"/>
  <c r="L66" i="3"/>
  <c r="L3" i="3"/>
  <c r="L4" i="3" s="1"/>
  <c r="J105" i="3"/>
  <c r="J106" i="3"/>
  <c r="N192" i="3"/>
  <c r="N165" i="3"/>
  <c r="N182" i="3"/>
  <c r="N54" i="3"/>
  <c r="N52" i="3" s="1"/>
  <c r="M52" i="3"/>
  <c r="J69" i="3"/>
  <c r="J73" i="3" s="1"/>
  <c r="J80" i="3"/>
  <c r="J81" i="3"/>
  <c r="K111" i="3"/>
  <c r="K100" i="3"/>
  <c r="K104" i="3" s="1"/>
  <c r="K112" i="3"/>
  <c r="L110" i="3"/>
  <c r="N129" i="3"/>
  <c r="K195" i="3"/>
  <c r="L141" i="3"/>
  <c r="N139" i="3"/>
  <c r="J191" i="3"/>
  <c r="J190" i="3"/>
  <c r="K67" i="3"/>
  <c r="K5" i="3"/>
  <c r="K137" i="3"/>
  <c r="K136" i="3"/>
  <c r="M192" i="3"/>
  <c r="M193" i="3" s="1"/>
  <c r="M182" i="3"/>
  <c r="M183" i="3" s="1"/>
  <c r="M165" i="3"/>
  <c r="K156" i="3"/>
  <c r="K155" i="3"/>
  <c r="N199" i="3"/>
  <c r="M211" i="3"/>
  <c r="M201" i="3"/>
  <c r="M202" i="3" s="1"/>
  <c r="D70" i="4"/>
  <c r="E68" i="4"/>
  <c r="E69" i="4" s="1"/>
  <c r="D71" i="4"/>
  <c r="D51" i="4" s="1"/>
  <c r="L160" i="3"/>
  <c r="J42" i="3"/>
  <c r="K48" i="3"/>
  <c r="J19" i="3"/>
  <c r="J18" i="3"/>
  <c r="M204" i="3"/>
  <c r="M208" i="3" s="1"/>
  <c r="M209" i="3" s="1"/>
  <c r="M210" i="3"/>
  <c r="N158" i="3"/>
  <c r="J14" i="3"/>
  <c r="J16" i="3" s="1"/>
  <c r="J212" i="3"/>
  <c r="N211" i="3" l="1"/>
  <c r="N214" i="3" s="1"/>
  <c r="N201" i="3"/>
  <c r="N202" i="3" s="1"/>
  <c r="L111" i="3"/>
  <c r="L112" i="3"/>
  <c r="M110" i="3"/>
  <c r="L100" i="3"/>
  <c r="L104" i="3" s="1"/>
  <c r="M76" i="3"/>
  <c r="M77" i="3" s="1"/>
  <c r="M53" i="3"/>
  <c r="M66" i="3"/>
  <c r="M3" i="3"/>
  <c r="M4" i="3" s="1"/>
  <c r="L67" i="3"/>
  <c r="L5" i="3"/>
  <c r="K7" i="3"/>
  <c r="K6" i="3"/>
  <c r="K5" i="4"/>
  <c r="L161" i="3"/>
  <c r="L150" i="3"/>
  <c r="L154" i="3" s="1"/>
  <c r="L162" i="3"/>
  <c r="M160" i="3"/>
  <c r="N76" i="3"/>
  <c r="N66" i="3"/>
  <c r="N53" i="3"/>
  <c r="N3" i="3"/>
  <c r="N4" i="3" s="1"/>
  <c r="K105" i="3"/>
  <c r="K106" i="3"/>
  <c r="N183" i="3"/>
  <c r="J74" i="3"/>
  <c r="J75" i="3"/>
  <c r="E70" i="4"/>
  <c r="F68" i="4"/>
  <c r="F69" i="4" s="1"/>
  <c r="E71" i="4"/>
  <c r="E51" i="4" s="1"/>
  <c r="M216" i="3"/>
  <c r="M215" i="3"/>
  <c r="N193" i="3"/>
  <c r="L142" i="3"/>
  <c r="L131" i="3"/>
  <c r="L135" i="3" s="1"/>
  <c r="L143" i="3"/>
  <c r="M141" i="3"/>
  <c r="L210" i="3"/>
  <c r="L209" i="3"/>
  <c r="K196" i="3"/>
  <c r="K197" i="3"/>
  <c r="K185" i="3"/>
  <c r="K189" i="3" s="1"/>
  <c r="L195" i="3"/>
  <c r="K79" i="3"/>
  <c r="K49" i="3"/>
  <c r="K50" i="3"/>
  <c r="K38" i="3"/>
  <c r="J44" i="3"/>
  <c r="J11" i="3"/>
  <c r="J43" i="3"/>
  <c r="N204" i="3"/>
  <c r="N208" i="3" s="1"/>
  <c r="N210" i="3" s="1"/>
  <c r="N209" i="3"/>
  <c r="J15" i="3"/>
  <c r="J53" i="4"/>
  <c r="K14" i="3"/>
  <c r="K16" i="3" s="1"/>
  <c r="K212" i="3"/>
  <c r="J59" i="4" l="1"/>
  <c r="M142" i="3"/>
  <c r="M143" i="3"/>
  <c r="M131" i="3"/>
  <c r="M135" i="3" s="1"/>
  <c r="N141" i="3"/>
  <c r="G68" i="4"/>
  <c r="G69" i="4" s="1"/>
  <c r="F71" i="4"/>
  <c r="F51" i="4" s="1"/>
  <c r="F70" i="4"/>
  <c r="L106" i="3"/>
  <c r="L105" i="3"/>
  <c r="N67" i="3"/>
  <c r="N5" i="3"/>
  <c r="M111" i="3"/>
  <c r="M112" i="3"/>
  <c r="M100" i="3"/>
  <c r="M104" i="3" s="1"/>
  <c r="K80" i="3"/>
  <c r="K69" i="3"/>
  <c r="K73" i="3" s="1"/>
  <c r="K81" i="3"/>
  <c r="L79" i="3"/>
  <c r="L196" i="3"/>
  <c r="L197" i="3"/>
  <c r="L185" i="3"/>
  <c r="M195" i="3" s="1"/>
  <c r="L136" i="3"/>
  <c r="L137" i="3"/>
  <c r="N77" i="3"/>
  <c r="L7" i="3"/>
  <c r="L6" i="3"/>
  <c r="L5" i="4"/>
  <c r="K17" i="3"/>
  <c r="K19" i="3" s="1"/>
  <c r="K190" i="3"/>
  <c r="K191" i="3"/>
  <c r="M161" i="3"/>
  <c r="M162" i="3"/>
  <c r="M150" i="3"/>
  <c r="L155" i="3"/>
  <c r="L156" i="3"/>
  <c r="M67" i="3"/>
  <c r="M5" i="3"/>
  <c r="N216" i="3"/>
  <c r="N215" i="3"/>
  <c r="K42" i="3"/>
  <c r="L48" i="3"/>
  <c r="J46" i="4"/>
  <c r="J49" i="4" s="1"/>
  <c r="J7" i="4"/>
  <c r="K8" i="4" s="1"/>
  <c r="J12" i="3"/>
  <c r="J13" i="3"/>
  <c r="K18" i="3"/>
  <c r="K53" i="4"/>
  <c r="K15" i="3"/>
  <c r="M196" i="3" l="1"/>
  <c r="M197" i="3"/>
  <c r="M185" i="3"/>
  <c r="M105" i="3"/>
  <c r="M106" i="3"/>
  <c r="G70" i="4"/>
  <c r="H68" i="4"/>
  <c r="H69" i="4" s="1"/>
  <c r="G71" i="4"/>
  <c r="G51" i="4" s="1"/>
  <c r="N110" i="3"/>
  <c r="N142" i="3"/>
  <c r="N131" i="3"/>
  <c r="N135" i="3" s="1"/>
  <c r="N143" i="3"/>
  <c r="M7" i="3"/>
  <c r="M5" i="4"/>
  <c r="M6" i="3"/>
  <c r="L80" i="3"/>
  <c r="L81" i="3"/>
  <c r="L69" i="3"/>
  <c r="L73" i="3" s="1"/>
  <c r="N5" i="4"/>
  <c r="N6" i="3"/>
  <c r="N7" i="3"/>
  <c r="M136" i="3"/>
  <c r="M137" i="3"/>
  <c r="L186" i="3"/>
  <c r="L189" i="3"/>
  <c r="M154" i="3"/>
  <c r="N160" i="3"/>
  <c r="K74" i="3"/>
  <c r="K75" i="3"/>
  <c r="J8" i="4"/>
  <c r="L49" i="3"/>
  <c r="L38" i="3"/>
  <c r="L42" i="3" s="1"/>
  <c r="L50" i="3"/>
  <c r="L17" i="3"/>
  <c r="K43" i="3"/>
  <c r="K44" i="3"/>
  <c r="K59" i="4"/>
  <c r="L14" i="3"/>
  <c r="L53" i="4" s="1"/>
  <c r="L212" i="3"/>
  <c r="H70" i="4" l="1"/>
  <c r="I68" i="4"/>
  <c r="I69" i="4" s="1"/>
  <c r="H71" i="4"/>
  <c r="H51" i="4" s="1"/>
  <c r="M155" i="3"/>
  <c r="M156" i="3"/>
  <c r="M79" i="3"/>
  <c r="N137" i="3"/>
  <c r="N136" i="3"/>
  <c r="M186" i="3"/>
  <c r="M189" i="3"/>
  <c r="L75" i="3"/>
  <c r="L74" i="3"/>
  <c r="N195" i="3"/>
  <c r="N161" i="3"/>
  <c r="N162" i="3"/>
  <c r="N150" i="3"/>
  <c r="N154" i="3" s="1"/>
  <c r="L191" i="3"/>
  <c r="L190" i="3"/>
  <c r="N111" i="3"/>
  <c r="N112" i="3"/>
  <c r="N100" i="3"/>
  <c r="N104" i="3" s="1"/>
  <c r="M48" i="3"/>
  <c r="M50" i="3" s="1"/>
  <c r="L19" i="3"/>
  <c r="L18" i="3"/>
  <c r="L43" i="3"/>
  <c r="L44" i="3"/>
  <c r="L16" i="3"/>
  <c r="L59" i="4"/>
  <c r="L15" i="3"/>
  <c r="N155" i="3" l="1"/>
  <c r="N156" i="3"/>
  <c r="M80" i="3"/>
  <c r="M81" i="3"/>
  <c r="M69" i="3"/>
  <c r="M73" i="3" s="1"/>
  <c r="N105" i="3"/>
  <c r="N106" i="3"/>
  <c r="N196" i="3"/>
  <c r="N185" i="3"/>
  <c r="N197" i="3"/>
  <c r="M190" i="3"/>
  <c r="M191" i="3"/>
  <c r="I70" i="4"/>
  <c r="J68" i="4"/>
  <c r="I71" i="4"/>
  <c r="I51" i="4" s="1"/>
  <c r="M17" i="3"/>
  <c r="M19" i="3" s="1"/>
  <c r="M49" i="3"/>
  <c r="M38" i="3"/>
  <c r="M42" i="3" s="1"/>
  <c r="M43" i="3" s="1"/>
  <c r="M212" i="3"/>
  <c r="M14" i="3"/>
  <c r="M16" i="3" s="1"/>
  <c r="N79" i="3" l="1"/>
  <c r="M74" i="3"/>
  <c r="M75" i="3"/>
  <c r="N189" i="3"/>
  <c r="N186" i="3"/>
  <c r="M18" i="3"/>
  <c r="N48" i="3"/>
  <c r="N50" i="3" s="1"/>
  <c r="M44" i="3"/>
  <c r="N38" i="3"/>
  <c r="N42" i="3" s="1"/>
  <c r="M53" i="4"/>
  <c r="M15" i="3"/>
  <c r="N80" i="3" l="1"/>
  <c r="N69" i="3"/>
  <c r="N73" i="3" s="1"/>
  <c r="N81" i="3"/>
  <c r="N191" i="3"/>
  <c r="N190" i="3"/>
  <c r="N49" i="3"/>
  <c r="N17" i="3"/>
  <c r="N18" i="3" s="1"/>
  <c r="N43" i="3"/>
  <c r="N44" i="3"/>
  <c r="M59" i="4"/>
  <c r="N74" i="3" l="1"/>
  <c r="N75" i="3"/>
  <c r="N19" i="3"/>
  <c r="N212" i="3"/>
  <c r="N14" i="3"/>
  <c r="N16" i="3" s="1"/>
  <c r="N53" i="4" l="1"/>
  <c r="N15" i="3"/>
  <c r="N59" i="4" l="1"/>
  <c r="J40" i="3"/>
  <c r="J39" i="3"/>
  <c r="K40" i="3" l="1"/>
  <c r="N39" i="3"/>
  <c r="N40" i="3"/>
  <c r="M40" i="3"/>
  <c r="M39" i="3"/>
  <c r="L39" i="3"/>
  <c r="L40" i="3"/>
  <c r="K39" i="3"/>
  <c r="J70" i="3"/>
  <c r="J71" i="3"/>
  <c r="M70" i="3" l="1"/>
  <c r="M71" i="3"/>
  <c r="K71" i="3"/>
  <c r="L70" i="3"/>
  <c r="L71" i="3"/>
  <c r="N71" i="3"/>
  <c r="N70" i="3"/>
  <c r="K70" i="3"/>
  <c r="J102" i="3"/>
  <c r="J101" i="3"/>
  <c r="N101" i="3" l="1"/>
  <c r="N102" i="3"/>
  <c r="M101" i="3"/>
  <c r="M102" i="3"/>
  <c r="L101" i="3"/>
  <c r="L102" i="3"/>
  <c r="K102" i="3"/>
  <c r="K101" i="3"/>
  <c r="J132" i="3"/>
  <c r="J133" i="3"/>
  <c r="L132" i="3" l="1"/>
  <c r="L133" i="3"/>
  <c r="M132" i="3"/>
  <c r="M133" i="3"/>
  <c r="N132" i="3"/>
  <c r="N133" i="3"/>
  <c r="K133" i="3"/>
  <c r="K132" i="3"/>
  <c r="J152" i="3"/>
  <c r="J151" i="3"/>
  <c r="M151" i="3" l="1"/>
  <c r="M152" i="3"/>
  <c r="N151" i="3"/>
  <c r="N152" i="3"/>
  <c r="K152" i="3"/>
  <c r="L152" i="3"/>
  <c r="L151" i="3"/>
  <c r="K151" i="3"/>
  <c r="J186" i="3"/>
  <c r="J187" i="3"/>
  <c r="M187" i="3" l="1"/>
  <c r="N187" i="3"/>
  <c r="K187" i="3"/>
  <c r="L187" i="3"/>
  <c r="K186" i="3"/>
  <c r="J8" i="3"/>
  <c r="J10" i="3" s="1"/>
  <c r="J47" i="4"/>
  <c r="J56" i="4" s="1"/>
  <c r="J67" i="4" s="1"/>
  <c r="J69" i="4" s="1"/>
  <c r="J21" i="4" s="1"/>
  <c r="J205" i="3"/>
  <c r="J206" i="3"/>
  <c r="K68" i="4" l="1"/>
  <c r="J71" i="4"/>
  <c r="J50" i="4" s="1"/>
  <c r="J10" i="4" s="1"/>
  <c r="J11" i="4" s="1"/>
  <c r="J12" i="4" s="1"/>
  <c r="J14" i="4" s="1"/>
  <c r="J54" i="4"/>
  <c r="J9" i="3"/>
  <c r="J6" i="4"/>
  <c r="J31" i="4" s="1"/>
  <c r="N206" i="3"/>
  <c r="N205" i="3"/>
  <c r="M8" i="3"/>
  <c r="M11" i="3" s="1"/>
  <c r="K206" i="3"/>
  <c r="M205" i="3"/>
  <c r="M206" i="3"/>
  <c r="L206" i="3"/>
  <c r="L205" i="3"/>
  <c r="L8" i="3"/>
  <c r="L47" i="4" s="1"/>
  <c r="K8" i="3"/>
  <c r="K9" i="3" s="1"/>
  <c r="K205" i="3"/>
  <c r="N8" i="3"/>
  <c r="N6" i="4" s="1"/>
  <c r="J16" i="4" l="1"/>
  <c r="J41" i="4"/>
  <c r="J39" i="4" s="1"/>
  <c r="J43" i="4" s="1"/>
  <c r="J44" i="4" s="1"/>
  <c r="N9" i="3"/>
  <c r="M47" i="4"/>
  <c r="K11" i="3"/>
  <c r="K46" i="4" s="1"/>
  <c r="K49" i="4" s="1"/>
  <c r="L9" i="3"/>
  <c r="L10" i="3"/>
  <c r="K10" i="3"/>
  <c r="N10" i="3"/>
  <c r="N11" i="3"/>
  <c r="N12" i="3" s="1"/>
  <c r="N47" i="4"/>
  <c r="M13" i="3"/>
  <c r="M46" i="4"/>
  <c r="M49" i="4" s="1"/>
  <c r="K6" i="4"/>
  <c r="K31" i="4" s="1"/>
  <c r="L6" i="4"/>
  <c r="K12" i="3"/>
  <c r="M6" i="4"/>
  <c r="K47" i="4"/>
  <c r="M10" i="3"/>
  <c r="L11" i="3"/>
  <c r="M12" i="3" s="1"/>
  <c r="M9" i="3"/>
  <c r="L31" i="4" l="1"/>
  <c r="M31" i="4" s="1"/>
  <c r="N31" i="4" s="1"/>
  <c r="K13" i="3"/>
  <c r="K54" i="4"/>
  <c r="N46" i="4"/>
  <c r="N49" i="4" s="1"/>
  <c r="N13" i="3"/>
  <c r="M56" i="4"/>
  <c r="M67" i="4" s="1"/>
  <c r="M54" i="4"/>
  <c r="L13" i="3"/>
  <c r="L46" i="4"/>
  <c r="L49" i="4" s="1"/>
  <c r="L12" i="3"/>
  <c r="K56" i="4"/>
  <c r="K67" i="4" s="1"/>
  <c r="K69" i="4" s="1"/>
  <c r="K21" i="4" s="1"/>
  <c r="N56" i="4" l="1"/>
  <c r="N67" i="4" s="1"/>
  <c r="N54" i="4"/>
  <c r="L68" i="4"/>
  <c r="K71" i="4"/>
  <c r="K50" i="4" s="1"/>
  <c r="K10" i="4" s="1"/>
  <c r="K11" i="4" s="1"/>
  <c r="K12" i="4" s="1"/>
  <c r="K14" i="4" s="1"/>
  <c r="L54" i="4"/>
  <c r="L56" i="4"/>
  <c r="L67" i="4" s="1"/>
  <c r="K16" i="4" l="1"/>
  <c r="K19" i="4" s="1"/>
  <c r="K41" i="4"/>
  <c r="K39" i="4" s="1"/>
  <c r="K43" i="4" s="1"/>
  <c r="K44" i="4" s="1"/>
  <c r="L69" i="4"/>
  <c r="L21" i="4" s="1"/>
  <c r="M68" i="4" l="1"/>
  <c r="M69" i="4" s="1"/>
  <c r="M21" i="4" s="1"/>
  <c r="L71" i="4"/>
  <c r="L50" i="4" s="1"/>
  <c r="L10" i="4" s="1"/>
  <c r="L11" i="4" s="1"/>
  <c r="L12" i="4" s="1"/>
  <c r="L14" i="4" s="1"/>
  <c r="N68" i="4" l="1"/>
  <c r="N69" i="4" s="1"/>
  <c r="N21" i="4" s="1"/>
  <c r="L16" i="4"/>
  <c r="L19" i="4" s="1"/>
  <c r="L41" i="4"/>
  <c r="L39" i="4" s="1"/>
  <c r="L43" i="4" s="1"/>
  <c r="L44" i="4" s="1"/>
  <c r="M71" i="4"/>
  <c r="M50" i="4" s="1"/>
  <c r="M10" i="4" s="1"/>
  <c r="M11" i="4" s="1"/>
  <c r="M12" i="4" s="1"/>
  <c r="M14" i="4" s="1"/>
  <c r="N71" i="4" l="1"/>
  <c r="N50" i="4" s="1"/>
  <c r="N10" i="4" s="1"/>
  <c r="N11" i="4" s="1"/>
  <c r="N12" i="4" s="1"/>
  <c r="N14" i="4" s="1"/>
  <c r="N16" i="4" s="1"/>
  <c r="N19" i="4" s="1"/>
  <c r="M16" i="4"/>
  <c r="M19" i="4" s="1"/>
  <c r="M41" i="4"/>
  <c r="M39" i="4" s="1"/>
  <c r="M43" i="4" s="1"/>
  <c r="M44" i="4" s="1"/>
  <c r="B17" i="4"/>
  <c r="C18" i="4" s="1"/>
  <c r="N41" i="4" l="1"/>
  <c r="N39" i="4" s="1"/>
  <c r="N43" i="4" s="1"/>
  <c r="N44" i="4" s="1"/>
  <c r="B18" i="4"/>
  <c r="K18" i="4"/>
  <c r="J19" i="4"/>
  <c r="J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8D9B0A66-C10D-45D6-AEC1-023E32E465A4}">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<sst xmlns="http://schemas.openxmlformats.org/spreadsheetml/2006/main" count="611" uniqueCount="285">
  <si>
    <t>Interest expense (income), net</t>
  </si>
  <si>
    <t>Income tax expense</t>
  </si>
  <si>
    <t>Operating lease right-of-use assets, net</t>
  </si>
  <si>
    <t>Goodwill</t>
  </si>
  <si>
    <t>Current portion of long-term debt</t>
  </si>
  <si>
    <t>Notes payable</t>
  </si>
  <si>
    <t>Long-term debt</t>
  </si>
  <si>
    <t>Operating lease liabilities</t>
  </si>
  <si>
    <t>Footwear</t>
  </si>
  <si>
    <t>Apparel</t>
  </si>
  <si>
    <t>Equipment</t>
  </si>
  <si>
    <t>Europe, Middle East &amp; Africa</t>
  </si>
  <si>
    <t>Greater China</t>
  </si>
  <si>
    <t>Asia Pacific &amp; Latin America</t>
  </si>
  <si>
    <t>Global Brand Divisions</t>
  </si>
  <si>
    <t>Converse</t>
  </si>
  <si>
    <t>Other</t>
  </si>
  <si>
    <t>Corporate</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</si>
  <si>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</si>
  <si>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Group Totals</t>
  </si>
  <si>
    <t>Group Revenue</t>
  </si>
  <si>
    <t>Growth %</t>
  </si>
  <si>
    <t>EBITDA</t>
  </si>
  <si>
    <t>Margin %</t>
  </si>
  <si>
    <t>D&amp;A</t>
  </si>
  <si>
    <t>As a  % of revenue</t>
  </si>
  <si>
    <t>EBIT</t>
  </si>
  <si>
    <t>Capex</t>
  </si>
  <si>
    <t>Property, plant and equipment</t>
  </si>
  <si>
    <t>Revenue</t>
  </si>
  <si>
    <t xml:space="preserve">2023 growth figure calculated by aggregating quarterly growth figures </t>
  </si>
  <si>
    <t>Growth has hovered around an average value, thus growth should not deviate much from this except in extreme cases. Growth should be maintained in the future as new shoes (Air Max Jordans etc) are released</t>
  </si>
  <si>
    <t>Organic growth %</t>
  </si>
  <si>
    <t>Currency impact %</t>
  </si>
  <si>
    <t>Growth in apparel has become progressively more modest over time</t>
  </si>
  <si>
    <t>Growth rates have trended upwards recently, but the latest increase in growth rates was particularly high, thus 2023 growth rate should be more modest. New release of infant wear ("Nike Swoosh") may bolster growth</t>
  </si>
  <si>
    <t>Forecast EBITDA based on margin I.e. input your forecast assumption on the margin line and multiply it by revenue</t>
  </si>
  <si>
    <t>The overall trend between 2015-2022 was downwards, with the rate of reduction increasing</t>
  </si>
  <si>
    <t>As a % of PPE</t>
  </si>
  <si>
    <t>Growth has been trending up recently, but Nike's focus is on China, so growth in NA should be modest at least in the short term. The abnormally high growth in 2022 could be attributed to COVID recovery</t>
  </si>
  <si>
    <t xml:space="preserve">Growth has been trending upwards since 2020, though growth has been plateuing. </t>
  </si>
  <si>
    <t>Please forecast for alll the period upto 2027</t>
  </si>
  <si>
    <t>The reduction in growth of apparel sales should reduce to reach near the average growth rate</t>
  </si>
  <si>
    <t>EU product lines seem highly correlated - combined strategy?</t>
  </si>
  <si>
    <t xml:space="preserve">Growth has varied between trending upwards and downwards; recently it has plateaued </t>
  </si>
  <si>
    <t>rate of growth has varied between trending upwards and downwards. Recently, it trended upwards very sharply, thus more modest growth is expected</t>
  </si>
  <si>
    <t>As Capex has grown, it is expected some of this will be allocated towards PPE investment</t>
  </si>
  <si>
    <t>Earnings transcript particularly reported a focus in establishing growth in China and developing countries. Historical negative trends possibly due to COVID protocol in China</t>
  </si>
  <si>
    <t xml:space="preserve"> </t>
  </si>
  <si>
    <t>Aside from the COVID period, D&amp;A growth has been reducing year on year</t>
  </si>
  <si>
    <t>Capex has been trending downwards, in spite of Nike's China-focused growth plans. This may be due to China's continued COVID controls causing Nike to invest cautiously</t>
  </si>
  <si>
    <t>PPE investment trends correlate positively strongly with Capex</t>
  </si>
  <si>
    <t>As with China, strategy is focused on developing the market of China and developing nations, hence growth is expected</t>
  </si>
  <si>
    <t>Growth has been recovering since COVID, albeit the rate of growth increases slowly</t>
  </si>
  <si>
    <t>Nike is focusing on expanding in developing nations, thus further growth is expected, though recent historical data suggests the increase in growth will be modest</t>
  </si>
  <si>
    <t xml:space="preserve">  </t>
  </si>
  <si>
    <t>Increase in Capex should lead to increase in PPE investment. Historical data shows that dips into negative growth are responded to by large surges back into positive growth</t>
  </si>
  <si>
    <t>Generally hovered between growth rates of -25% to 25%, 2021 - 2022 seems abnormally hihg</t>
  </si>
  <si>
    <t>Rate of growth should decrease based on historical trends</t>
  </si>
  <si>
    <t>Based on historical trend, and correlation with Capex, there should be modest growth</t>
  </si>
  <si>
    <t>Recently the rate of growth has reduced, but the rate at which this occurs is levelling off</t>
  </si>
  <si>
    <t>Growth tends to remain stable, except for a particularly tumultous period between 2018 and 2020</t>
  </si>
  <si>
    <t>Perhaps a brand restructuring is the cause of the the rapid decline in growth rates in 2018 - growth now is recovery from that period</t>
  </si>
  <si>
    <t>Overall the historicals show downward trends in growth</t>
  </si>
  <si>
    <t>Trends show the growth rates are inching downwards</t>
  </si>
  <si>
    <t>Growth should be more stabilised after a rapid increase in growth</t>
  </si>
  <si>
    <t>Overall strong negative trend in growth, due to a decrease in the rate of growth of Capex, further reduction in growth should be expected for PPE</t>
  </si>
  <si>
    <t>Corporate revenue rate of growth has been increasing</t>
  </si>
  <si>
    <t>Historical data shows that D&amp;A growth rates increase sharply whenever it dips into negative growth</t>
  </si>
  <si>
    <t>Recent trends show downward trends on EBIT</t>
  </si>
  <si>
    <t>Historical trends suggest Capex is returning to 2015 - 2018 levels, prior to experiencecing a steep crash in 2021</t>
  </si>
  <si>
    <t>Historical trends show continuous reductions in growth</t>
  </si>
  <si>
    <r>
      <rPr>
        <b/>
        <sz val="16"/>
        <color theme="0"/>
        <rFont val="Calibri"/>
        <family val="2"/>
      </rPr>
      <t>NIKE, INC.</t>
    </r>
    <r>
      <rPr>
        <b/>
        <sz val="20"/>
        <color theme="0"/>
        <rFont val="Calibri"/>
        <family val="2"/>
      </rPr>
      <t xml:space="preserve">
</t>
    </r>
    <r>
      <rPr>
        <sz val="11"/>
        <color theme="0"/>
        <rFont val="Calibri"/>
        <family val="2"/>
      </rPr>
      <t>(Dollars and Shares in Millions Except Per Share Amounts)</t>
    </r>
  </si>
  <si>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</si>
  <si>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</si>
  <si>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</si>
  <si>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</si>
  <si>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</si>
  <si>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</si>
  <si>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</si>
  <si>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</si>
  <si>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</si>
  <si>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</si>
  <si>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</si>
  <si>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</si>
  <si>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</si>
  <si>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</si>
  <si>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</si>
  <si>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</si>
  <si>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</si>
  <si>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</si>
  <si>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</si>
  <si>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</si>
  <si>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</si>
  <si>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</si>
  <si>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</si>
  <si>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</si>
  <si>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</si>
  <si>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</si>
  <si>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</si>
  <si>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</si>
  <si>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</si>
  <si>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</si>
  <si>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</si>
  <si>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</si>
  <si>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</si>
  <si>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</si>
  <si>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</si>
  <si>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</si>
  <si>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</si>
  <si>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</si>
  <si>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</si>
  <si>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</si>
  <si>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</si>
  <si>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</si>
  <si>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</si>
  <si>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</si>
  <si>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</si>
  <si>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</si>
  <si>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</si>
  <si>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</si>
  <si>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</si>
  <si>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keep growth forecasts consistent, there seems to be a drop in 2024 and 2027</t>
  </si>
  <si>
    <t>Should be forecasted based on Revenue</t>
  </si>
  <si>
    <t>EBITDA - D&amp;A</t>
  </si>
  <si>
    <t>Should be forecasted based on Asset value</t>
  </si>
  <si>
    <t>2022 balance - 2022 D&amp;A + 2023 Capex</t>
  </si>
  <si>
    <t>Follow the same for the rest of the segment.</t>
  </si>
  <si>
    <t>Edit your forecast and your formula to ensure the forecast in this line is negative (following the trend)</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</si>
  <si>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</si>
  <si>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</si>
  <si>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</si>
  <si>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</si>
  <si>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</si>
  <si>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</si>
  <si>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</si>
  <si>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Other (income) expense, net</t>
  </si>
  <si>
    <t>Income before income taxes</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</si>
  <si>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</si>
  <si>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</si>
  <si>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</si>
  <si>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</si>
  <si>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</si>
  <si>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</si>
  <si>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</si>
  <si>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</si>
  <si>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</si>
  <si>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</si>
  <si>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</si>
  <si>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</si>
  <si>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</si>
  <si>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</si>
  <si>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</si>
  <si>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</si>
  <si>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Identifiable intangible assets, net</t>
  </si>
  <si>
    <t>Deferred income taxes and other assets</t>
  </si>
  <si>
    <t>TOTAL ASSETS</t>
  </si>
  <si>
    <t>LIABILITIES AND SHAREHOLDERS' EQUITY</t>
  </si>
  <si>
    <t>Current liabilities:</t>
  </si>
  <si>
    <t>Accounts payable</t>
  </si>
  <si>
    <t>Current portion of operating lease liabilities</t>
  </si>
  <si>
    <t>Accrued liabilities</t>
  </si>
  <si>
    <t>Income taxes payable</t>
  </si>
  <si>
    <t>Total current liabilities</t>
  </si>
  <si>
    <t>Deferred income taxes and other liabilities</t>
  </si>
  <si>
    <t>Commitments and contingencies (Note 18)</t>
  </si>
  <si>
    <t xml:space="preserve">                     -   </t>
  </si>
  <si>
    <t>Redeemable preferred stock</t>
  </si>
  <si>
    <t xml:space="preserve">                         -   </t>
  </si>
  <si>
    <t xml:space="preserve">                          -   </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</si>
  <si>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</si>
  <si>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</si>
  <si>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</si>
  <si>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</si>
  <si>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</si>
  <si>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</si>
  <si>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</si>
  <si>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</si>
  <si>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</si>
  <si>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</si>
  <si>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</si>
  <si>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</si>
  <si>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</si>
  <si>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</si>
  <si>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</si>
  <si>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</si>
  <si>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</si>
  <si>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</si>
  <si>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</si>
  <si>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</si>
  <si>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</si>
  <si>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</si>
  <si>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</si>
  <si>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</si>
  <si>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</si>
  <si>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</si>
  <si>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</si>
  <si>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</si>
  <si>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</si>
  <si>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</si>
  <si>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</si>
  <si>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</si>
  <si>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</si>
  <si>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</si>
  <si>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</si>
  <si>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</si>
  <si>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</si>
  <si>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</si>
  <si>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</si>
  <si>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</si>
  <si>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</si>
  <si>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</si>
  <si>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</si>
  <si>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</si>
  <si>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</si>
  <si>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</si>
  <si>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</si>
  <si>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</si>
  <si>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</si>
  <si>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</si>
  <si>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</si>
  <si>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</si>
  <si>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</si>
  <si>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</si>
  <si>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</si>
  <si>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</si>
  <si>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TOTAL NIKE BRAND</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</si>
  <si>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</si>
  <si>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</si>
  <si>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</si>
  <si>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</si>
  <si>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</si>
  <si>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</si>
  <si>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</si>
  <si>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</si>
  <si>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</si>
  <si>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</si>
  <si>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</si>
  <si>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</si>
  <si>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</si>
  <si>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</si>
  <si>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Instructions</t>
  </si>
  <si>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</si>
  <si>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</si>
  <si>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</si>
  <si>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</si>
  <si>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</si>
  <si>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</si>
  <si>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</si>
  <si>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</si>
  <si>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</si>
  <si>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</si>
  <si>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</si>
  <si>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</si>
  <si>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</si>
  <si>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</si>
  <si>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</si>
  <si>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</si>
  <si>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</si>
  <si>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</si>
  <si>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</si>
  <si>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</si>
  <si>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</si>
  <si>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</si>
  <si>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</si>
  <si>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For 2023, it is reported in the annual report that the effective  tax rate was 18.2%, due to decreased benefits from stock-based compensation and a one time, non cash benefit in the prior year related to onshoring of Non-US intangible property. In other words, this was a rare event, and thus the historical downward trend should be expected for the following years (see graphs tab)</t>
  </si>
  <si>
    <t>Overall trend (see graphs sheet) has been upwards, albeit with ocassional dips, which are followed by quick recoveries</t>
  </si>
  <si>
    <t xml:space="preserve">  As a % of Net Debt</t>
  </si>
  <si>
    <t>Has generally hovered around the -1.6% mark, see graph</t>
  </si>
  <si>
    <t>in the graph above, x is the number of days since the 01/01/2020</t>
  </si>
  <si>
    <t>so to forecast to value on 01/01/2024, the number of days between the two dates is 1461.</t>
  </si>
  <si>
    <t>hence the DPS on 01/01/2024 is 0.00035(1461)+0.88 = 1.39</t>
  </si>
  <si>
    <t>See graphs for forecast, DPS has consistently trended upwards</t>
  </si>
  <si>
    <t>Historical Data from https://www.macrotrends.net/stocks/charts/NKE/nike/dividend-yield-history</t>
  </si>
  <si>
    <t>retained earnings will be incorrect for now as I would need to forecast the number of shares (?)</t>
  </si>
  <si>
    <t>dividends paid will be incorrect for now as share count hasn’t been forecasted yet (?)</t>
  </si>
  <si>
    <t>Done this as Total Assets = Last Year's Total Assets + (-Capex as capex is negative in cash flow) - D&amp;A, however the individual components of total assets have not yet been forecasted and are the same as the previous year's.</t>
  </si>
  <si>
    <t xml:space="preserve">Share count in 2022 + Shares bought back = 2023 share count.  Shares bought back = Share buy back value in cash flow/Closing share price. </t>
  </si>
  <si>
    <t>Forecast payout ratio based on historical trend</t>
  </si>
  <si>
    <t xml:space="preserve"> Dividend forecasts should be based on pay out ratio forecast %</t>
  </si>
  <si>
    <t>Forecast interest from  prior year's net debt * interest rate</t>
  </si>
  <si>
    <t>Forecast this based on historical growth, share buy back should be liked to number of shares in income statement, look for the comment near share count row in income statement</t>
  </si>
  <si>
    <t>Opening Current portion of short term debt + Long term debt - Closing  (Current portion of short term debt + Long term debt )</t>
  </si>
  <si>
    <t>Current portion of short term debt + Long term debt - Closing cash</t>
  </si>
  <si>
    <t>Keep this blank for forecasting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</si>
</sst>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0.0%"/>
    <numFmt numFmtId="166" formatCode="_(* #,##0.00_);_(* \(#,##0.00\);_(* &quot;-&quot;??_);_(@_)"/>
    <numFmt numFmtId="167" formatCode="#,##0.0"/>
    <numFmt numFmtId="171" formatCode="_-* #,##0.00_-;\-* #,##0.00_-;_-* &quot;-&quot;??_-;_-@_-"/>
  </numFmts>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20"/>
      <color theme="0"/>
      <name val="Calibri"/>
      <family val="2"/>
    </font>
    <font>
      <b/>
      <sz val="11"/>
      <color theme="0"/>
      <name val="Calibri"/>
      <family val="2"/>
    </font>
    <font>
      <b/>
      <sz val="11"/>
      <color rgb="FFFF0000"/>
      <name val="Calibri"/>
      <family val="2"/>
    </font>
    <font>
      <i/>
      <sz val="10"/>
      <color theme="1"/>
      <name val="Calibri"/>
      <family val="2"/>
    </font>
    <font>
      <i/>
      <sz val="10"/>
      <color rgb="FF000000"/>
      <name val="Calibri"/>
      <family val="2"/>
    </font>
    <font>
      <i/>
      <sz val="9"/>
      <color theme="1"/>
      <name val="Calibri"/>
      <family val="2"/>
    </font>
    <font>
      <i/>
      <sz val="10"/>
      <color rgb="FF002060"/>
      <name val="Calibri"/>
      <family val="2"/>
    </font>
    <font>
      <i/>
      <sz val="9"/>
      <color rgb="FF0070C0"/>
      <name val="Calibri"/>
      <family val="2"/>
    </font>
    <font>
      <b/>
      <sz val="16"/>
      <color theme="0"/>
      <name val="Calibri"/>
      <family val="2"/>
    </font>
    <font>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6"/>
      <color theme="0"/>
      <name val="Calibri"/>
      <family val="2"/>
      <scheme val="minor"/>
    </font>
    <font>
      <sz val="11"/>
      <color rgb="FF000000"/>
      <name val="Calibri"/>
      <family val="2"/>
      <scheme val="minor"/>
    </font>
    <font>
      <b/>
      <sz val="11"/>
      <color rgb="FFFF0000"/>
      <name val="Calibri"/>
      <family val="2"/>
      <scheme val="minor"/>
    </font>
    <font>
      <sz val="11"/>
      <name val="Calibri"/>
      <family val="2"/>
      <scheme val="minor"/>
    </font>
    <font>
      <b/>
      <i/>
      <sz val="10"/>
      <color theme="1"/>
      <name val="Calibri"/>
      <family val="2"/>
      <scheme val="minor"/>
    </font>
    <font>
      <b/>
      <i/>
      <sz val="10"/>
      <color rgb="FF000000"/>
      <name val="Calibri"/>
      <family val="2"/>
      <scheme val="minor"/>
    </font>
    <font>
      <i/>
      <sz val="10"/>
      <color theme="1"/>
      <name val="Calibri"/>
      <family val="2"/>
      <scheme val="minor"/>
    </font>
    <font>
      <i/>
      <sz val="10"/>
      <color rgb="FF000000"/>
      <name val="Calibri"/>
      <family val="2"/>
      <scheme val="minor"/>
    </font>
    <font>
      <b/>
      <sz val="9"/>
      <color indexed="81"/>
      <name val="Tahoma"/>
      <family val="2"/>
    </font>
    <font>
      <sz val="9"/>
      <color indexed="81"/>
      <name val="Tahoma"/>
      <family val="2"/>
    </font>
    <font>
      <b/>
      <sz val="18"/>
      <color theme="0"/>
      <name val="Calibri"/>
      <family val="2"/>
      <scheme val="minor"/>
    </font>
  </fonts>
  <fills count="15">
    <fill>
      <patternFill patternType="none"/>
    </fill>
    <fill>
      <patternFill patternType="gray125"/>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BFBFBF"/>
        <bgColor rgb="FFBFBFBF"/>
      </patternFill>
    </fill>
    <fill>
      <patternFill patternType="solid">
        <fgColor rgb="FFD9E2F3"/>
        <bgColor rgb="FFD9E2F3"/>
      </patternFill>
    </fill>
    <fill>
      <patternFill patternType="solid">
        <fgColor theme="0" tint="-0.34998626667073579"/>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patternFill>
    </fill>
    <fill>
      <patternFill patternType="solid">
        <fgColor theme="4" tint="0.39997558519241921"/>
        <bgColor indexed="65"/>
      </patternFill>
    </fill>
  </fills>
  <borders count="9">
    <border>
      <left/>
      <right/>
      <top/>
      <bottom/>
      <diagonal/>
    </border>
    <border>
      <left/>
      <right/>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3" fontId="18" fillId="0" borderId="0" applyFont="0" applyFill="0" applyBorder="0" applyAlignment="0" applyProtection="0"/>
    <xf numFmtId="0" fontId="1" fillId="0" borderId="1"/>
    <xf numFmtId="43" fontId="1" fillId="0" borderId="1" applyFont="0" applyFill="0" applyBorder="0" applyAlignment="0" applyProtection="0"/>
    <xf numFmtId="9" fontId="1" fillId="0" borderId="1" applyFont="0" applyFill="0" applyBorder="0" applyAlignment="0" applyProtection="0"/>
    <xf numFmtId="171" fontId="1" fillId="0" borderId="1" applyFont="0" applyFill="0" applyBorder="0" applyAlignment="0" applyProtection="0"/>
    <xf numFmtId="0" fontId="21" fillId="13" borderId="1" applyNumberFormat="0" applyBorder="0" applyAlignment="0" applyProtection="0"/>
    <xf numFmtId="0" fontId="21" fillId="14" borderId="1" applyNumberFormat="0" applyBorder="0" applyAlignment="0" applyProtection="0"/>
    <xf numFmtId="171" fontId="1" fillId="0" borderId="1" applyFont="0" applyFill="0" applyBorder="0" applyAlignment="0" applyProtection="0"/>
  </cellStyleXfs>
  <cellXfs count="89">
    <xf numFmtId="0" fontId="0" fillId="0" borderId="0" xfId="0"/>
    <xf numFmtId="0" fontId="5" fillId="0" borderId="0" xfId="0" applyFont="1"/>
    <xf numFmtId="0" fontId="6" fillId="0" borderId="0" xfId="0" applyFont="1"/>
    <xf numFmtId="0" fontId="7" fillId="0" borderId="0" xfId="0" applyFont="1" applyAlignment="1">
      <alignment horizontal="left"/>
    </xf>
    <xf numFmtId="0" fontId="8" fillId="2" borderId="1" xfId="0" applyFont="1" applyFill="1" applyBorder="1" applyAlignment="1">
      <alignment vertical="center" wrapText="1"/>
    </xf>
    <xf numFmtId="0" fontId="9" fillId="2" borderId="1" xfId="0" applyFont="1" applyFill="1" applyBorder="1" applyAlignment="1">
      <alignment horizontal="right"/>
    </xf>
    <xf numFmtId="164" fontId="7" fillId="0" borderId="0" xfId="0" applyNumberFormat="1" applyFont="1"/>
    <xf numFmtId="164" fontId="6" fillId="0" borderId="0" xfId="0" applyNumberFormat="1" applyFont="1"/>
    <xf numFmtId="0" fontId="6" fillId="0" borderId="2" xfId="0" applyFont="1" applyBorder="1"/>
    <xf numFmtId="164" fontId="6" fillId="0" borderId="2" xfId="0" applyNumberFormat="1" applyFont="1" applyBorder="1"/>
    <xf numFmtId="0" fontId="6" fillId="0" borderId="3" xfId="0" applyFont="1" applyBorder="1"/>
    <xf numFmtId="164" fontId="6" fillId="0" borderId="3" xfId="0" applyNumberFormat="1" applyFont="1" applyBorder="1"/>
    <xf numFmtId="164" fontId="10" fillId="0" borderId="0" xfId="0" applyNumberFormat="1" applyFont="1"/>
    <xf numFmtId="164" fontId="6" fillId="0" borderId="4" xfId="0" applyNumberFormat="1" applyFont="1" applyBorder="1"/>
    <xf numFmtId="0" fontId="6" fillId="0" borderId="4" xfId="0" applyFont="1" applyBorder="1"/>
    <xf numFmtId="0" fontId="6" fillId="3" borderId="1" xfId="0" applyFont="1" applyFill="1" applyBorder="1"/>
    <xf numFmtId="164" fontId="9" fillId="4" borderId="1" xfId="0" applyNumberFormat="1" applyFont="1" applyFill="1" applyBorder="1" applyAlignment="1">
      <alignment horizontal="left"/>
    </xf>
    <xf numFmtId="164" fontId="13" fillId="0" borderId="0" xfId="0" applyNumberFormat="1" applyFont="1" applyAlignment="1">
      <alignment horizontal="left"/>
    </xf>
    <xf numFmtId="165" fontId="11" fillId="0" borderId="0" xfId="0" applyNumberFormat="1" applyFont="1" applyAlignment="1">
      <alignment horizontal="right"/>
    </xf>
    <xf numFmtId="164" fontId="6" fillId="5" borderId="1" xfId="0" applyNumberFormat="1" applyFont="1" applyFill="1" applyBorder="1"/>
    <xf numFmtId="164" fontId="7" fillId="0" borderId="0" xfId="0" applyNumberFormat="1" applyFont="1" applyAlignment="1">
      <alignment horizontal="left"/>
    </xf>
    <xf numFmtId="165" fontId="14" fillId="6" borderId="1" xfId="0" applyNumberFormat="1" applyFont="1" applyFill="1" applyBorder="1"/>
    <xf numFmtId="0" fontId="7" fillId="7" borderId="1" xfId="0" applyFont="1" applyFill="1" applyBorder="1"/>
    <xf numFmtId="10" fontId="11" fillId="0" borderId="0" xfId="0" applyNumberFormat="1" applyFont="1" applyAlignment="1">
      <alignment horizontal="right"/>
    </xf>
    <xf numFmtId="10" fontId="14" fillId="6" borderId="1" xfId="0" applyNumberFormat="1" applyFont="1" applyFill="1" applyBorder="1"/>
    <xf numFmtId="165" fontId="14" fillId="0" borderId="0" xfId="0" applyNumberFormat="1" applyFont="1"/>
    <xf numFmtId="165" fontId="12" fillId="0" borderId="0" xfId="0" applyNumberFormat="1" applyFont="1" applyAlignment="1">
      <alignment horizontal="right"/>
    </xf>
    <xf numFmtId="165" fontId="13" fillId="0" borderId="0" xfId="0" applyNumberFormat="1" applyFont="1" applyAlignment="1">
      <alignment horizontal="right"/>
    </xf>
    <xf numFmtId="165" fontId="15" fillId="8" borderId="1" xfId="0" applyNumberFormat="1" applyFont="1" applyFill="1" applyBorder="1"/>
    <xf numFmtId="166" fontId="7" fillId="0" borderId="0" xfId="0" applyNumberFormat="1" applyFont="1"/>
    <xf numFmtId="0" fontId="9" fillId="4" borderId="1" xfId="0" applyFont="1" applyFill="1" applyBorder="1"/>
    <xf numFmtId="166" fontId="10" fillId="0" borderId="0" xfId="0" applyNumberFormat="1" applyFont="1"/>
    <xf numFmtId="0" fontId="0" fillId="9" borderId="0" xfId="0" applyFill="1"/>
    <xf numFmtId="0" fontId="4" fillId="9" borderId="0" xfId="0" applyFont="1" applyFill="1"/>
    <xf numFmtId="0" fontId="22" fillId="10" borderId="0" xfId="0" applyFont="1" applyFill="1" applyAlignment="1">
      <alignment vertical="center" wrapText="1"/>
    </xf>
    <xf numFmtId="0" fontId="19" fillId="10" borderId="0" xfId="0" applyFont="1" applyFill="1" applyAlignment="1">
      <alignment horizontal="right"/>
    </xf>
    <xf numFmtId="164" fontId="0" fillId="0" borderId="0" xfId="1" applyNumberFormat="1" applyFont="1"/>
    <xf numFmtId="0" fontId="0" fillId="0" borderId="5" xfId="0" applyBorder="1"/>
    <xf numFmtId="164" fontId="0" fillId="0" borderId="5" xfId="1" applyNumberFormat="1" applyFont="1" applyBorder="1"/>
    <xf numFmtId="0" fontId="20" fillId="0" borderId="0" xfId="0" applyFont="1"/>
    <xf numFmtId="164" fontId="20" fillId="0" borderId="0" xfId="1" applyNumberFormat="1" applyFont="1"/>
    <xf numFmtId="0" fontId="0" fillId="0" borderId="0" xfId="0" applyAlignment="1">
      <alignment horizontal="left" indent="2"/>
    </xf>
    <xf numFmtId="0" fontId="0" fillId="0" borderId="6" xfId="0" applyBorder="1" applyAlignment="1">
      <alignment horizontal="left" indent="1"/>
    </xf>
    <xf numFmtId="164" fontId="0" fillId="0" borderId="6" xfId="1" applyNumberFormat="1" applyFont="1" applyBorder="1"/>
    <xf numFmtId="0" fontId="0" fillId="0" borderId="0" xfId="0" applyAlignment="1">
      <alignment horizontal="left" indent="1"/>
    </xf>
    <xf numFmtId="164" fontId="24" fillId="0" borderId="0" xfId="0" applyNumberFormat="1" applyFont="1"/>
    <xf numFmtId="0" fontId="20" fillId="0" borderId="6" xfId="0" applyFont="1" applyBorder="1"/>
    <xf numFmtId="164" fontId="20" fillId="0" borderId="6" xfId="1" applyNumberFormat="1" applyFont="1" applyBorder="1"/>
    <xf numFmtId="0" fontId="20" fillId="0" borderId="7" xfId="0" applyFont="1" applyBorder="1"/>
    <xf numFmtId="164" fontId="20" fillId="0" borderId="7" xfId="1" applyNumberFormat="1" applyFont="1" applyBorder="1"/>
    <xf numFmtId="167" fontId="0" fillId="0" borderId="0" xfId="0" applyNumberFormat="1"/>
    <xf numFmtId="3" fontId="0" fillId="0" borderId="0" xfId="0" applyNumberFormat="1"/>
    <xf numFmtId="0" fontId="25" fillId="0" borderId="0" xfId="0" applyFont="1"/>
    <xf numFmtId="164" fontId="25" fillId="0" borderId="0" xfId="0" applyNumberFormat="1" applyFont="1"/>
    <xf numFmtId="0" fontId="20" fillId="11" borderId="0" xfId="0" applyFont="1" applyFill="1" applyAlignment="1">
      <alignment horizontal="center"/>
    </xf>
    <xf numFmtId="0" fontId="20" fillId="0" borderId="0" xfId="0" applyFont="1" applyAlignment="1">
      <alignment horizontal="left" indent="1"/>
    </xf>
    <xf numFmtId="164" fontId="0" fillId="0" borderId="0" xfId="1" applyNumberFormat="1" applyFont="1" applyFill="1"/>
    <xf numFmtId="0" fontId="0" fillId="0" borderId="0" xfId="0" applyAlignment="1">
      <alignment horizontal="left" indent="3"/>
    </xf>
    <xf numFmtId="0" fontId="20" fillId="0" borderId="8" xfId="0" applyFont="1" applyBorder="1" applyAlignment="1">
      <alignment horizontal="left"/>
    </xf>
    <xf numFmtId="164" fontId="20" fillId="0" borderId="8" xfId="1" applyNumberFormat="1" applyFont="1" applyBorder="1"/>
    <xf numFmtId="0" fontId="20" fillId="0" borderId="8" xfId="0" applyFont="1" applyBorder="1"/>
    <xf numFmtId="0" fontId="20" fillId="0" borderId="0" xfId="0" applyFont="1" applyAlignment="1">
      <alignment horizontal="left"/>
    </xf>
    <xf numFmtId="0" fontId="24" fillId="0" borderId="0" xfId="0" applyFont="1"/>
    <xf numFmtId="3" fontId="24" fillId="0" borderId="0" xfId="0" applyNumberFormat="1" applyFont="1"/>
    <xf numFmtId="164" fontId="3" fillId="0" borderId="0" xfId="1" applyNumberFormat="1" applyFont="1"/>
    <xf numFmtId="164" fontId="26" fillId="0" borderId="0" xfId="0" applyNumberFormat="1" applyFont="1"/>
    <xf numFmtId="0" fontId="27" fillId="0" borderId="0" xfId="0" applyFont="1" applyAlignment="1">
      <alignment horizontal="left" indent="1"/>
    </xf>
    <xf numFmtId="165" fontId="28" fillId="0" borderId="0" xfId="0" applyNumberFormat="1" applyFont="1"/>
    <xf numFmtId="0" fontId="29" fillId="0" borderId="0" xfId="0" applyFont="1" applyAlignment="1">
      <alignment horizontal="left" indent="2"/>
    </xf>
    <xf numFmtId="165" fontId="30" fillId="0" borderId="0" xfId="0" applyNumberFormat="1" applyFont="1"/>
    <xf numFmtId="0" fontId="29" fillId="0" borderId="6" xfId="0" applyFont="1" applyBorder="1"/>
    <xf numFmtId="165" fontId="28" fillId="0" borderId="6" xfId="0" applyNumberFormat="1" applyFont="1" applyBorder="1"/>
    <xf numFmtId="0" fontId="29" fillId="0" borderId="0" xfId="0" applyFont="1" applyAlignment="1">
      <alignment horizontal="left" indent="1"/>
    </xf>
    <xf numFmtId="0" fontId="27" fillId="0" borderId="7" xfId="0" applyFont="1" applyBorder="1"/>
    <xf numFmtId="165" fontId="28" fillId="0" borderId="7" xfId="0" applyNumberFormat="1" applyFont="1" applyBorder="1"/>
    <xf numFmtId="0" fontId="33" fillId="10" borderId="0" xfId="0" applyFont="1" applyFill="1" applyAlignment="1">
      <alignment wrapText="1"/>
    </xf>
    <xf numFmtId="0" fontId="0" fillId="0" borderId="0" xfId="0" applyAlignment="1">
      <alignment wrapText="1"/>
    </xf>
    <xf numFmtId="0" fontId="0" fillId="9" borderId="0" xfId="0" applyFill="1" applyAlignment="1">
      <alignment horizontal="left"/>
    </xf>
    <xf numFmtId="0" fontId="0" fillId="12" borderId="0" xfId="0" applyFill="1"/>
    <xf numFmtId="0" fontId="2" fillId="0" borderId="0" xfId="0" applyFont="1"/>
    <xf numFmtId="0" fontId="29" fillId="0" borderId="0" xfId="0" applyFont="1"/>
    <xf numFmtId="165" fontId="11" fillId="0" borderId="0" xfId="0" applyNumberFormat="1" applyFont="1"/>
    <xf numFmtId="0" fontId="2" fillId="9" borderId="0" xfId="0" applyFont="1" applyFill="1"/>
    <xf numFmtId="0" fontId="2" fillId="0" borderId="0" xfId="0" applyFont="1"/>
    <xf numFmtId="0" fontId="0" fillId="0" borderId="0" xfId="0"/>
    <xf numFmtId="0" fontId="2" fillId="0" borderId="0" xfId="0" applyFont="1" applyAlignment="1">
      <alignment horizontal="center"/>
    </xf>
    <xf numFmtId="0" fontId="0" fillId="0" borderId="0" xfId="0" applyAlignment="1">
      <alignment horizontal="center"/>
    </xf>
    <xf numFmtId="0" fontId="1" fillId="0" borderId="1" xfId="2"/>
    <xf numFmtId="0" fontId="1" fillId="0" borderId="1" xfId="2"/>
  </cellXfs>
  <cellStyles count="9">
    <cellStyle name="60% - Accent1 2" xfId="7" xr:uid="{E0CAB22E-2D5D-420E-8C0D-17AFDB854AC5}"/>
    <cellStyle name="Accent1 2" xfId="6" xr:uid="{BF8DCE9C-6EE6-4C8E-8942-85D6B9256B73}"/>
    <cellStyle name="Comma" xfId="1" builtinId="3"/>
    <cellStyle name="Comma 2" xfId="5" xr:uid="{35CE19DF-C62B-439F-8816-682E46F1CA3E}"/>
    <cellStyle name="Comma 2 2" xfId="8" xr:uid="{7366645F-82A8-4A78-820F-6C5708878A06}"/>
    <cellStyle name="Comma 3" xfId="3" xr:uid="{E94A03EF-9F28-4B2F-8183-CBEC2642A8FF}"/>
    <cellStyle name="Normal" xfId="0" builtinId="0"/>
    <cellStyle name="Normal 2" xfId="2" xr:uid="{C0368F97-132F-47D3-B336-7F458133DB70}"/>
    <cellStyle name="Percent 2" xfId="4" xr:uid="{2DEA3C6B-7ACA-4EEA-8E03-431AF24F37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Nike Inc Effective Tax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Statements'!$B$13:$I$13</c:f>
              <c:numCache>
                <c:formatCode>0.0%</c:formatCode>
                <c:ptCount val="8"/>
                <c:pt idx="0">
                  <c:v>0.22164090368608799</c:v>
                </c:pt>
                <c:pt idx="1">
                  <c:v>0.18667531905688947</c:v>
                </c:pt>
                <c:pt idx="2">
                  <c:v>0.13221449038067951</c:v>
                </c:pt>
                <c:pt idx="3">
                  <c:v>0.55306358381502885</c:v>
                </c:pt>
                <c:pt idx="4">
                  <c:v>0.16079983336804832</c:v>
                </c:pt>
                <c:pt idx="5">
                  <c:v>0.12054035330793211</c:v>
                </c:pt>
                <c:pt idx="6">
                  <c:v>0.14021918630836211</c:v>
                </c:pt>
                <c:pt idx="7">
                  <c:v>9.0963764847391368E-2</c:v>
                </c:pt>
              </c:numCache>
            </c:numRef>
          </c:yVal>
          <c:smooth val="0"/>
          <c:extLst>
            <c:ext xmlns:c16="http://schemas.microsoft.com/office/drawing/2014/chart" uri="{C3380CC4-5D6E-409C-BE32-E72D297353CC}">
              <c16:uniqueId val="{00000000-5235-4DD2-B5EF-2254F485BE2A}"/>
            </c:ext>
          </c:extLst>
        </c:ser>
        <c:dLbls>
          <c:showLegendKey val="0"/>
          <c:showVal val="0"/>
          <c:showCatName val="0"/>
          <c:showSerName val="0"/>
          <c:showPercent val="0"/>
          <c:showBubbleSize val="0"/>
        </c:dLbls>
        <c:axId val="763043920"/>
        <c:axId val="763045720"/>
      </c:scatterChart>
      <c:valAx>
        <c:axId val="763043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5720"/>
        <c:crosses val="autoZero"/>
        <c:crossBetween val="midCat"/>
      </c:valAx>
      <c:valAx>
        <c:axId val="763045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43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Net Working</a:t>
            </a:r>
            <a:r>
              <a:rPr lang="en-GB" baseline="0"/>
              <a:t> Capital (% of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Statements'!$B$24:$I$24</c:f>
              <c:numCache>
                <c:formatCode>0.0%</c:formatCode>
                <c:ptCount val="8"/>
                <c:pt idx="0">
                  <c:v>0.18182412339466031</c:v>
                </c:pt>
                <c:pt idx="1">
                  <c:v>0.1818631084754139</c:v>
                </c:pt>
                <c:pt idx="2">
                  <c:v>0.19458515283842795</c:v>
                </c:pt>
                <c:pt idx="3">
                  <c:v>0.17803665137236585</c:v>
                </c:pt>
                <c:pt idx="4">
                  <c:v>0.18615947030702765</c:v>
                </c:pt>
                <c:pt idx="5">
                  <c:v>0.21035745795791783</c:v>
                </c:pt>
                <c:pt idx="6">
                  <c:v>0.19042166240064665</c:v>
                </c:pt>
                <c:pt idx="7">
                  <c:v>0.20828516377649325</c:v>
                </c:pt>
              </c:numCache>
            </c:numRef>
          </c:yVal>
          <c:smooth val="0"/>
          <c:extLst>
            <c:ext xmlns:c16="http://schemas.microsoft.com/office/drawing/2014/chart" uri="{C3380CC4-5D6E-409C-BE32-E72D297353CC}">
              <c16:uniqueId val="{00000000-6CCC-4DD4-BD57-CDC1B7C3F2A3}"/>
            </c:ext>
          </c:extLst>
        </c:ser>
        <c:dLbls>
          <c:showLegendKey val="0"/>
          <c:showVal val="0"/>
          <c:showCatName val="0"/>
          <c:showSerName val="0"/>
          <c:showPercent val="0"/>
          <c:showBubbleSize val="0"/>
        </c:dLbls>
        <c:axId val="626082264"/>
        <c:axId val="626085504"/>
      </c:scatterChart>
      <c:valAx>
        <c:axId val="626082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5504"/>
        <c:crosses val="autoZero"/>
        <c:crossBetween val="midCat"/>
      </c:valAx>
      <c:valAx>
        <c:axId val="626085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082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Cash Interest (%</a:t>
            </a:r>
            <a:r>
              <a:rPr lang="en-GB" baseline="0"/>
              <a:t> of Net Debt)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Statements'!$B$51:$I$51</c:f>
              <c:numCache>
                <c:formatCode>0.0%</c:formatCode>
                <c:ptCount val="8"/>
                <c:pt idx="0">
                  <c:v>-8.6291110387495921E-3</c:v>
                </c:pt>
                <c:pt idx="1">
                  <c:v>-1.1323196376577159E-2</c:v>
                </c:pt>
                <c:pt idx="2">
                  <c:v>-1.8915267322910635E-2</c:v>
                </c:pt>
                <c:pt idx="3">
                  <c:v>-1.5527950310559006E-2</c:v>
                </c:pt>
                <c:pt idx="4">
                  <c:v>-1.6913552951580809E-2</c:v>
                </c:pt>
                <c:pt idx="5">
                  <c:v>-2.1093867711315353E-2</c:v>
                </c:pt>
                <c:pt idx="6">
                  <c:v>-1.5849832305528506E-2</c:v>
                </c:pt>
                <c:pt idx="7">
                  <c:v>-1.5719861231569817E-2</c:v>
                </c:pt>
              </c:numCache>
            </c:numRef>
          </c:yVal>
          <c:smooth val="0"/>
          <c:extLst>
            <c:ext xmlns:c16="http://schemas.microsoft.com/office/drawing/2014/chart" uri="{C3380CC4-5D6E-409C-BE32-E72D297353CC}">
              <c16:uniqueId val="{00000000-BE70-40D9-AB80-BE302E3E27F7}"/>
            </c:ext>
          </c:extLst>
        </c:ser>
        <c:dLbls>
          <c:showLegendKey val="0"/>
          <c:showVal val="0"/>
          <c:showCatName val="0"/>
          <c:showSerName val="0"/>
          <c:showPercent val="0"/>
          <c:showBubbleSize val="0"/>
        </c:dLbls>
        <c:axId val="622931856"/>
        <c:axId val="622932576"/>
      </c:scatterChart>
      <c:valAx>
        <c:axId val="62293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2576"/>
        <c:crosses val="autoZero"/>
        <c:crossBetween val="midCat"/>
      </c:valAx>
      <c:valAx>
        <c:axId val="622932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9318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Dividend Payout Ratio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'Three Statements'!$B$1:$I$1</c:f>
              <c:numCache>
                <c:formatCode>General</c:formatCode>
                <c:ptCount val="8"/>
                <c:pt idx="0">
                  <c:v>2015</c:v>
                </c:pt>
                <c:pt idx="1">
                  <c:v>2016</c:v>
                </c:pt>
                <c:pt idx="2">
                  <c:v>2017</c:v>
                </c:pt>
                <c:pt idx="3">
                  <c:v>2018</c:v>
                </c:pt>
                <c:pt idx="4">
                  <c:v>2019</c:v>
                </c:pt>
                <c:pt idx="5">
                  <c:v>2020</c:v>
                </c:pt>
                <c:pt idx="6">
                  <c:v>2021</c:v>
                </c:pt>
                <c:pt idx="7">
                  <c:v>2022</c:v>
                </c:pt>
              </c:numCache>
            </c:numRef>
          </c:xVal>
          <c:yVal>
            <c:numRef>
              <c:f>'Three Statements'!$B$19:$I$19</c:f>
              <c:numCache>
                <c:formatCode>0.0%</c:formatCode>
                <c:ptCount val="8"/>
                <c:pt idx="0">
                  <c:v>0.27467155514818209</c:v>
                </c:pt>
                <c:pt idx="1">
                  <c:v>0.27180851063829786</c:v>
                </c:pt>
                <c:pt idx="2">
                  <c:v>0.26721698113207548</c:v>
                </c:pt>
                <c:pt idx="3">
                  <c:v>0.64304190377651316</c:v>
                </c:pt>
                <c:pt idx="4">
                  <c:v>0.33060312732688013</c:v>
                </c:pt>
                <c:pt idx="5">
                  <c:v>0.57187869239858213</c:v>
                </c:pt>
                <c:pt idx="6">
                  <c:v>0.286013619696176</c:v>
                </c:pt>
                <c:pt idx="7">
                  <c:v>0.30383724776711873</c:v>
                </c:pt>
              </c:numCache>
            </c:numRef>
          </c:yVal>
          <c:smooth val="0"/>
          <c:extLst>
            <c:ext xmlns:c16="http://schemas.microsoft.com/office/drawing/2014/chart" uri="{C3380CC4-5D6E-409C-BE32-E72D297353CC}">
              <c16:uniqueId val="{00000000-AF31-4704-8BE6-47254FDF7D6C}"/>
            </c:ext>
          </c:extLst>
        </c:ser>
        <c:dLbls>
          <c:showLegendKey val="0"/>
          <c:showVal val="0"/>
          <c:showCatName val="0"/>
          <c:showSerName val="0"/>
          <c:showPercent val="0"/>
          <c:showBubbleSize val="0"/>
        </c:dLbls>
        <c:axId val="841756296"/>
        <c:axId val="841754856"/>
      </c:scatterChart>
      <c:valAx>
        <c:axId val="84175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4856"/>
        <c:crosses val="autoZero"/>
        <c:crossBetween val="midCat"/>
      </c:valAx>
      <c:valAx>
        <c:axId val="8417548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756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14</xdr:row>
      <xdr:rowOff>76200</xdr:rowOff>
    </xdr:to>
    <xdr:graphicFrame macro="">
      <xdr:nvGraphicFramePr>
        <xdr:cNvPr id="2" name="Chart 1">
          <a:extLst>
            <a:ext uri="{FF2B5EF4-FFF2-40B4-BE49-F238E27FC236}">
              <a16:creationId xmlns:a16="http://schemas.microsoft.com/office/drawing/2014/main" id="{7D5E2565-8ED9-4E61-87C2-D73932E15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142875</xdr:rowOff>
    </xdr:from>
    <xdr:to>
      <xdr:col>7</xdr:col>
      <xdr:colOff>504825</xdr:colOff>
      <xdr:row>28</xdr:row>
      <xdr:rowOff>142875</xdr:rowOff>
    </xdr:to>
    <xdr:graphicFrame macro="">
      <xdr:nvGraphicFramePr>
        <xdr:cNvPr id="3" name="Chart 2">
          <a:extLst>
            <a:ext uri="{FF2B5EF4-FFF2-40B4-BE49-F238E27FC236}">
              <a16:creationId xmlns:a16="http://schemas.microsoft.com/office/drawing/2014/main" id="{C645D15E-6129-438D-8524-6F36E83EF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0</xdr:row>
      <xdr:rowOff>47625</xdr:rowOff>
    </xdr:from>
    <xdr:to>
      <xdr:col>15</xdr:col>
      <xdr:colOff>514350</xdr:colOff>
      <xdr:row>14</xdr:row>
      <xdr:rowOff>123825</xdr:rowOff>
    </xdr:to>
    <xdr:graphicFrame macro="">
      <xdr:nvGraphicFramePr>
        <xdr:cNvPr id="4" name="Chart 3">
          <a:extLst>
            <a:ext uri="{FF2B5EF4-FFF2-40B4-BE49-F238E27FC236}">
              <a16:creationId xmlns:a16="http://schemas.microsoft.com/office/drawing/2014/main" id="{E6103F6D-56C1-48B8-8561-3D91FA65A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14</xdr:row>
      <xdr:rowOff>180975</xdr:rowOff>
    </xdr:from>
    <xdr:to>
      <xdr:col>15</xdr:col>
      <xdr:colOff>504825</xdr:colOff>
      <xdr:row>28</xdr:row>
      <xdr:rowOff>180975</xdr:rowOff>
    </xdr:to>
    <xdr:graphicFrame macro="">
      <xdr:nvGraphicFramePr>
        <xdr:cNvPr id="5" name="Chart 4">
          <a:extLst>
            <a:ext uri="{FF2B5EF4-FFF2-40B4-BE49-F238E27FC236}">
              <a16:creationId xmlns:a16="http://schemas.microsoft.com/office/drawing/2014/main" id="{030B81BB-3E64-49A8-9AD2-3900FF7AA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0</xdr:colOff>
      <xdr:row>0</xdr:row>
      <xdr:rowOff>0</xdr:rowOff>
    </xdr:from>
    <xdr:to>
      <xdr:col>22</xdr:col>
      <xdr:colOff>370993</xdr:colOff>
      <xdr:row>14</xdr:row>
      <xdr:rowOff>85381</xdr:rowOff>
    </xdr:to>
    <xdr:pic>
      <xdr:nvPicPr>
        <xdr:cNvPr id="7" name="Picture 6">
          <a:extLst>
            <a:ext uri="{FF2B5EF4-FFF2-40B4-BE49-F238E27FC236}">
              <a16:creationId xmlns:a16="http://schemas.microsoft.com/office/drawing/2014/main" id="{95C46194-D550-EDA8-024C-2BD7C4693864}"/>
            </a:ext>
          </a:extLst>
        </xdr:cNvPr>
        <xdr:cNvPicPr>
          <a:picLocks noChangeAspect="1"/>
        </xdr:cNvPicPr>
      </xdr:nvPicPr>
      <xdr:blipFill>
        <a:blip xmlns:r="http://schemas.openxmlformats.org/officeDocument/2006/relationships" r:embed="rId5"/>
        <a:stretch>
          <a:fillRect/>
        </a:stretch>
      </xdr:blipFill>
      <xdr:spPr>
        <a:xfrm>
          <a:off x="9296400" y="0"/>
          <a:ext cx="3857143" cy="275238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A8" sqref="A8"/>
    </sheetView>
  </sheetViews>
  <sheetFormatPr defaultRowHeight="14.4" x14ac:dyDescent="0.3"/>
  <cols>
    <col min="1" max="1" width="184.44140625" bestFit="1" customWidth="1"/>
  </cols>
  <sheetData>
    <row r="1" spans="1:3" ht="23.4" x14ac:dyDescent="0.45">
      <c r="A1" s="75" t="s">
        <v>241</v>
      </c>
    </row>
    <row r="2" spans="1:3" x14ac:dyDescent="0.3">
      <c r="A2" t="s">
        <v>242</v>
      </c>
    </row>
    <row r="3" spans="1:3" x14ac:dyDescent="0.3">
      <c r="A3" s="39" t="s">
        <v>243</v>
      </c>
    </row>
    <row r="4" spans="1:3" x14ac:dyDescent="0.3">
      <c r="A4" s="77" t="s">
        <v>244</v>
      </c>
    </row>
    <row r="5" spans="1:3" x14ac:dyDescent="0.3">
      <c r="A5" t="s">
        <v>245</v>
      </c>
    </row>
    <row r="6" spans="1:3" x14ac:dyDescent="0.3">
      <c r="A6" s="32" t="s">
        <v>246</v>
      </c>
    </row>
    <row r="7" spans="1:3" x14ac:dyDescent="0.3">
      <c r="A7" s="82" t="s">
        <v>247</v>
      </c>
    </row>
    <row r="9" spans="1:3" x14ac:dyDescent="0.3">
      <c r="A9" s="39" t="s">
        <v>248</v>
      </c>
    </row>
    <row r="10" spans="1:3" x14ac:dyDescent="0.3">
      <c r="A10" s="32" t="s">
        <v>249</v>
      </c>
    </row>
    <row r="11" spans="1:3" x14ac:dyDescent="0.3">
      <c r="A11" s="32" t="s">
        <v>250</v>
      </c>
    </row>
    <row r="12" spans="1:3" x14ac:dyDescent="0.3">
      <c r="A12" s="32" t="s">
        <v>251</v>
      </c>
    </row>
    <row r="13" spans="1:3" x14ac:dyDescent="0.3">
      <c r="A13" s="32" t="s">
        <v>252</v>
      </c>
    </row>
    <row r="14" spans="1:3" x14ac:dyDescent="0.3">
      <c r="A14" s="32" t="s">
        <v>253</v>
      </c>
    </row>
    <row r="15" spans="1:3" x14ac:dyDescent="0.3">
      <c r="A15" s="32" t="s">
        <v>254</v>
      </c>
      <c r="C15" s="79" t="s">
        <v>276</v>
      </c>
    </row>
    <row r="16" spans="1:3" x14ac:dyDescent="0.3">
      <c r="A16" s="32" t="s">
        <v>255</v>
      </c>
    </row>
    <row r="17" spans="1:3" x14ac:dyDescent="0.3">
      <c r="A17" s="32" t="s">
        <v>256</v>
      </c>
    </row>
    <row r="18" spans="1:3" x14ac:dyDescent="0.3">
      <c r="A18" s="32" t="s">
        <v>257</v>
      </c>
      <c r="C18" s="79" t="s">
        <v>275</v>
      </c>
    </row>
    <row r="19" spans="1:3" x14ac:dyDescent="0.3">
      <c r="A19" t="s">
        <v>258</v>
      </c>
    </row>
    <row r="20" spans="1:3" x14ac:dyDescent="0.3">
      <c r="A20" s="32" t="s">
        <v>259</v>
      </c>
      <c r="C20" s="79" t="s">
        <v>274</v>
      </c>
    </row>
    <row r="21" spans="1:3" x14ac:dyDescent="0.3">
      <c r="A21" s="32" t="s">
        <v>260</v>
      </c>
    </row>
    <row r="22" spans="1:3" x14ac:dyDescent="0.3">
      <c r="A22" s="32" t="s">
        <v>261</v>
      </c>
    </row>
    <row r="24" spans="1:3" x14ac:dyDescent="0.3">
      <c r="A24" t="s">
        <v>262</v>
      </c>
    </row>
    <row r="25" spans="1:3" x14ac:dyDescent="0.3">
      <c r="A25" s="76"/>
    </row>
    <row r="26" spans="1:3" x14ac:dyDescent="0.3">
      <c r="A26" s="76" t="s">
        <v>263</v>
      </c>
    </row>
    <row r="30" spans="1:3" x14ac:dyDescent="0.3">
      <c r="A30"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opLeftCell="A67" workbookViewId="0">
      <selection activeCell="B15" sqref="B15"/>
    </sheetView>
  </sheetViews>
  <sheetFormatPr defaultRowHeight="14.4" x14ac:dyDescent="0.3"/>
  <cols>
    <col min="1" max="1" width="121.6640625" bestFit="1" customWidth="1"/>
  </cols>
  <sheetData>
    <row r="1" spans="1:9" ht="40.200000000000003" x14ac:dyDescent="0.3">
      <c r="A1" s="34" t="s">
        <v>129</v>
      </c>
      <c r="B1" s="35">
        <f t="shared" ref="B1:G1" si="0">+C1-1</f>
        <v>2015</v>
      </c>
      <c r="C1" s="35">
        <f t="shared" si="0"/>
        <v>2016</v>
      </c>
      <c r="D1" s="35">
        <f t="shared" si="0"/>
        <v>2017</v>
      </c>
      <c r="E1" s="35">
        <f t="shared" si="0"/>
        <v>2018</v>
      </c>
      <c r="F1" s="35">
        <f t="shared" si="0"/>
        <v>2019</v>
      </c>
      <c r="G1" s="35">
        <f t="shared" si="0"/>
        <v>2020</v>
      </c>
      <c r="H1" s="35">
        <f>+I1-1</f>
        <v>2021</v>
      </c>
      <c r="I1" s="35">
        <v>2022</v>
      </c>
    </row>
    <row r="2" spans="1:9" x14ac:dyDescent="0.3">
      <c r="A2" t="s">
        <v>130</v>
      </c>
      <c r="B2" s="36">
        <v>30601</v>
      </c>
      <c r="C2" s="36">
        <v>32376</v>
      </c>
      <c r="D2" s="36">
        <v>34350</v>
      </c>
      <c r="E2" s="36">
        <v>36397</v>
      </c>
      <c r="F2" s="36">
        <v>39117</v>
      </c>
      <c r="G2" s="36">
        <v>37403</v>
      </c>
      <c r="H2" s="36">
        <v>44538</v>
      </c>
      <c r="I2" s="36">
        <v>46710</v>
      </c>
    </row>
    <row r="3" spans="1:9" x14ac:dyDescent="0.3">
      <c r="A3" s="37" t="s">
        <v>131</v>
      </c>
      <c r="B3" s="38">
        <v>16534</v>
      </c>
      <c r="C3" s="38">
        <v>17405</v>
      </c>
      <c r="D3" s="38">
        <v>19038</v>
      </c>
      <c r="E3" s="38">
        <v>20441</v>
      </c>
      <c r="F3" s="38">
        <v>21643</v>
      </c>
      <c r="G3" s="38">
        <v>21162</v>
      </c>
      <c r="H3" s="38">
        <v>24576</v>
      </c>
      <c r="I3" s="38">
        <v>25231</v>
      </c>
    </row>
    <row r="4" spans="1:9" x14ac:dyDescent="0.3">
      <c r="A4" s="39" t="s">
        <v>132</v>
      </c>
      <c r="B4" s="40">
        <f t="shared" ref="B4:H4" si="1">+B2-B3</f>
        <v>14067</v>
      </c>
      <c r="C4" s="40">
        <f t="shared" si="1"/>
        <v>14971</v>
      </c>
      <c r="D4" s="40">
        <f t="shared" si="1"/>
        <v>15312</v>
      </c>
      <c r="E4" s="40">
        <f t="shared" si="1"/>
        <v>15956</v>
      </c>
      <c r="F4" s="40">
        <f t="shared" si="1"/>
        <v>17474</v>
      </c>
      <c r="G4" s="40">
        <f t="shared" si="1"/>
        <v>16241</v>
      </c>
      <c r="H4" s="40">
        <f t="shared" si="1"/>
        <v>19962</v>
      </c>
      <c r="I4" s="40">
        <f>+I2-I3</f>
        <v>21479</v>
      </c>
    </row>
    <row r="5" spans="1:9" x14ac:dyDescent="0.3">
      <c r="A5" s="41" t="s">
        <v>133</v>
      </c>
      <c r="B5" s="36">
        <v>3213</v>
      </c>
      <c r="C5" s="36">
        <v>3278</v>
      </c>
      <c r="D5" s="36">
        <v>3341</v>
      </c>
      <c r="E5" s="36">
        <v>3577</v>
      </c>
      <c r="F5" s="36">
        <v>3753</v>
      </c>
      <c r="G5" s="36">
        <v>3592</v>
      </c>
      <c r="H5" s="36">
        <v>3114</v>
      </c>
      <c r="I5" s="36">
        <v>3850</v>
      </c>
    </row>
    <row r="6" spans="1:9" x14ac:dyDescent="0.3">
      <c r="A6" s="41" t="s">
        <v>134</v>
      </c>
      <c r="B6" s="36">
        <v>6679</v>
      </c>
      <c r="C6" s="36">
        <v>7191</v>
      </c>
      <c r="D6" s="36">
        <v>7222</v>
      </c>
      <c r="E6" s="36">
        <v>7934</v>
      </c>
      <c r="F6" s="36">
        <v>8949</v>
      </c>
      <c r="G6" s="36">
        <v>9534</v>
      </c>
      <c r="H6" s="36">
        <v>9911</v>
      </c>
      <c r="I6" s="36">
        <v>10954</v>
      </c>
    </row>
    <row r="7" spans="1:9" x14ac:dyDescent="0.3">
      <c r="A7" s="42" t="s">
        <v>135</v>
      </c>
      <c r="B7" s="43">
        <f t="shared" ref="B7:H7" si="2">+B5+B6</f>
        <v>9892</v>
      </c>
      <c r="C7" s="43">
        <f t="shared" si="2"/>
        <v>10469</v>
      </c>
      <c r="D7" s="43">
        <f t="shared" si="2"/>
        <v>10563</v>
      </c>
      <c r="E7" s="43">
        <f t="shared" si="2"/>
        <v>11511</v>
      </c>
      <c r="F7" s="43">
        <f t="shared" si="2"/>
        <v>12702</v>
      </c>
      <c r="G7" s="43">
        <f t="shared" si="2"/>
        <v>13126</v>
      </c>
      <c r="H7" s="43">
        <f t="shared" si="2"/>
        <v>13025</v>
      </c>
      <c r="I7" s="43">
        <f>+I5+I6</f>
        <v>14804</v>
      </c>
    </row>
    <row r="8" spans="1:9" x14ac:dyDescent="0.3">
      <c r="A8" s="44" t="s">
        <v>0</v>
      </c>
      <c r="B8" s="36">
        <v>28</v>
      </c>
      <c r="C8" s="36">
        <v>19</v>
      </c>
      <c r="D8" s="36">
        <v>59</v>
      </c>
      <c r="E8" s="45">
        <v>54</v>
      </c>
      <c r="F8" s="45">
        <v>49</v>
      </c>
      <c r="G8" s="45">
        <v>89</v>
      </c>
      <c r="H8" s="36">
        <v>262</v>
      </c>
      <c r="I8" s="36">
        <v>205</v>
      </c>
    </row>
    <row r="9" spans="1:9" x14ac:dyDescent="0.3">
      <c r="A9" s="44" t="s">
        <v>136</v>
      </c>
      <c r="B9" s="36">
        <v>-58</v>
      </c>
      <c r="C9" s="36">
        <v>-140</v>
      </c>
      <c r="D9" s="36">
        <v>-196</v>
      </c>
      <c r="E9" s="45">
        <v>66</v>
      </c>
      <c r="F9" s="45">
        <v>-78</v>
      </c>
      <c r="G9" s="45">
        <v>139</v>
      </c>
      <c r="H9" s="36">
        <v>14</v>
      </c>
      <c r="I9" s="36">
        <v>-181</v>
      </c>
    </row>
    <row r="10" spans="1:9" x14ac:dyDescent="0.3">
      <c r="A10" s="46" t="s">
        <v>137</v>
      </c>
      <c r="B10" s="47">
        <f t="shared" ref="B10:H10" si="3">+B4-B7-B8-B9</f>
        <v>4205</v>
      </c>
      <c r="C10" s="47">
        <f t="shared" si="3"/>
        <v>4623</v>
      </c>
      <c r="D10" s="47">
        <f t="shared" si="3"/>
        <v>4886</v>
      </c>
      <c r="E10" s="47">
        <f t="shared" si="3"/>
        <v>4325</v>
      </c>
      <c r="F10" s="47">
        <f t="shared" si="3"/>
        <v>4801</v>
      </c>
      <c r="G10" s="47">
        <f t="shared" si="3"/>
        <v>2887</v>
      </c>
      <c r="H10" s="47">
        <f t="shared" si="3"/>
        <v>6661</v>
      </c>
      <c r="I10" s="47">
        <f>+I4-I7-I8-I9</f>
        <v>6651</v>
      </c>
    </row>
    <row r="11" spans="1:9" x14ac:dyDescent="0.3">
      <c r="A11" s="44" t="s">
        <v>1</v>
      </c>
      <c r="B11" s="45">
        <v>932</v>
      </c>
      <c r="C11" s="45">
        <v>863</v>
      </c>
      <c r="D11" s="45">
        <v>646</v>
      </c>
      <c r="E11" s="45">
        <v>2392</v>
      </c>
      <c r="F11" s="45">
        <v>772</v>
      </c>
      <c r="G11" s="45">
        <v>348</v>
      </c>
      <c r="H11" s="45">
        <v>934</v>
      </c>
      <c r="I11" s="45">
        <v>605</v>
      </c>
    </row>
    <row r="12" spans="1:9" ht="15" thickBot="1" x14ac:dyDescent="0.35">
      <c r="A12" s="48" t="s">
        <v>138</v>
      </c>
      <c r="B12" s="49">
        <f t="shared" ref="B12:H12" si="4">+B10-B11</f>
        <v>3273</v>
      </c>
      <c r="C12" s="49">
        <f t="shared" si="4"/>
        <v>3760</v>
      </c>
      <c r="D12" s="49">
        <f t="shared" si="4"/>
        <v>4240</v>
      </c>
      <c r="E12" s="49">
        <f t="shared" si="4"/>
        <v>1933</v>
      </c>
      <c r="F12" s="49">
        <f t="shared" si="4"/>
        <v>4029</v>
      </c>
      <c r="G12" s="49">
        <f t="shared" si="4"/>
        <v>2539</v>
      </c>
      <c r="H12" s="49">
        <f t="shared" si="4"/>
        <v>5727</v>
      </c>
      <c r="I12" s="49">
        <f>+I10-I11</f>
        <v>6046</v>
      </c>
    </row>
    <row r="13" spans="1:9" ht="15" thickTop="1" x14ac:dyDescent="0.3">
      <c r="A13" s="39" t="s">
        <v>139</v>
      </c>
    </row>
    <row r="14" spans="1:9" x14ac:dyDescent="0.3">
      <c r="A14" s="44" t="s">
        <v>140</v>
      </c>
      <c r="B14">
        <v>1.9</v>
      </c>
      <c r="C14">
        <v>2.21</v>
      </c>
      <c r="D14">
        <v>2.56</v>
      </c>
      <c r="E14">
        <v>1.19</v>
      </c>
      <c r="F14">
        <v>2.5499999999999998</v>
      </c>
      <c r="G14">
        <v>1.63</v>
      </c>
      <c r="H14">
        <v>3.64</v>
      </c>
      <c r="I14">
        <v>3.83</v>
      </c>
    </row>
    <row r="15" spans="1:9" x14ac:dyDescent="0.3">
      <c r="A15" s="44" t="s">
        <v>141</v>
      </c>
      <c r="B15">
        <v>1.85</v>
      </c>
      <c r="C15">
        <v>2.16</v>
      </c>
      <c r="D15">
        <v>2.5099999999999998</v>
      </c>
      <c r="E15">
        <v>1.17</v>
      </c>
      <c r="F15">
        <v>2.4900000000000002</v>
      </c>
      <c r="G15">
        <v>1.6</v>
      </c>
      <c r="H15">
        <v>3.56</v>
      </c>
      <c r="I15">
        <v>3.75</v>
      </c>
    </row>
    <row r="16" spans="1:9" x14ac:dyDescent="0.3">
      <c r="A16" s="39" t="s">
        <v>142</v>
      </c>
    </row>
    <row r="17" spans="1:9" x14ac:dyDescent="0.3">
      <c r="A17" s="44" t="s">
        <v>140</v>
      </c>
      <c r="B17">
        <v>1723.5</v>
      </c>
      <c r="C17">
        <v>1697.9</v>
      </c>
      <c r="D17">
        <v>1657.8</v>
      </c>
      <c r="E17">
        <v>1623.8</v>
      </c>
      <c r="F17">
        <v>1579.7</v>
      </c>
      <c r="G17" s="50">
        <v>1558.8</v>
      </c>
      <c r="H17" s="51">
        <v>1573</v>
      </c>
      <c r="I17" s="51">
        <v>1578.8</v>
      </c>
    </row>
    <row r="18" spans="1:9" x14ac:dyDescent="0.3">
      <c r="A18" s="44" t="s">
        <v>141</v>
      </c>
      <c r="B18">
        <v>1768.8</v>
      </c>
      <c r="C18">
        <v>1742.5</v>
      </c>
      <c r="D18">
        <v>1692</v>
      </c>
      <c r="E18">
        <v>1659.1</v>
      </c>
      <c r="F18">
        <v>1618.4</v>
      </c>
      <c r="G18" s="50">
        <v>1591.6</v>
      </c>
      <c r="H18" s="51">
        <v>1609.4</v>
      </c>
      <c r="I18" s="51">
        <v>1610.8</v>
      </c>
    </row>
    <row r="20" spans="1:9" x14ac:dyDescent="0.3">
      <c r="A20" s="52" t="s">
        <v>143</v>
      </c>
      <c r="B20" s="53">
        <f t="shared" ref="B20:H20" si="5">+ROUND(((B12/B18)-B15),2)</f>
        <v>0</v>
      </c>
      <c r="C20" s="53">
        <f t="shared" si="5"/>
        <v>0</v>
      </c>
      <c r="D20" s="53">
        <f t="shared" si="5"/>
        <v>0</v>
      </c>
      <c r="E20" s="53">
        <f t="shared" si="5"/>
        <v>0</v>
      </c>
      <c r="F20" s="53">
        <f t="shared" si="5"/>
        <v>0</v>
      </c>
      <c r="G20" s="53">
        <f t="shared" si="5"/>
        <v>0</v>
      </c>
      <c r="H20" s="53">
        <f t="shared" si="5"/>
        <v>0</v>
      </c>
      <c r="I20" s="53">
        <f>+ROUND(((I12/I18)-I15),2)</f>
        <v>0</v>
      </c>
    </row>
    <row r="22" spans="1:9" x14ac:dyDescent="0.3">
      <c r="A22" s="54" t="s">
        <v>144</v>
      </c>
      <c r="B22" s="54"/>
      <c r="C22" s="54"/>
      <c r="D22" s="54"/>
      <c r="E22" s="54"/>
      <c r="F22" s="54"/>
      <c r="G22" s="54"/>
      <c r="H22" s="54"/>
      <c r="I22" s="54"/>
    </row>
    <row r="23" spans="1:9" x14ac:dyDescent="0.3">
      <c r="A23" s="39" t="s">
        <v>145</v>
      </c>
    </row>
    <row r="24" spans="1:9" x14ac:dyDescent="0.3">
      <c r="A24" s="55" t="s">
        <v>146</v>
      </c>
      <c r="B24" s="36"/>
      <c r="C24" s="36"/>
      <c r="D24" s="36"/>
      <c r="E24" s="36"/>
      <c r="F24" s="36"/>
      <c r="G24" s="36"/>
      <c r="H24" s="36"/>
      <c r="I24" s="36"/>
    </row>
    <row r="25" spans="1:9" x14ac:dyDescent="0.3">
      <c r="A25" s="41" t="s">
        <v>147</v>
      </c>
      <c r="B25" s="36">
        <v>3852</v>
      </c>
      <c r="C25" s="36">
        <v>3138</v>
      </c>
      <c r="D25" s="36">
        <v>3808</v>
      </c>
      <c r="E25" s="36">
        <v>4249</v>
      </c>
      <c r="F25" s="36">
        <v>4466</v>
      </c>
      <c r="G25" s="36">
        <v>8348</v>
      </c>
      <c r="H25" s="36">
        <v>9889</v>
      </c>
      <c r="I25" s="36">
        <v>8574</v>
      </c>
    </row>
    <row r="26" spans="1:9" x14ac:dyDescent="0.3">
      <c r="A26" s="41" t="s">
        <v>148</v>
      </c>
      <c r="B26" s="36">
        <v>2072</v>
      </c>
      <c r="C26" s="36">
        <v>2319</v>
      </c>
      <c r="D26" s="36">
        <v>2371</v>
      </c>
      <c r="E26" s="36">
        <v>996</v>
      </c>
      <c r="F26" s="36">
        <v>197</v>
      </c>
      <c r="G26" s="36">
        <v>439</v>
      </c>
      <c r="H26" s="36">
        <v>3587</v>
      </c>
      <c r="I26" s="36">
        <v>4423</v>
      </c>
    </row>
    <row r="27" spans="1:9" x14ac:dyDescent="0.3">
      <c r="A27" s="41" t="s">
        <v>149</v>
      </c>
      <c r="B27" s="56">
        <v>3358</v>
      </c>
      <c r="C27" s="56">
        <v>3241</v>
      </c>
      <c r="D27" s="56">
        <v>3677</v>
      </c>
      <c r="E27" s="56">
        <v>3498</v>
      </c>
      <c r="F27" s="56">
        <v>4272</v>
      </c>
      <c r="G27" s="56">
        <v>2749</v>
      </c>
      <c r="H27" s="56">
        <v>4463</v>
      </c>
      <c r="I27" s="56">
        <v>4667</v>
      </c>
    </row>
    <row r="28" spans="1:9" x14ac:dyDescent="0.3">
      <c r="A28" s="41" t="s">
        <v>150</v>
      </c>
      <c r="B28" s="56">
        <v>4337</v>
      </c>
      <c r="C28" s="56">
        <v>4838</v>
      </c>
      <c r="D28" s="56">
        <v>5055</v>
      </c>
      <c r="E28" s="56">
        <v>5261</v>
      </c>
      <c r="F28" s="56">
        <v>5622</v>
      </c>
      <c r="G28" s="56">
        <v>7367</v>
      </c>
      <c r="H28" s="56">
        <v>6854</v>
      </c>
      <c r="I28" s="56">
        <v>8420</v>
      </c>
    </row>
    <row r="29" spans="1:9" x14ac:dyDescent="0.3">
      <c r="A29" s="41" t="s">
        <v>151</v>
      </c>
      <c r="B29" s="56">
        <v>1968</v>
      </c>
      <c r="C29" s="56">
        <v>1489</v>
      </c>
      <c r="D29" s="56">
        <v>1150</v>
      </c>
      <c r="E29" s="56">
        <v>1130</v>
      </c>
      <c r="F29" s="56">
        <v>1968</v>
      </c>
      <c r="G29" s="56">
        <v>1653</v>
      </c>
      <c r="H29" s="56">
        <v>1498</v>
      </c>
      <c r="I29" s="56">
        <v>2129</v>
      </c>
    </row>
    <row r="30" spans="1:9" x14ac:dyDescent="0.3">
      <c r="A30" s="46" t="s">
        <v>152</v>
      </c>
      <c r="B30" s="47">
        <f t="shared" ref="B30:H30" si="6">+SUM(B25:B29)</f>
        <v>15587</v>
      </c>
      <c r="C30" s="47">
        <f t="shared" si="6"/>
        <v>15025</v>
      </c>
      <c r="D30" s="47">
        <f t="shared" si="6"/>
        <v>16061</v>
      </c>
      <c r="E30" s="47">
        <f t="shared" si="6"/>
        <v>15134</v>
      </c>
      <c r="F30" s="47">
        <f t="shared" si="6"/>
        <v>16525</v>
      </c>
      <c r="G30" s="47">
        <f t="shared" si="6"/>
        <v>20556</v>
      </c>
      <c r="H30" s="47">
        <f t="shared" si="6"/>
        <v>26291</v>
      </c>
      <c r="I30" s="47">
        <f>+SUM(I25:I29)</f>
        <v>28213</v>
      </c>
    </row>
    <row r="31" spans="1:9" x14ac:dyDescent="0.3">
      <c r="A31" s="44" t="s">
        <v>153</v>
      </c>
      <c r="B31" s="45">
        <v>3011</v>
      </c>
      <c r="C31" s="45">
        <v>3520</v>
      </c>
      <c r="D31" s="45">
        <v>3989</v>
      </c>
      <c r="E31" s="45">
        <v>4454</v>
      </c>
      <c r="F31" s="45">
        <v>4744</v>
      </c>
      <c r="G31" s="45">
        <v>4866</v>
      </c>
      <c r="H31" s="45">
        <v>4904</v>
      </c>
      <c r="I31" s="45">
        <v>4791</v>
      </c>
    </row>
    <row r="32" spans="1:9" x14ac:dyDescent="0.3">
      <c r="A32" s="44" t="s">
        <v>2</v>
      </c>
      <c r="B32" s="45">
        <v>0</v>
      </c>
      <c r="C32" s="45">
        <v>0</v>
      </c>
      <c r="D32" s="45">
        <v>0</v>
      </c>
      <c r="E32" s="45">
        <v>0</v>
      </c>
      <c r="F32" s="45">
        <v>0</v>
      </c>
      <c r="G32" s="45">
        <v>3097</v>
      </c>
      <c r="H32" s="45">
        <v>3113</v>
      </c>
      <c r="I32" s="45">
        <v>2926</v>
      </c>
    </row>
    <row r="33" spans="1:9" x14ac:dyDescent="0.3">
      <c r="A33" s="44" t="s">
        <v>154</v>
      </c>
      <c r="B33" s="45">
        <v>281</v>
      </c>
      <c r="C33" s="45">
        <v>281</v>
      </c>
      <c r="D33" s="45">
        <v>283</v>
      </c>
      <c r="E33" s="45">
        <v>285</v>
      </c>
      <c r="F33" s="45">
        <v>283</v>
      </c>
      <c r="G33" s="45">
        <v>274</v>
      </c>
      <c r="H33" s="45">
        <v>269</v>
      </c>
      <c r="I33" s="45">
        <v>286</v>
      </c>
    </row>
    <row r="34" spans="1:9" x14ac:dyDescent="0.3">
      <c r="A34" s="44" t="s">
        <v>3</v>
      </c>
      <c r="B34" s="45">
        <v>131</v>
      </c>
      <c r="C34" s="45">
        <v>131</v>
      </c>
      <c r="D34" s="45">
        <v>139</v>
      </c>
      <c r="E34" s="45">
        <v>154</v>
      </c>
      <c r="F34" s="45">
        <v>154</v>
      </c>
      <c r="G34" s="45">
        <v>223</v>
      </c>
      <c r="H34" s="45">
        <v>242</v>
      </c>
      <c r="I34" s="45">
        <v>284</v>
      </c>
    </row>
    <row r="35" spans="1:9" x14ac:dyDescent="0.3">
      <c r="A35" s="44" t="s">
        <v>155</v>
      </c>
      <c r="B35" s="45">
        <v>2587</v>
      </c>
      <c r="C35" s="45">
        <v>2439</v>
      </c>
      <c r="D35" s="45">
        <v>2787</v>
      </c>
      <c r="E35" s="45">
        <v>2509</v>
      </c>
      <c r="F35" s="45">
        <v>2011</v>
      </c>
      <c r="G35" s="45">
        <v>2326</v>
      </c>
      <c r="H35" s="45">
        <v>2921</v>
      </c>
      <c r="I35" s="45">
        <v>3821</v>
      </c>
    </row>
    <row r="36" spans="1:9" ht="15" thickBot="1" x14ac:dyDescent="0.35">
      <c r="A36" s="48" t="s">
        <v>156</v>
      </c>
      <c r="B36" s="49">
        <f t="shared" ref="B36:H36" si="7">+SUM(B30:B35)</f>
        <v>21597</v>
      </c>
      <c r="C36" s="49">
        <f t="shared" si="7"/>
        <v>21396</v>
      </c>
      <c r="D36" s="49">
        <f t="shared" si="7"/>
        <v>23259</v>
      </c>
      <c r="E36" s="49">
        <f t="shared" si="7"/>
        <v>22536</v>
      </c>
      <c r="F36" s="49">
        <f t="shared" si="7"/>
        <v>23717</v>
      </c>
      <c r="G36" s="49">
        <f t="shared" si="7"/>
        <v>31342</v>
      </c>
      <c r="H36" s="49">
        <f t="shared" si="7"/>
        <v>37740</v>
      </c>
      <c r="I36" s="49">
        <f>+SUM(I30:I35)</f>
        <v>40321</v>
      </c>
    </row>
    <row r="37" spans="1:9" ht="15" thickTop="1" x14ac:dyDescent="0.3">
      <c r="A37" s="39" t="s">
        <v>157</v>
      </c>
      <c r="B37" s="36"/>
      <c r="C37" s="36"/>
      <c r="D37" s="36"/>
      <c r="E37" s="36"/>
      <c r="F37" s="36"/>
      <c r="G37" s="36"/>
      <c r="H37" s="36"/>
      <c r="I37" s="36"/>
    </row>
    <row r="38" spans="1:9" x14ac:dyDescent="0.3">
      <c r="A38" s="44" t="s">
        <v>158</v>
      </c>
      <c r="B38" s="36"/>
      <c r="C38" s="36"/>
      <c r="D38" s="36"/>
      <c r="E38" s="36"/>
      <c r="F38" s="36"/>
      <c r="G38" s="36"/>
      <c r="H38" s="36"/>
      <c r="I38" s="36"/>
    </row>
    <row r="39" spans="1:9" x14ac:dyDescent="0.3">
      <c r="A39" s="41" t="s">
        <v>4</v>
      </c>
      <c r="B39" s="56">
        <v>107</v>
      </c>
      <c r="C39" s="56">
        <v>44</v>
      </c>
      <c r="D39" s="56">
        <v>6</v>
      </c>
      <c r="E39" s="56">
        <v>6</v>
      </c>
      <c r="F39" s="56">
        <v>6</v>
      </c>
      <c r="G39" s="56">
        <v>3</v>
      </c>
      <c r="H39" s="56">
        <v>0</v>
      </c>
      <c r="I39" s="56">
        <v>500</v>
      </c>
    </row>
    <row r="40" spans="1:9" x14ac:dyDescent="0.3">
      <c r="A40" s="41" t="s">
        <v>5</v>
      </c>
      <c r="B40" s="56">
        <v>74</v>
      </c>
      <c r="C40" s="56">
        <v>1</v>
      </c>
      <c r="D40" s="56">
        <v>325</v>
      </c>
      <c r="E40" s="56">
        <v>336</v>
      </c>
      <c r="F40" s="56">
        <v>9</v>
      </c>
      <c r="G40" s="56">
        <v>248</v>
      </c>
      <c r="H40" s="56">
        <v>2</v>
      </c>
      <c r="I40" s="56">
        <v>10</v>
      </c>
    </row>
    <row r="41" spans="1:9" x14ac:dyDescent="0.3">
      <c r="A41" s="41" t="s">
        <v>159</v>
      </c>
      <c r="B41" s="56">
        <v>2131</v>
      </c>
      <c r="C41" s="56">
        <v>2191</v>
      </c>
      <c r="D41" s="56">
        <v>2048</v>
      </c>
      <c r="E41" s="56">
        <v>2279</v>
      </c>
      <c r="F41" s="56">
        <v>2612</v>
      </c>
      <c r="G41" s="56">
        <v>2248</v>
      </c>
      <c r="H41" s="56">
        <v>2836</v>
      </c>
      <c r="I41" s="56">
        <v>3358</v>
      </c>
    </row>
    <row r="42" spans="1:9" x14ac:dyDescent="0.3">
      <c r="A42" s="41" t="s">
        <v>160</v>
      </c>
      <c r="B42" s="56">
        <v>0</v>
      </c>
      <c r="C42" s="56">
        <v>0</v>
      </c>
      <c r="D42" s="56">
        <v>0</v>
      </c>
      <c r="E42" s="56">
        <v>0</v>
      </c>
      <c r="F42" s="56">
        <v>0</v>
      </c>
      <c r="G42" s="56">
        <v>445</v>
      </c>
      <c r="H42" s="56">
        <v>467</v>
      </c>
      <c r="I42" s="56">
        <v>420</v>
      </c>
    </row>
    <row r="43" spans="1:9" x14ac:dyDescent="0.3">
      <c r="A43" s="41" t="s">
        <v>161</v>
      </c>
      <c r="B43" s="56">
        <v>3949</v>
      </c>
      <c r="C43" s="56">
        <v>3037</v>
      </c>
      <c r="D43" s="56">
        <v>3011</v>
      </c>
      <c r="E43" s="56">
        <v>3269</v>
      </c>
      <c r="F43" s="56">
        <v>5010</v>
      </c>
      <c r="G43" s="56">
        <v>5184</v>
      </c>
      <c r="H43" s="56">
        <v>6063</v>
      </c>
      <c r="I43" s="56">
        <v>6220</v>
      </c>
    </row>
    <row r="44" spans="1:9" x14ac:dyDescent="0.3">
      <c r="A44" s="41" t="s">
        <v>162</v>
      </c>
      <c r="B44" s="56">
        <v>71</v>
      </c>
      <c r="C44" s="56">
        <v>85</v>
      </c>
      <c r="D44" s="56">
        <v>84</v>
      </c>
      <c r="E44" s="56">
        <v>150</v>
      </c>
      <c r="F44" s="56">
        <v>229</v>
      </c>
      <c r="G44" s="56">
        <v>156</v>
      </c>
      <c r="H44" s="56">
        <v>306</v>
      </c>
      <c r="I44" s="56">
        <v>222</v>
      </c>
    </row>
    <row r="45" spans="1:9" x14ac:dyDescent="0.3">
      <c r="A45" s="46" t="s">
        <v>163</v>
      </c>
      <c r="B45" s="47">
        <f t="shared" ref="B45:H45" si="8">+SUM(B39:B44)</f>
        <v>6332</v>
      </c>
      <c r="C45" s="47">
        <f t="shared" si="8"/>
        <v>5358</v>
      </c>
      <c r="D45" s="47">
        <f t="shared" si="8"/>
        <v>5474</v>
      </c>
      <c r="E45" s="47">
        <f t="shared" si="8"/>
        <v>6040</v>
      </c>
      <c r="F45" s="47">
        <f t="shared" si="8"/>
        <v>7866</v>
      </c>
      <c r="G45" s="47">
        <f t="shared" si="8"/>
        <v>8284</v>
      </c>
      <c r="H45" s="47">
        <f t="shared" si="8"/>
        <v>9674</v>
      </c>
      <c r="I45" s="47">
        <f>+SUM(I39:I44)</f>
        <v>10730</v>
      </c>
    </row>
    <row r="46" spans="1:9" x14ac:dyDescent="0.3">
      <c r="A46" s="44" t="s">
        <v>6</v>
      </c>
      <c r="B46" s="45">
        <v>1079</v>
      </c>
      <c r="C46" s="45">
        <v>2010</v>
      </c>
      <c r="D46" s="45">
        <v>3471</v>
      </c>
      <c r="E46" s="45">
        <v>3468</v>
      </c>
      <c r="F46" s="45">
        <v>3464</v>
      </c>
      <c r="G46" s="45">
        <v>9406</v>
      </c>
      <c r="H46" s="45">
        <v>9413</v>
      </c>
      <c r="I46" s="45">
        <v>8920</v>
      </c>
    </row>
    <row r="47" spans="1:9" x14ac:dyDescent="0.3">
      <c r="A47" s="44" t="s">
        <v>7</v>
      </c>
      <c r="B47" s="45">
        <v>0</v>
      </c>
      <c r="C47" s="45">
        <v>0</v>
      </c>
      <c r="D47" s="45">
        <v>0</v>
      </c>
      <c r="E47" s="45">
        <v>0</v>
      </c>
      <c r="F47" s="45">
        <v>0</v>
      </c>
      <c r="G47" s="45">
        <v>2913</v>
      </c>
      <c r="H47" s="45">
        <v>2931</v>
      </c>
      <c r="I47" s="45">
        <v>2777</v>
      </c>
    </row>
    <row r="48" spans="1:9" x14ac:dyDescent="0.3">
      <c r="A48" s="44" t="s">
        <v>164</v>
      </c>
      <c r="B48" s="45">
        <v>1479</v>
      </c>
      <c r="C48" s="45">
        <v>1770</v>
      </c>
      <c r="D48" s="45">
        <v>1907</v>
      </c>
      <c r="E48" s="45">
        <v>3216</v>
      </c>
      <c r="F48" s="45">
        <v>3347</v>
      </c>
      <c r="G48" s="45">
        <v>2684</v>
      </c>
      <c r="H48" s="45">
        <v>2955</v>
      </c>
      <c r="I48" s="45">
        <v>2613</v>
      </c>
    </row>
    <row r="49" spans="1:9" x14ac:dyDescent="0.3">
      <c r="A49" s="44" t="s">
        <v>165</v>
      </c>
      <c r="B49" s="45" t="s">
        <v>166</v>
      </c>
      <c r="C49" s="45" t="s">
        <v>166</v>
      </c>
      <c r="D49" s="45" t="s">
        <v>166</v>
      </c>
      <c r="E49" s="45" t="s">
        <v>166</v>
      </c>
      <c r="F49" s="45" t="s">
        <v>166</v>
      </c>
      <c r="G49" s="45"/>
      <c r="H49" s="45"/>
      <c r="I49" s="45"/>
    </row>
    <row r="50" spans="1:9" x14ac:dyDescent="0.3">
      <c r="A50" s="41" t="s">
        <v>167</v>
      </c>
      <c r="B50" s="45" t="s">
        <v>166</v>
      </c>
      <c r="C50" s="45" t="s">
        <v>166</v>
      </c>
      <c r="D50" s="45" t="s">
        <v>166</v>
      </c>
      <c r="E50" s="45" t="s">
        <v>166</v>
      </c>
      <c r="F50" s="45" t="s">
        <v>166</v>
      </c>
      <c r="G50" s="45" t="s">
        <v>166</v>
      </c>
      <c r="H50" s="45" t="s">
        <v>168</v>
      </c>
      <c r="I50" s="45" t="s">
        <v>169</v>
      </c>
    </row>
    <row r="51" spans="1:9" x14ac:dyDescent="0.3">
      <c r="A51" s="44" t="s">
        <v>170</v>
      </c>
      <c r="B51" s="45"/>
      <c r="C51" s="45"/>
      <c r="D51" s="45"/>
      <c r="E51" s="45"/>
      <c r="F51" s="45"/>
      <c r="G51" s="45"/>
      <c r="H51" s="45"/>
      <c r="I51" s="45"/>
    </row>
    <row r="52" spans="1:9" x14ac:dyDescent="0.3">
      <c r="A52" s="41" t="s">
        <v>171</v>
      </c>
      <c r="B52" s="45"/>
      <c r="C52" s="45"/>
      <c r="D52" s="45"/>
      <c r="E52" s="45"/>
      <c r="F52" s="45"/>
      <c r="G52" s="45"/>
      <c r="H52" s="45"/>
      <c r="I52" s="45"/>
    </row>
    <row r="53" spans="1:9" x14ac:dyDescent="0.3">
      <c r="A53" s="57" t="s">
        <v>172</v>
      </c>
      <c r="B53" s="45" t="s">
        <v>166</v>
      </c>
      <c r="C53" s="45" t="s">
        <v>166</v>
      </c>
      <c r="D53" s="45" t="s">
        <v>166</v>
      </c>
      <c r="E53" s="45" t="s">
        <v>166</v>
      </c>
      <c r="F53" s="45" t="s">
        <v>166</v>
      </c>
      <c r="G53" s="45" t="s">
        <v>166</v>
      </c>
      <c r="H53" s="45"/>
      <c r="I53" s="45"/>
    </row>
    <row r="54" spans="1:9" x14ac:dyDescent="0.3">
      <c r="A54" s="57" t="s">
        <v>173</v>
      </c>
      <c r="B54" s="45">
        <v>3</v>
      </c>
      <c r="C54" s="45">
        <v>3</v>
      </c>
      <c r="D54" s="45">
        <v>3</v>
      </c>
      <c r="E54" s="45">
        <v>3</v>
      </c>
      <c r="F54" s="45">
        <v>3</v>
      </c>
      <c r="G54" s="45">
        <v>3</v>
      </c>
      <c r="H54" s="45">
        <v>3</v>
      </c>
      <c r="I54" s="45">
        <v>3</v>
      </c>
    </row>
    <row r="55" spans="1:9" x14ac:dyDescent="0.3">
      <c r="A55" s="57" t="s">
        <v>174</v>
      </c>
      <c r="B55" s="45">
        <v>6773</v>
      </c>
      <c r="C55" s="45">
        <v>7786</v>
      </c>
      <c r="D55" s="45">
        <v>8638</v>
      </c>
      <c r="E55" s="45">
        <v>6384</v>
      </c>
      <c r="F55" s="45">
        <v>7163</v>
      </c>
      <c r="G55" s="45">
        <v>8299</v>
      </c>
      <c r="H55" s="45">
        <v>9965</v>
      </c>
      <c r="I55" s="45">
        <v>11484</v>
      </c>
    </row>
    <row r="56" spans="1:9" x14ac:dyDescent="0.3">
      <c r="A56" s="57" t="s">
        <v>175</v>
      </c>
      <c r="B56" s="45">
        <v>1246</v>
      </c>
      <c r="C56" s="45">
        <v>318</v>
      </c>
      <c r="D56" s="45">
        <v>-213</v>
      </c>
      <c r="E56" s="45">
        <v>-92</v>
      </c>
      <c r="F56" s="45">
        <v>231</v>
      </c>
      <c r="G56" s="45">
        <v>-56</v>
      </c>
      <c r="H56" s="45">
        <v>-380</v>
      </c>
      <c r="I56" s="45">
        <v>318</v>
      </c>
    </row>
    <row r="57" spans="1:9" x14ac:dyDescent="0.3">
      <c r="A57" s="57" t="s">
        <v>176</v>
      </c>
      <c r="B57" s="45">
        <v>4685</v>
      </c>
      <c r="C57" s="45">
        <v>4151</v>
      </c>
      <c r="D57" s="45">
        <v>3979</v>
      </c>
      <c r="E57" s="45">
        <v>3517</v>
      </c>
      <c r="F57" s="45">
        <v>1643</v>
      </c>
      <c r="G57" s="45">
        <v>-191</v>
      </c>
      <c r="H57" s="45">
        <v>3179</v>
      </c>
      <c r="I57" s="45">
        <v>3476</v>
      </c>
    </row>
    <row r="58" spans="1:9" x14ac:dyDescent="0.3">
      <c r="A58" s="46" t="s">
        <v>177</v>
      </c>
      <c r="B58" s="47">
        <f t="shared" ref="B58:H58" si="9">+SUM(B53:B57)</f>
        <v>12707</v>
      </c>
      <c r="C58" s="47">
        <f t="shared" si="9"/>
        <v>12258</v>
      </c>
      <c r="D58" s="47">
        <f t="shared" si="9"/>
        <v>12407</v>
      </c>
      <c r="E58" s="47">
        <f t="shared" si="9"/>
        <v>9812</v>
      </c>
      <c r="F58" s="47">
        <f t="shared" si="9"/>
        <v>9040</v>
      </c>
      <c r="G58" s="47">
        <f t="shared" si="9"/>
        <v>8055</v>
      </c>
      <c r="H58" s="47">
        <f t="shared" si="9"/>
        <v>12767</v>
      </c>
      <c r="I58" s="47">
        <f>+SUM(I53:I57)</f>
        <v>15281</v>
      </c>
    </row>
    <row r="59" spans="1:9" ht="15" thickBot="1" x14ac:dyDescent="0.35">
      <c r="A59" s="48" t="s">
        <v>178</v>
      </c>
      <c r="B59" s="49">
        <f t="shared" ref="B59:H59" si="10">+SUM(B45:B50)+B58</f>
        <v>21597</v>
      </c>
      <c r="C59" s="49">
        <f t="shared" si="10"/>
        <v>21396</v>
      </c>
      <c r="D59" s="49">
        <f t="shared" si="10"/>
        <v>23259</v>
      </c>
      <c r="E59" s="49">
        <f t="shared" si="10"/>
        <v>22536</v>
      </c>
      <c r="F59" s="49">
        <f t="shared" si="10"/>
        <v>23717</v>
      </c>
      <c r="G59" s="49">
        <f t="shared" si="10"/>
        <v>31342</v>
      </c>
      <c r="H59" s="49">
        <f t="shared" si="10"/>
        <v>37740</v>
      </c>
      <c r="I59" s="49">
        <f>+SUM(I45:I50)+I58</f>
        <v>40321</v>
      </c>
    </row>
    <row r="60" spans="1:9" ht="15" thickTop="1" x14ac:dyDescent="0.3">
      <c r="A60" s="52" t="s">
        <v>179</v>
      </c>
      <c r="B60" s="53">
        <f t="shared" ref="B60:H60" si="11">+B59-B36</f>
        <v>0</v>
      </c>
      <c r="C60" s="53">
        <f t="shared" si="11"/>
        <v>0</v>
      </c>
      <c r="D60" s="53">
        <f t="shared" si="11"/>
        <v>0</v>
      </c>
      <c r="E60" s="53">
        <f t="shared" si="11"/>
        <v>0</v>
      </c>
      <c r="F60" s="53">
        <f t="shared" si="11"/>
        <v>0</v>
      </c>
      <c r="G60" s="53">
        <f t="shared" si="11"/>
        <v>0</v>
      </c>
      <c r="H60" s="53">
        <f t="shared" si="11"/>
        <v>0</v>
      </c>
      <c r="I60" s="53">
        <f>+I59-I36</f>
        <v>0</v>
      </c>
    </row>
    <row r="61" spans="1:9" x14ac:dyDescent="0.3">
      <c r="A61" s="54" t="s">
        <v>180</v>
      </c>
      <c r="B61" s="54"/>
      <c r="C61" s="54"/>
      <c r="D61" s="54"/>
      <c r="E61" s="54"/>
      <c r="F61" s="54"/>
      <c r="G61" s="54"/>
      <c r="H61" s="54"/>
      <c r="I61" s="54"/>
    </row>
    <row r="62" spans="1:9" x14ac:dyDescent="0.3">
      <c r="A62" t="s">
        <v>181</v>
      </c>
    </row>
    <row r="63" spans="1:9" x14ac:dyDescent="0.3">
      <c r="A63" s="39" t="s">
        <v>182</v>
      </c>
    </row>
    <row r="64" spans="1:9" x14ac:dyDescent="0.3">
      <c r="A64" s="55" t="s">
        <v>183</v>
      </c>
      <c r="B64" s="40">
        <f t="shared" ref="B64:G64" si="12">+B12</f>
        <v>3273</v>
      </c>
      <c r="C64" s="40">
        <f t="shared" si="12"/>
        <v>3760</v>
      </c>
      <c r="D64" s="40">
        <f t="shared" si="12"/>
        <v>4240</v>
      </c>
      <c r="E64" s="40">
        <f t="shared" si="12"/>
        <v>1933</v>
      </c>
      <c r="F64" s="40">
        <f t="shared" si="12"/>
        <v>4029</v>
      </c>
      <c r="G64" s="40">
        <f t="shared" si="12"/>
        <v>2539</v>
      </c>
      <c r="H64" s="40">
        <f>+H12</f>
        <v>5727</v>
      </c>
      <c r="I64" s="40">
        <f>+I12</f>
        <v>6046</v>
      </c>
    </row>
    <row r="65" spans="1:9" x14ac:dyDescent="0.3">
      <c r="A65" s="44" t="s">
        <v>184</v>
      </c>
      <c r="B65" s="36"/>
      <c r="C65" s="36"/>
      <c r="D65" s="36"/>
      <c r="E65" s="36"/>
      <c r="F65" s="36"/>
      <c r="G65" s="36"/>
      <c r="H65" s="36"/>
      <c r="I65" s="36"/>
    </row>
    <row r="66" spans="1:9" x14ac:dyDescent="0.3">
      <c r="A66" s="41" t="s">
        <v>185</v>
      </c>
      <c r="B66" s="45">
        <v>606</v>
      </c>
      <c r="C66" s="45">
        <v>649</v>
      </c>
      <c r="D66" s="45">
        <v>706</v>
      </c>
      <c r="E66" s="45">
        <v>747</v>
      </c>
      <c r="F66" s="45">
        <v>705</v>
      </c>
      <c r="G66" s="45">
        <v>721</v>
      </c>
      <c r="H66" s="36">
        <v>744</v>
      </c>
      <c r="I66" s="36">
        <v>717</v>
      </c>
    </row>
    <row r="67" spans="1:9" x14ac:dyDescent="0.3">
      <c r="A67" s="41" t="s">
        <v>186</v>
      </c>
      <c r="B67" s="45">
        <v>-113</v>
      </c>
      <c r="C67" s="45">
        <v>-80</v>
      </c>
      <c r="D67" s="45">
        <v>-273</v>
      </c>
      <c r="E67" s="45">
        <v>647</v>
      </c>
      <c r="F67" s="45">
        <v>34</v>
      </c>
      <c r="G67" s="45">
        <v>-380</v>
      </c>
      <c r="H67" s="36">
        <v>-385</v>
      </c>
      <c r="I67" s="36">
        <v>-650</v>
      </c>
    </row>
    <row r="68" spans="1:9" x14ac:dyDescent="0.3">
      <c r="A68" s="41" t="s">
        <v>187</v>
      </c>
      <c r="B68" s="45">
        <v>191</v>
      </c>
      <c r="C68" s="45">
        <v>236</v>
      </c>
      <c r="D68" s="45">
        <v>215</v>
      </c>
      <c r="E68" s="45">
        <v>218</v>
      </c>
      <c r="F68" s="45">
        <v>325</v>
      </c>
      <c r="G68" s="45">
        <v>429</v>
      </c>
      <c r="H68" s="36">
        <v>611</v>
      </c>
      <c r="I68" s="36">
        <v>638</v>
      </c>
    </row>
    <row r="69" spans="1:9" x14ac:dyDescent="0.3">
      <c r="A69" s="41" t="s">
        <v>188</v>
      </c>
      <c r="B69" s="45">
        <v>43</v>
      </c>
      <c r="C69" s="45">
        <v>13</v>
      </c>
      <c r="D69" s="45">
        <v>10</v>
      </c>
      <c r="E69" s="45">
        <v>27</v>
      </c>
      <c r="F69" s="45">
        <v>15</v>
      </c>
      <c r="G69" s="45">
        <v>398</v>
      </c>
      <c r="H69" s="36">
        <v>53</v>
      </c>
      <c r="I69" s="36">
        <v>123</v>
      </c>
    </row>
    <row r="70" spans="1:9" x14ac:dyDescent="0.3">
      <c r="A70" s="41" t="s">
        <v>189</v>
      </c>
      <c r="B70" s="45">
        <v>424</v>
      </c>
      <c r="C70" s="45">
        <v>98</v>
      </c>
      <c r="D70" s="45">
        <v>-117</v>
      </c>
      <c r="E70" s="45">
        <v>-99</v>
      </c>
      <c r="F70" s="45">
        <v>233</v>
      </c>
      <c r="G70" s="45">
        <v>23</v>
      </c>
      <c r="H70" s="36">
        <v>-138</v>
      </c>
      <c r="I70" s="36">
        <v>-26</v>
      </c>
    </row>
    <row r="71" spans="1:9" x14ac:dyDescent="0.3">
      <c r="A71" s="44" t="s">
        <v>190</v>
      </c>
      <c r="B71" s="45"/>
      <c r="C71" s="45"/>
      <c r="D71" s="45"/>
      <c r="E71" s="45"/>
      <c r="F71" s="45"/>
      <c r="G71" s="45"/>
      <c r="H71" s="36"/>
      <c r="I71" s="36"/>
    </row>
    <row r="72" spans="1:9" x14ac:dyDescent="0.3">
      <c r="A72" s="41" t="s">
        <v>191</v>
      </c>
      <c r="B72" s="45">
        <v>-216</v>
      </c>
      <c r="C72" s="45">
        <v>60</v>
      </c>
      <c r="D72" s="45">
        <v>-426</v>
      </c>
      <c r="E72" s="45">
        <v>187</v>
      </c>
      <c r="F72" s="45">
        <v>-270</v>
      </c>
      <c r="G72" s="45">
        <v>1239</v>
      </c>
      <c r="H72" s="36">
        <v>-1606</v>
      </c>
      <c r="I72" s="36">
        <v>-504</v>
      </c>
    </row>
    <row r="73" spans="1:9" x14ac:dyDescent="0.3">
      <c r="A73" s="41" t="s">
        <v>192</v>
      </c>
      <c r="B73" s="45">
        <v>-621</v>
      </c>
      <c r="C73" s="45">
        <v>-590</v>
      </c>
      <c r="D73" s="45">
        <v>-231</v>
      </c>
      <c r="E73" s="45">
        <v>-255</v>
      </c>
      <c r="F73" s="45">
        <v>-490</v>
      </c>
      <c r="G73" s="45">
        <v>-1854</v>
      </c>
      <c r="H73" s="36">
        <v>507</v>
      </c>
      <c r="I73" s="36">
        <v>-1676</v>
      </c>
    </row>
    <row r="74" spans="1:9" x14ac:dyDescent="0.3">
      <c r="A74" s="41" t="s">
        <v>193</v>
      </c>
      <c r="B74" s="45">
        <v>-144</v>
      </c>
      <c r="C74" s="45">
        <v>-161</v>
      </c>
      <c r="D74" s="45">
        <v>-120</v>
      </c>
      <c r="E74" s="45">
        <v>35</v>
      </c>
      <c r="F74" s="45">
        <v>-203</v>
      </c>
      <c r="G74" s="45">
        <v>-654</v>
      </c>
      <c r="H74" s="36">
        <v>-182</v>
      </c>
      <c r="I74" s="36">
        <v>-845</v>
      </c>
    </row>
    <row r="75" spans="1:9" x14ac:dyDescent="0.3">
      <c r="A75" s="41" t="s">
        <v>194</v>
      </c>
      <c r="B75" s="45">
        <v>1237</v>
      </c>
      <c r="C75" s="45">
        <v>-889</v>
      </c>
      <c r="D75" s="45">
        <v>-158</v>
      </c>
      <c r="E75" s="45">
        <v>1515</v>
      </c>
      <c r="F75" s="45">
        <v>1525</v>
      </c>
      <c r="G75" s="45">
        <v>24</v>
      </c>
      <c r="H75" s="36">
        <v>1326</v>
      </c>
      <c r="I75" s="36">
        <v>1365</v>
      </c>
    </row>
    <row r="76" spans="1:9" x14ac:dyDescent="0.3">
      <c r="A76" s="58" t="s">
        <v>195</v>
      </c>
      <c r="B76" s="59">
        <f t="shared" ref="B76:H76" si="13">+SUM(B64:B75)</f>
        <v>4680</v>
      </c>
      <c r="C76" s="59">
        <f t="shared" si="13"/>
        <v>3096</v>
      </c>
      <c r="D76" s="59">
        <f t="shared" si="13"/>
        <v>3846</v>
      </c>
      <c r="E76" s="59">
        <f t="shared" si="13"/>
        <v>4955</v>
      </c>
      <c r="F76" s="59">
        <f t="shared" si="13"/>
        <v>5903</v>
      </c>
      <c r="G76" s="59">
        <f t="shared" si="13"/>
        <v>2485</v>
      </c>
      <c r="H76" s="59">
        <f t="shared" si="13"/>
        <v>6657</v>
      </c>
      <c r="I76" s="59">
        <f>+SUM(I64:I75)</f>
        <v>5188</v>
      </c>
    </row>
    <row r="77" spans="1:9" x14ac:dyDescent="0.3">
      <c r="A77" s="39" t="s">
        <v>196</v>
      </c>
      <c r="B77" s="36"/>
      <c r="C77" s="36"/>
      <c r="D77" s="36"/>
      <c r="E77" s="36"/>
      <c r="F77" s="36"/>
      <c r="G77" s="36"/>
      <c r="H77" s="36"/>
      <c r="I77" s="36"/>
    </row>
    <row r="78" spans="1:9" x14ac:dyDescent="0.3">
      <c r="A78" s="44" t="s">
        <v>197</v>
      </c>
      <c r="B78" s="45">
        <v>-4936</v>
      </c>
      <c r="C78" s="45">
        <v>-5367</v>
      </c>
      <c r="D78" s="45">
        <v>-5928</v>
      </c>
      <c r="E78" s="45">
        <v>-4783</v>
      </c>
      <c r="F78" s="45">
        <v>-2937</v>
      </c>
      <c r="G78" s="45">
        <v>-2426</v>
      </c>
      <c r="H78" s="45">
        <v>-9961</v>
      </c>
      <c r="I78" s="45">
        <v>-12913</v>
      </c>
    </row>
    <row r="79" spans="1:9" x14ac:dyDescent="0.3">
      <c r="A79" s="44" t="s">
        <v>198</v>
      </c>
      <c r="B79" s="45">
        <v>3655</v>
      </c>
      <c r="C79" s="45">
        <v>2924</v>
      </c>
      <c r="D79" s="45">
        <v>3623</v>
      </c>
      <c r="E79" s="45">
        <v>3613</v>
      </c>
      <c r="F79" s="45">
        <v>1715</v>
      </c>
      <c r="G79" s="45">
        <v>74</v>
      </c>
      <c r="H79" s="45">
        <v>4236</v>
      </c>
      <c r="I79" s="45">
        <v>8199</v>
      </c>
    </row>
    <row r="80" spans="1:9" x14ac:dyDescent="0.3">
      <c r="A80" s="44" t="s">
        <v>199</v>
      </c>
      <c r="B80" s="45">
        <v>2216</v>
      </c>
      <c r="C80" s="45">
        <v>2386</v>
      </c>
      <c r="D80" s="45">
        <v>2423</v>
      </c>
      <c r="E80" s="45">
        <v>2496</v>
      </c>
      <c r="F80" s="45">
        <v>2072</v>
      </c>
      <c r="G80" s="45">
        <v>2379</v>
      </c>
      <c r="H80" s="45">
        <v>2449</v>
      </c>
      <c r="I80" s="45">
        <v>3967</v>
      </c>
    </row>
    <row r="81" spans="1:9" x14ac:dyDescent="0.3">
      <c r="A81" s="44"/>
      <c r="B81" s="45">
        <v>-150</v>
      </c>
      <c r="C81" s="45">
        <v>150</v>
      </c>
      <c r="D81" s="45">
        <v>0</v>
      </c>
      <c r="E81" s="45">
        <v>0</v>
      </c>
      <c r="F81" s="45">
        <v>0</v>
      </c>
      <c r="G81" s="45">
        <v>0</v>
      </c>
      <c r="H81" s="45">
        <v>0</v>
      </c>
      <c r="I81" s="45">
        <v>0</v>
      </c>
    </row>
    <row r="82" spans="1:9" x14ac:dyDescent="0.3">
      <c r="A82" s="44" t="s">
        <v>200</v>
      </c>
      <c r="B82" s="45">
        <v>-963</v>
      </c>
      <c r="C82" s="45">
        <v>-1143</v>
      </c>
      <c r="D82" s="45">
        <v>-1105</v>
      </c>
      <c r="E82" s="45">
        <v>-1028</v>
      </c>
      <c r="F82" s="45">
        <v>-1119</v>
      </c>
      <c r="G82" s="45">
        <v>-1086</v>
      </c>
      <c r="H82" s="45">
        <v>-695</v>
      </c>
      <c r="I82" s="45">
        <v>-758</v>
      </c>
    </row>
    <row r="83" spans="1:9" x14ac:dyDescent="0.3">
      <c r="A83" s="44"/>
      <c r="B83" s="45">
        <v>3</v>
      </c>
      <c r="C83" s="45">
        <v>10</v>
      </c>
      <c r="D83" s="45">
        <v>13</v>
      </c>
      <c r="E83" s="45">
        <v>3</v>
      </c>
      <c r="F83" s="45">
        <v>0</v>
      </c>
      <c r="G83" s="45">
        <v>0</v>
      </c>
      <c r="H83" s="45">
        <v>0</v>
      </c>
      <c r="I83" s="45">
        <v>0</v>
      </c>
    </row>
    <row r="84" spans="1:9" x14ac:dyDescent="0.3">
      <c r="A84" s="44" t="s">
        <v>201</v>
      </c>
      <c r="B84" s="45">
        <v>0</v>
      </c>
      <c r="C84" s="45">
        <v>6</v>
      </c>
      <c r="D84" s="45">
        <v>-34</v>
      </c>
      <c r="E84" s="45">
        <v>-25</v>
      </c>
      <c r="F84" s="45">
        <v>5</v>
      </c>
      <c r="G84" s="45">
        <v>31</v>
      </c>
      <c r="H84" s="45">
        <v>171</v>
      </c>
      <c r="I84" s="45">
        <v>-19</v>
      </c>
    </row>
    <row r="85" spans="1:9" x14ac:dyDescent="0.3">
      <c r="A85" s="60" t="s">
        <v>202</v>
      </c>
      <c r="B85" s="59">
        <f t="shared" ref="B85:H85" si="14">+SUM(B78:B84)</f>
        <v>-175</v>
      </c>
      <c r="C85" s="59">
        <f t="shared" si="14"/>
        <v>-1034</v>
      </c>
      <c r="D85" s="59">
        <f t="shared" si="14"/>
        <v>-1008</v>
      </c>
      <c r="E85" s="59">
        <f t="shared" si="14"/>
        <v>276</v>
      </c>
      <c r="F85" s="59">
        <f t="shared" si="14"/>
        <v>-264</v>
      </c>
      <c r="G85" s="59">
        <f t="shared" si="14"/>
        <v>-1028</v>
      </c>
      <c r="H85" s="59">
        <f t="shared" si="14"/>
        <v>-3800</v>
      </c>
      <c r="I85" s="59">
        <f>+SUM(I78:I84)</f>
        <v>-1524</v>
      </c>
    </row>
    <row r="86" spans="1:9" x14ac:dyDescent="0.3">
      <c r="A86" s="39" t="s">
        <v>203</v>
      </c>
      <c r="B86" s="36"/>
      <c r="C86" s="36"/>
      <c r="D86" s="36"/>
      <c r="E86" s="36"/>
      <c r="F86" s="36"/>
      <c r="G86" s="36"/>
      <c r="H86" s="36"/>
      <c r="I86" s="36"/>
    </row>
    <row r="87" spans="1:9" x14ac:dyDescent="0.3">
      <c r="A87" s="44" t="s">
        <v>204</v>
      </c>
      <c r="B87" s="36">
        <v>0</v>
      </c>
      <c r="C87" s="36">
        <v>981</v>
      </c>
      <c r="D87" s="36">
        <v>1482</v>
      </c>
      <c r="E87" s="36">
        <v>0</v>
      </c>
      <c r="F87" s="36">
        <v>0</v>
      </c>
      <c r="G87" s="36">
        <v>6134</v>
      </c>
      <c r="H87" s="36">
        <v>0</v>
      </c>
      <c r="I87" s="36">
        <v>0</v>
      </c>
    </row>
    <row r="88" spans="1:9" x14ac:dyDescent="0.3">
      <c r="A88" s="44" t="s">
        <v>205</v>
      </c>
      <c r="B88" s="36">
        <v>-63</v>
      </c>
      <c r="C88" s="36">
        <v>-67</v>
      </c>
      <c r="D88" s="36">
        <v>327</v>
      </c>
      <c r="E88" s="36">
        <v>13</v>
      </c>
      <c r="F88" s="36">
        <v>-325</v>
      </c>
      <c r="G88" s="36">
        <v>49</v>
      </c>
      <c r="H88" s="36">
        <v>-52</v>
      </c>
      <c r="I88" s="36">
        <v>15</v>
      </c>
    </row>
    <row r="89" spans="1:9" x14ac:dyDescent="0.3">
      <c r="A89" s="44" t="s">
        <v>206</v>
      </c>
      <c r="B89" s="36">
        <v>-7</v>
      </c>
      <c r="C89" s="36">
        <v>-106</v>
      </c>
      <c r="D89" s="36">
        <v>-44</v>
      </c>
      <c r="E89" s="36">
        <v>-6</v>
      </c>
      <c r="F89" s="36">
        <v>-6</v>
      </c>
      <c r="G89" s="36">
        <v>-6</v>
      </c>
      <c r="H89" s="36">
        <v>-197</v>
      </c>
      <c r="I89" s="36">
        <v>0</v>
      </c>
    </row>
    <row r="90" spans="1:9" x14ac:dyDescent="0.3">
      <c r="A90" s="44" t="s">
        <v>207</v>
      </c>
      <c r="B90" s="36">
        <v>514</v>
      </c>
      <c r="C90" s="36">
        <v>507</v>
      </c>
      <c r="D90" s="36">
        <v>489</v>
      </c>
      <c r="E90" s="36">
        <v>733</v>
      </c>
      <c r="F90" s="36">
        <v>700</v>
      </c>
      <c r="G90" s="36">
        <v>885</v>
      </c>
      <c r="H90" s="36">
        <v>1172</v>
      </c>
      <c r="I90" s="36">
        <v>1151</v>
      </c>
    </row>
    <row r="91" spans="1:9" x14ac:dyDescent="0.3">
      <c r="A91" s="44" t="s">
        <v>208</v>
      </c>
      <c r="B91" s="36">
        <v>-2534</v>
      </c>
      <c r="C91" s="36">
        <v>-3238</v>
      </c>
      <c r="D91" s="36">
        <v>-3223</v>
      </c>
      <c r="E91" s="36">
        <v>-4254</v>
      </c>
      <c r="F91" s="36">
        <v>-4286</v>
      </c>
      <c r="G91" s="36">
        <v>-3067</v>
      </c>
      <c r="H91" s="36">
        <v>-608</v>
      </c>
      <c r="I91" s="36">
        <v>-4014</v>
      </c>
    </row>
    <row r="92" spans="1:9" x14ac:dyDescent="0.3">
      <c r="A92" s="44" t="s">
        <v>209</v>
      </c>
      <c r="B92" s="36">
        <v>-899</v>
      </c>
      <c r="C92" s="36">
        <v>-1022</v>
      </c>
      <c r="D92" s="36">
        <v>-1133</v>
      </c>
      <c r="E92" s="36">
        <v>-1243</v>
      </c>
      <c r="F92" s="36">
        <v>-1332</v>
      </c>
      <c r="G92" s="36">
        <v>-1452</v>
      </c>
      <c r="H92" s="36">
        <v>-1638</v>
      </c>
      <c r="I92" s="36">
        <v>-1837</v>
      </c>
    </row>
    <row r="93" spans="1:9" x14ac:dyDescent="0.3">
      <c r="A93" s="44" t="s">
        <v>210</v>
      </c>
      <c r="B93" s="36">
        <f>(218-19)</f>
        <v>199</v>
      </c>
      <c r="C93" s="36">
        <f>(281-7)</f>
        <v>274</v>
      </c>
      <c r="D93" s="36">
        <f>(-17-29)</f>
        <v>-46</v>
      </c>
      <c r="E93" s="36">
        <f>(-23-55)</f>
        <v>-78</v>
      </c>
      <c r="F93" s="36">
        <v>-44</v>
      </c>
      <c r="G93" s="36">
        <v>-52</v>
      </c>
      <c r="H93" s="36">
        <v>-136</v>
      </c>
      <c r="I93" s="36">
        <v>-151</v>
      </c>
    </row>
    <row r="94" spans="1:9" x14ac:dyDescent="0.3">
      <c r="A94" s="60" t="s">
        <v>211</v>
      </c>
      <c r="B94" s="59">
        <f t="shared" ref="B94:H94" si="15">+SUM(B87:B93)</f>
        <v>-2790</v>
      </c>
      <c r="C94" s="59">
        <f t="shared" si="15"/>
        <v>-2671</v>
      </c>
      <c r="D94" s="59">
        <f t="shared" si="15"/>
        <v>-2148</v>
      </c>
      <c r="E94" s="59">
        <f t="shared" si="15"/>
        <v>-4835</v>
      </c>
      <c r="F94" s="59">
        <f t="shared" si="15"/>
        <v>-5293</v>
      </c>
      <c r="G94" s="59">
        <f t="shared" si="15"/>
        <v>2491</v>
      </c>
      <c r="H94" s="59">
        <f t="shared" si="15"/>
        <v>-1459</v>
      </c>
      <c r="I94" s="59">
        <f>+SUM(I87:I93)</f>
        <v>-4836</v>
      </c>
    </row>
    <row r="95" spans="1:9" x14ac:dyDescent="0.3">
      <c r="A95" s="44" t="s">
        <v>212</v>
      </c>
      <c r="B95" s="45">
        <v>-83</v>
      </c>
      <c r="C95" s="45">
        <v>-105</v>
      </c>
      <c r="D95" s="45">
        <v>-20</v>
      </c>
      <c r="E95" s="45">
        <v>45</v>
      </c>
      <c r="F95" s="45">
        <v>-129</v>
      </c>
      <c r="G95" s="45">
        <v>-66</v>
      </c>
      <c r="H95" s="45">
        <v>143</v>
      </c>
      <c r="I95" s="45">
        <v>-143</v>
      </c>
    </row>
    <row r="96" spans="1:9" x14ac:dyDescent="0.3">
      <c r="A96" s="60" t="s">
        <v>213</v>
      </c>
      <c r="B96" s="59">
        <f t="shared" ref="B96:H96" si="16">+B76+B85+B94+B95</f>
        <v>1632</v>
      </c>
      <c r="C96" s="59">
        <f t="shared" si="16"/>
        <v>-714</v>
      </c>
      <c r="D96" s="59">
        <f t="shared" si="16"/>
        <v>670</v>
      </c>
      <c r="E96" s="59">
        <f t="shared" si="16"/>
        <v>441</v>
      </c>
      <c r="F96" s="59">
        <f t="shared" si="16"/>
        <v>217</v>
      </c>
      <c r="G96" s="59">
        <f t="shared" si="16"/>
        <v>3882</v>
      </c>
      <c r="H96" s="59">
        <f t="shared" si="16"/>
        <v>1541</v>
      </c>
      <c r="I96" s="59">
        <f>+I76+I85+I94+I95</f>
        <v>-1315</v>
      </c>
    </row>
    <row r="97" spans="1:9" x14ac:dyDescent="0.3">
      <c r="A97" t="s">
        <v>214</v>
      </c>
      <c r="B97" s="36">
        <v>2220</v>
      </c>
      <c r="C97" s="36">
        <v>3852</v>
      </c>
      <c r="D97" s="36">
        <v>3138</v>
      </c>
      <c r="E97" s="36">
        <v>3808</v>
      </c>
      <c r="F97" s="36">
        <v>4249</v>
      </c>
      <c r="G97" s="36">
        <v>4466</v>
      </c>
      <c r="H97" s="36">
        <v>8348</v>
      </c>
      <c r="I97" s="36">
        <f>+H98</f>
        <v>9889</v>
      </c>
    </row>
    <row r="98" spans="1:9" ht="15" thickBot="1" x14ac:dyDescent="0.35">
      <c r="A98" s="48" t="s">
        <v>215</v>
      </c>
      <c r="B98" s="49">
        <f t="shared" ref="B98:G98" si="17">+B96+B97</f>
        <v>3852</v>
      </c>
      <c r="C98" s="49">
        <f t="shared" si="17"/>
        <v>3138</v>
      </c>
      <c r="D98" s="49">
        <f t="shared" si="17"/>
        <v>3808</v>
      </c>
      <c r="E98" s="49">
        <f t="shared" si="17"/>
        <v>4249</v>
      </c>
      <c r="F98" s="49">
        <f t="shared" si="17"/>
        <v>4466</v>
      </c>
      <c r="G98" s="49">
        <f t="shared" si="17"/>
        <v>8348</v>
      </c>
      <c r="H98" s="49">
        <f>+H96+H97</f>
        <v>9889</v>
      </c>
      <c r="I98" s="49">
        <f>+I96+I97</f>
        <v>8574</v>
      </c>
    </row>
    <row r="99" spans="1:9" ht="15" thickTop="1" x14ac:dyDescent="0.3">
      <c r="A99" s="52" t="s">
        <v>216</v>
      </c>
      <c r="B99" s="53">
        <f t="shared" ref="B99:H99" si="18">+B98-B25</f>
        <v>0</v>
      </c>
      <c r="C99" s="53">
        <f t="shared" si="18"/>
        <v>0</v>
      </c>
      <c r="D99" s="53">
        <f t="shared" si="18"/>
        <v>0</v>
      </c>
      <c r="E99" s="53">
        <f t="shared" si="18"/>
        <v>0</v>
      </c>
      <c r="F99" s="53">
        <f t="shared" si="18"/>
        <v>0</v>
      </c>
      <c r="G99" s="53">
        <f t="shared" si="18"/>
        <v>0</v>
      </c>
      <c r="H99" s="53">
        <f t="shared" si="18"/>
        <v>0</v>
      </c>
      <c r="I99" s="53">
        <f>+I98-I25</f>
        <v>0</v>
      </c>
    </row>
    <row r="100" spans="1:9" x14ac:dyDescent="0.3">
      <c r="A100" t="s">
        <v>217</v>
      </c>
      <c r="B100" s="36"/>
      <c r="C100" s="36"/>
      <c r="D100" s="36"/>
      <c r="E100" s="36"/>
      <c r="F100" s="36"/>
      <c r="G100" s="36"/>
      <c r="H100" s="36"/>
      <c r="I100" s="36"/>
    </row>
    <row r="101" spans="1:9" x14ac:dyDescent="0.3">
      <c r="A101" s="44" t="s">
        <v>218</v>
      </c>
      <c r="B101" s="36"/>
      <c r="C101" s="36"/>
      <c r="D101" s="36"/>
      <c r="E101" s="36"/>
      <c r="F101" s="36"/>
      <c r="G101" s="36"/>
      <c r="H101" s="36"/>
      <c r="I101" s="36"/>
    </row>
    <row r="102" spans="1:9" x14ac:dyDescent="0.3">
      <c r="A102" s="41" t="s">
        <v>219</v>
      </c>
      <c r="B102" s="36">
        <v>53</v>
      </c>
      <c r="C102" s="36">
        <v>70</v>
      </c>
      <c r="D102" s="36">
        <v>98</v>
      </c>
      <c r="E102" s="36">
        <v>125</v>
      </c>
      <c r="F102" s="36">
        <v>153</v>
      </c>
      <c r="G102" s="36">
        <v>140</v>
      </c>
      <c r="H102" s="36">
        <v>293</v>
      </c>
      <c r="I102" s="36">
        <v>290</v>
      </c>
    </row>
    <row r="103" spans="1:9" x14ac:dyDescent="0.3">
      <c r="A103" s="41" t="s">
        <v>220</v>
      </c>
      <c r="B103" s="36">
        <v>1262</v>
      </c>
      <c r="C103" s="36">
        <v>748</v>
      </c>
      <c r="D103" s="36">
        <v>703</v>
      </c>
      <c r="E103" s="36">
        <v>529</v>
      </c>
      <c r="F103" s="36">
        <v>757</v>
      </c>
      <c r="G103" s="36">
        <v>1028</v>
      </c>
      <c r="H103" s="36">
        <v>1177</v>
      </c>
      <c r="I103" s="36">
        <v>1231</v>
      </c>
    </row>
    <row r="104" spans="1:9" x14ac:dyDescent="0.3">
      <c r="A104" s="44" t="s">
        <v>221</v>
      </c>
      <c r="B104" s="56">
        <v>206</v>
      </c>
      <c r="C104" s="56">
        <v>252</v>
      </c>
      <c r="D104" s="56">
        <v>266</v>
      </c>
      <c r="E104" s="56">
        <v>294</v>
      </c>
      <c r="F104" s="56">
        <v>160</v>
      </c>
      <c r="G104" s="56">
        <v>121</v>
      </c>
      <c r="H104" s="56">
        <v>179</v>
      </c>
      <c r="I104" s="56">
        <v>160</v>
      </c>
    </row>
    <row r="105" spans="1:9" x14ac:dyDescent="0.3">
      <c r="A105" s="44" t="s">
        <v>222</v>
      </c>
      <c r="B105" s="36">
        <v>240</v>
      </c>
      <c r="C105" s="36">
        <v>271</v>
      </c>
      <c r="D105" s="36">
        <v>300</v>
      </c>
      <c r="E105" s="36">
        <v>320</v>
      </c>
      <c r="F105" s="36">
        <v>347</v>
      </c>
      <c r="G105" s="36">
        <v>385</v>
      </c>
      <c r="H105" s="36">
        <v>438</v>
      </c>
      <c r="I105" s="36">
        <v>480</v>
      </c>
    </row>
    <row r="107" spans="1:9" x14ac:dyDescent="0.3">
      <c r="A107" s="54" t="s">
        <v>223</v>
      </c>
      <c r="B107" s="54"/>
      <c r="C107" s="54"/>
      <c r="D107" s="54"/>
      <c r="E107" s="54"/>
      <c r="F107" s="54"/>
      <c r="G107" s="54"/>
      <c r="H107" s="54"/>
      <c r="I107" s="54"/>
    </row>
    <row r="108" spans="1:9" x14ac:dyDescent="0.3">
      <c r="A108" s="61" t="s">
        <v>224</v>
      </c>
      <c r="B108" s="36"/>
      <c r="C108" s="36"/>
      <c r="D108" s="36"/>
      <c r="E108" s="36"/>
      <c r="F108" s="36"/>
      <c r="G108" s="36"/>
      <c r="H108" s="36"/>
      <c r="I108" s="36"/>
    </row>
    <row r="109" spans="1:9" x14ac:dyDescent="0.3">
      <c r="A109" s="44" t="s">
        <v>225</v>
      </c>
      <c r="B109" s="36">
        <f t="shared" ref="B109:H109" si="19">+SUM(B110:B112)</f>
        <v>13740</v>
      </c>
      <c r="C109" s="36">
        <f t="shared" si="19"/>
        <v>14764</v>
      </c>
      <c r="D109" s="36">
        <f t="shared" si="19"/>
        <v>15216</v>
      </c>
      <c r="E109" s="36">
        <f t="shared" si="19"/>
        <v>14855</v>
      </c>
      <c r="F109" s="36">
        <f t="shared" si="19"/>
        <v>15902</v>
      </c>
      <c r="G109" s="36">
        <f t="shared" si="19"/>
        <v>14484</v>
      </c>
      <c r="H109" s="36">
        <f t="shared" si="19"/>
        <v>17179</v>
      </c>
      <c r="I109" s="36">
        <f>+SUM(I110:I112)</f>
        <v>18353</v>
      </c>
    </row>
    <row r="110" spans="1:9" x14ac:dyDescent="0.3">
      <c r="A110" s="41" t="s">
        <v>8</v>
      </c>
      <c r="B110" s="62">
        <v>8506</v>
      </c>
      <c r="C110" s="62">
        <v>9299</v>
      </c>
      <c r="D110" s="62">
        <v>9684</v>
      </c>
      <c r="E110" s="62">
        <v>9322</v>
      </c>
      <c r="F110" s="62">
        <v>10045</v>
      </c>
      <c r="G110" s="62">
        <v>9329</v>
      </c>
      <c r="H110" s="63">
        <v>11644</v>
      </c>
      <c r="I110" s="63">
        <v>12228</v>
      </c>
    </row>
    <row r="111" spans="1:9" x14ac:dyDescent="0.3">
      <c r="A111" s="41" t="s">
        <v>9</v>
      </c>
      <c r="B111" s="62">
        <v>4410</v>
      </c>
      <c r="C111" s="62">
        <v>4746</v>
      </c>
      <c r="D111" s="62">
        <v>4886</v>
      </c>
      <c r="E111" s="62">
        <v>4938</v>
      </c>
      <c r="F111" s="62">
        <v>5260</v>
      </c>
      <c r="G111" s="62">
        <v>4639</v>
      </c>
      <c r="H111" s="63">
        <v>5028</v>
      </c>
      <c r="I111" s="63">
        <v>5492</v>
      </c>
    </row>
    <row r="112" spans="1:9" x14ac:dyDescent="0.3">
      <c r="A112" s="41" t="s">
        <v>10</v>
      </c>
      <c r="B112" s="62">
        <v>824</v>
      </c>
      <c r="C112" s="62">
        <v>719</v>
      </c>
      <c r="D112" s="62">
        <v>646</v>
      </c>
      <c r="E112" s="62">
        <v>595</v>
      </c>
      <c r="F112" s="62">
        <v>597</v>
      </c>
      <c r="G112" s="62">
        <v>516</v>
      </c>
      <c r="H112" s="62">
        <v>507</v>
      </c>
      <c r="I112" s="62">
        <v>633</v>
      </c>
    </row>
    <row r="113" spans="1:9" x14ac:dyDescent="0.3">
      <c r="A113" s="44" t="s">
        <v>11</v>
      </c>
      <c r="B113" s="36">
        <f t="shared" ref="B113:I113" si="20">+SUM(B114:B116)</f>
        <v>7126</v>
      </c>
      <c r="C113" s="36">
        <f t="shared" si="20"/>
        <v>7315</v>
      </c>
      <c r="D113" s="36">
        <f t="shared" si="20"/>
        <v>7970</v>
      </c>
      <c r="E113" s="36">
        <f t="shared" si="20"/>
        <v>9242</v>
      </c>
      <c r="F113" s="36">
        <f t="shared" si="20"/>
        <v>9812</v>
      </c>
      <c r="G113" s="36">
        <f t="shared" si="20"/>
        <v>9347</v>
      </c>
      <c r="H113" s="36">
        <f t="shared" si="20"/>
        <v>11456</v>
      </c>
      <c r="I113" s="36">
        <f t="shared" si="20"/>
        <v>12479</v>
      </c>
    </row>
    <row r="114" spans="1:9" x14ac:dyDescent="0.3">
      <c r="A114" s="41" t="s">
        <v>8</v>
      </c>
      <c r="B114">
        <f>3876+827</f>
        <v>4703</v>
      </c>
      <c r="C114">
        <f>882+3985</f>
        <v>4867</v>
      </c>
      <c r="D114">
        <v>5192</v>
      </c>
      <c r="E114">
        <v>5875</v>
      </c>
      <c r="F114">
        <v>6293</v>
      </c>
      <c r="G114">
        <v>5892</v>
      </c>
      <c r="H114" s="51">
        <v>6970</v>
      </c>
      <c r="I114" s="51">
        <v>7388</v>
      </c>
    </row>
    <row r="115" spans="1:9" x14ac:dyDescent="0.3">
      <c r="A115" s="41" t="s">
        <v>9</v>
      </c>
      <c r="B115">
        <f>1552+499</f>
        <v>2051</v>
      </c>
      <c r="C115">
        <f>1628+463</f>
        <v>2091</v>
      </c>
      <c r="D115">
        <v>2395</v>
      </c>
      <c r="E115">
        <v>2940</v>
      </c>
      <c r="F115">
        <v>3087</v>
      </c>
      <c r="G115">
        <v>3053</v>
      </c>
      <c r="H115" s="51">
        <v>3996</v>
      </c>
      <c r="I115" s="51">
        <v>4527</v>
      </c>
    </row>
    <row r="116" spans="1:9" x14ac:dyDescent="0.3">
      <c r="A116" s="41" t="s">
        <v>10</v>
      </c>
      <c r="B116">
        <f>277+95</f>
        <v>372</v>
      </c>
      <c r="C116">
        <f>271+86</f>
        <v>357</v>
      </c>
      <c r="D116">
        <v>383</v>
      </c>
      <c r="E116">
        <v>427</v>
      </c>
      <c r="F116">
        <v>432</v>
      </c>
      <c r="G116">
        <v>402</v>
      </c>
      <c r="H116">
        <v>490</v>
      </c>
      <c r="I116">
        <v>564</v>
      </c>
    </row>
    <row r="117" spans="1:9" x14ac:dyDescent="0.3">
      <c r="A117" s="44" t="s">
        <v>12</v>
      </c>
      <c r="B117" s="36">
        <f t="shared" ref="B117:I117" si="21">+SUM(B118:B120)</f>
        <v>3067</v>
      </c>
      <c r="C117" s="36">
        <f t="shared" si="21"/>
        <v>3785</v>
      </c>
      <c r="D117" s="36">
        <f t="shared" si="21"/>
        <v>4237</v>
      </c>
      <c r="E117" s="36">
        <f t="shared" si="21"/>
        <v>5134</v>
      </c>
      <c r="F117" s="36">
        <f t="shared" si="21"/>
        <v>6208</v>
      </c>
      <c r="G117" s="36">
        <f t="shared" si="21"/>
        <v>6679</v>
      </c>
      <c r="H117" s="36">
        <f t="shared" si="21"/>
        <v>8290</v>
      </c>
      <c r="I117" s="36">
        <f t="shared" si="21"/>
        <v>7547</v>
      </c>
    </row>
    <row r="118" spans="1:9" x14ac:dyDescent="0.3">
      <c r="A118" s="41" t="s">
        <v>8</v>
      </c>
      <c r="B118">
        <v>2016</v>
      </c>
      <c r="C118">
        <v>2599</v>
      </c>
      <c r="D118">
        <v>2920</v>
      </c>
      <c r="E118">
        <v>3496</v>
      </c>
      <c r="F118">
        <v>4262</v>
      </c>
      <c r="G118">
        <v>4635</v>
      </c>
      <c r="H118" s="51">
        <v>5748</v>
      </c>
      <c r="I118" s="51">
        <v>5416</v>
      </c>
    </row>
    <row r="119" spans="1:9" x14ac:dyDescent="0.3">
      <c r="A119" s="41" t="s">
        <v>9</v>
      </c>
      <c r="B119">
        <v>925</v>
      </c>
      <c r="C119">
        <v>1055</v>
      </c>
      <c r="D119">
        <v>1188</v>
      </c>
      <c r="E119">
        <v>1508</v>
      </c>
      <c r="F119">
        <v>1808</v>
      </c>
      <c r="G119">
        <v>1896</v>
      </c>
      <c r="H119" s="51">
        <v>2347</v>
      </c>
      <c r="I119" s="51">
        <v>1938</v>
      </c>
    </row>
    <row r="120" spans="1:9" x14ac:dyDescent="0.3">
      <c r="A120" s="41" t="s">
        <v>10</v>
      </c>
      <c r="B120">
        <v>126</v>
      </c>
      <c r="C120">
        <v>131</v>
      </c>
      <c r="D120">
        <v>129</v>
      </c>
      <c r="E120">
        <v>130</v>
      </c>
      <c r="F120">
        <v>138</v>
      </c>
      <c r="G120">
        <v>148</v>
      </c>
      <c r="H120">
        <v>195</v>
      </c>
      <c r="I120">
        <v>193</v>
      </c>
    </row>
    <row r="121" spans="1:9" x14ac:dyDescent="0.3">
      <c r="A121" s="44" t="s">
        <v>13</v>
      </c>
      <c r="B121" s="36">
        <f t="shared" ref="B121:I121" si="22">+SUM(B122:B124)</f>
        <v>4653</v>
      </c>
      <c r="C121" s="36">
        <f t="shared" si="22"/>
        <v>4570</v>
      </c>
      <c r="D121" s="36">
        <f t="shared" si="22"/>
        <v>4737</v>
      </c>
      <c r="E121" s="36">
        <f t="shared" si="22"/>
        <v>5166</v>
      </c>
      <c r="F121" s="36">
        <f t="shared" si="22"/>
        <v>5254</v>
      </c>
      <c r="G121" s="36">
        <f t="shared" si="22"/>
        <v>5028</v>
      </c>
      <c r="H121" s="36">
        <f t="shared" si="22"/>
        <v>5343</v>
      </c>
      <c r="I121" s="36">
        <f t="shared" si="22"/>
        <v>5955</v>
      </c>
    </row>
    <row r="122" spans="1:9" x14ac:dyDescent="0.3">
      <c r="A122" s="41" t="s">
        <v>8</v>
      </c>
      <c r="B122" s="62">
        <v>3093</v>
      </c>
      <c r="C122" s="62">
        <v>3106</v>
      </c>
      <c r="D122" s="62">
        <v>3285</v>
      </c>
      <c r="E122" s="62">
        <v>3575</v>
      </c>
      <c r="F122" s="62">
        <v>3622</v>
      </c>
      <c r="G122" s="62">
        <v>3449</v>
      </c>
      <c r="H122" s="63">
        <v>3659</v>
      </c>
      <c r="I122" s="63">
        <v>4111</v>
      </c>
    </row>
    <row r="123" spans="1:9" x14ac:dyDescent="0.3">
      <c r="A123" s="41" t="s">
        <v>9</v>
      </c>
      <c r="B123" s="62">
        <v>1251</v>
      </c>
      <c r="C123" s="62">
        <v>1175</v>
      </c>
      <c r="D123" s="62">
        <v>1185</v>
      </c>
      <c r="E123" s="62">
        <v>1347</v>
      </c>
      <c r="F123" s="62">
        <v>1395</v>
      </c>
      <c r="G123" s="62">
        <v>1365</v>
      </c>
      <c r="H123" s="63">
        <v>1494</v>
      </c>
      <c r="I123" s="63">
        <v>1610</v>
      </c>
    </row>
    <row r="124" spans="1:9" x14ac:dyDescent="0.3">
      <c r="A124" s="41" t="s">
        <v>10</v>
      </c>
      <c r="B124" s="62">
        <v>309</v>
      </c>
      <c r="C124" s="62">
        <v>289</v>
      </c>
      <c r="D124" s="62">
        <v>267</v>
      </c>
      <c r="E124" s="62">
        <v>244</v>
      </c>
      <c r="F124" s="62">
        <v>237</v>
      </c>
      <c r="G124" s="62">
        <v>214</v>
      </c>
      <c r="H124" s="62">
        <v>190</v>
      </c>
      <c r="I124" s="62">
        <v>234</v>
      </c>
    </row>
    <row r="125" spans="1:9" x14ac:dyDescent="0.3">
      <c r="A125" s="44" t="s">
        <v>14</v>
      </c>
      <c r="B125" s="64">
        <v>115</v>
      </c>
      <c r="C125" s="64">
        <v>73</v>
      </c>
      <c r="D125" s="64">
        <v>73</v>
      </c>
      <c r="E125" s="64">
        <v>88</v>
      </c>
      <c r="F125" s="64">
        <v>42</v>
      </c>
      <c r="G125" s="64">
        <v>30</v>
      </c>
      <c r="H125" s="64">
        <v>25</v>
      </c>
      <c r="I125" s="64">
        <v>102</v>
      </c>
    </row>
    <row r="126" spans="1:9" x14ac:dyDescent="0.3">
      <c r="A126" s="46" t="s">
        <v>226</v>
      </c>
      <c r="B126" s="47">
        <f t="shared" ref="B126:I126" si="23">+B109+B113+B117+B121+B125</f>
        <v>28701</v>
      </c>
      <c r="C126" s="47">
        <f t="shared" si="23"/>
        <v>30507</v>
      </c>
      <c r="D126" s="47">
        <f t="shared" si="23"/>
        <v>32233</v>
      </c>
      <c r="E126" s="47">
        <f t="shared" si="23"/>
        <v>34485</v>
      </c>
      <c r="F126" s="47">
        <f t="shared" si="23"/>
        <v>37218</v>
      </c>
      <c r="G126" s="47">
        <f t="shared" si="23"/>
        <v>35568</v>
      </c>
      <c r="H126" s="47">
        <f t="shared" si="23"/>
        <v>42293</v>
      </c>
      <c r="I126" s="47">
        <f t="shared" si="23"/>
        <v>44436</v>
      </c>
    </row>
    <row r="127" spans="1:9" x14ac:dyDescent="0.3">
      <c r="A127" s="44" t="s">
        <v>15</v>
      </c>
      <c r="B127" s="45">
        <v>1982</v>
      </c>
      <c r="C127" s="45">
        <v>1955</v>
      </c>
      <c r="D127" s="45">
        <v>2042</v>
      </c>
      <c r="E127" s="45">
        <v>1886</v>
      </c>
      <c r="F127" s="45">
        <v>1906</v>
      </c>
      <c r="G127" s="45">
        <v>1846</v>
      </c>
      <c r="H127" s="45">
        <v>2205</v>
      </c>
      <c r="I127" s="45">
        <v>2346</v>
      </c>
    </row>
    <row r="128" spans="1:9" x14ac:dyDescent="0.3">
      <c r="A128" s="41" t="s">
        <v>8</v>
      </c>
      <c r="B128" s="65">
        <v>18318</v>
      </c>
      <c r="C128" s="65">
        <v>19871</v>
      </c>
      <c r="D128" s="65">
        <v>21081</v>
      </c>
      <c r="E128" s="65">
        <v>22268</v>
      </c>
      <c r="F128" s="62">
        <v>1658</v>
      </c>
      <c r="G128" s="62">
        <v>1642</v>
      </c>
      <c r="H128" s="45">
        <v>1986</v>
      </c>
      <c r="I128" s="45">
        <v>2094</v>
      </c>
    </row>
    <row r="129" spans="1:9" x14ac:dyDescent="0.3">
      <c r="A129" s="41" t="s">
        <v>9</v>
      </c>
      <c r="B129" s="65">
        <v>8637</v>
      </c>
      <c r="C129" s="65">
        <v>9067</v>
      </c>
      <c r="D129" s="65">
        <v>9654</v>
      </c>
      <c r="E129" s="65">
        <v>10733</v>
      </c>
      <c r="F129" s="45">
        <v>118</v>
      </c>
      <c r="G129" s="45">
        <v>89</v>
      </c>
      <c r="H129" s="45">
        <v>104</v>
      </c>
      <c r="I129" s="45">
        <v>103</v>
      </c>
    </row>
    <row r="130" spans="1:9" x14ac:dyDescent="0.3">
      <c r="A130" s="41" t="s">
        <v>10</v>
      </c>
      <c r="B130" s="65">
        <v>1631</v>
      </c>
      <c r="C130" s="65">
        <v>1496</v>
      </c>
      <c r="D130" s="65">
        <v>1425</v>
      </c>
      <c r="E130" s="65">
        <v>1396</v>
      </c>
      <c r="F130" s="45">
        <v>24</v>
      </c>
      <c r="G130" s="45">
        <v>25</v>
      </c>
      <c r="H130" s="45">
        <v>29</v>
      </c>
      <c r="I130" s="45">
        <v>26</v>
      </c>
    </row>
    <row r="131" spans="1:9" x14ac:dyDescent="0.3">
      <c r="A131" s="41" t="s">
        <v>16</v>
      </c>
      <c r="B131" s="65">
        <v>115</v>
      </c>
      <c r="C131" s="65">
        <v>73</v>
      </c>
      <c r="D131" s="65">
        <v>73</v>
      </c>
      <c r="E131" s="65">
        <v>88</v>
      </c>
      <c r="F131" s="45">
        <v>106</v>
      </c>
      <c r="G131" s="45">
        <v>90</v>
      </c>
      <c r="H131" s="45">
        <v>86</v>
      </c>
      <c r="I131" s="45">
        <v>123</v>
      </c>
    </row>
    <row r="132" spans="1:9" x14ac:dyDescent="0.3">
      <c r="A132" s="44" t="s">
        <v>17</v>
      </c>
      <c r="B132" s="45">
        <v>-82</v>
      </c>
      <c r="C132" s="45">
        <v>-86</v>
      </c>
      <c r="D132" s="45">
        <v>75</v>
      </c>
      <c r="E132" s="45">
        <v>26</v>
      </c>
      <c r="F132" s="45">
        <v>-7</v>
      </c>
      <c r="G132" s="45">
        <v>-11</v>
      </c>
      <c r="H132" s="45">
        <v>40</v>
      </c>
      <c r="I132" s="45">
        <v>-72</v>
      </c>
    </row>
    <row r="133" spans="1:9" ht="15" thickBot="1" x14ac:dyDescent="0.35">
      <c r="A133" s="48" t="s">
        <v>227</v>
      </c>
      <c r="B133" s="49">
        <f t="shared" ref="B133:H133" si="24">+B126+B127+B132</f>
        <v>30601</v>
      </c>
      <c r="C133" s="49">
        <f t="shared" si="24"/>
        <v>32376</v>
      </c>
      <c r="D133" s="49">
        <f t="shared" si="24"/>
        <v>34350</v>
      </c>
      <c r="E133" s="49">
        <f t="shared" si="24"/>
        <v>36397</v>
      </c>
      <c r="F133" s="49">
        <f t="shared" si="24"/>
        <v>39117</v>
      </c>
      <c r="G133" s="49">
        <f t="shared" si="24"/>
        <v>37403</v>
      </c>
      <c r="H133" s="49">
        <f t="shared" si="24"/>
        <v>44538</v>
      </c>
      <c r="I133" s="49">
        <f>+I126+I127+I132</f>
        <v>46710</v>
      </c>
    </row>
    <row r="134" spans="1:9" ht="15" thickTop="1" x14ac:dyDescent="0.3">
      <c r="A134" s="52" t="s">
        <v>228</v>
      </c>
      <c r="B134" s="53">
        <f>+I133-I2</f>
        <v>0</v>
      </c>
      <c r="C134" s="53">
        <f t="shared" ref="C134:I134" si="25">+C133-C2</f>
        <v>0</v>
      </c>
      <c r="D134" s="53">
        <f t="shared" si="25"/>
        <v>0</v>
      </c>
      <c r="E134" s="53">
        <f t="shared" si="25"/>
        <v>0</v>
      </c>
      <c r="F134" s="53">
        <f t="shared" si="25"/>
        <v>0</v>
      </c>
      <c r="G134" s="53">
        <f t="shared" si="25"/>
        <v>0</v>
      </c>
      <c r="H134" s="53">
        <f t="shared" si="25"/>
        <v>0</v>
      </c>
      <c r="I134" s="53">
        <f t="shared" si="25"/>
        <v>0</v>
      </c>
    </row>
    <row r="135" spans="1:9" x14ac:dyDescent="0.3">
      <c r="A135" s="39" t="s">
        <v>229</v>
      </c>
    </row>
    <row r="136" spans="1:9" x14ac:dyDescent="0.3">
      <c r="A136" s="44" t="s">
        <v>225</v>
      </c>
      <c r="B136" s="36">
        <v>3645</v>
      </c>
      <c r="C136" s="36">
        <v>3763</v>
      </c>
      <c r="D136" s="36">
        <v>3875</v>
      </c>
      <c r="E136" s="36">
        <v>3600</v>
      </c>
      <c r="F136" s="36">
        <v>3925</v>
      </c>
      <c r="G136" s="36">
        <v>2899</v>
      </c>
      <c r="H136" s="36">
        <v>5089</v>
      </c>
      <c r="I136" s="36">
        <v>5114</v>
      </c>
    </row>
    <row r="137" spans="1:9" x14ac:dyDescent="0.3">
      <c r="A137" s="44" t="s">
        <v>11</v>
      </c>
      <c r="B137" s="36">
        <v>1524</v>
      </c>
      <c r="C137" s="36">
        <v>1787</v>
      </c>
      <c r="D137" s="36">
        <v>1507</v>
      </c>
      <c r="E137" s="36">
        <v>1587</v>
      </c>
      <c r="F137" s="36">
        <v>1995</v>
      </c>
      <c r="G137" s="36">
        <v>1541</v>
      </c>
      <c r="H137" s="36">
        <v>2435</v>
      </c>
      <c r="I137" s="36">
        <v>3293</v>
      </c>
    </row>
    <row r="138" spans="1:9" x14ac:dyDescent="0.3">
      <c r="A138" s="44" t="s">
        <v>12</v>
      </c>
      <c r="B138" s="36">
        <v>993</v>
      </c>
      <c r="C138" s="36">
        <v>1372</v>
      </c>
      <c r="D138" s="36">
        <v>1507</v>
      </c>
      <c r="E138" s="36">
        <v>1807</v>
      </c>
      <c r="F138" s="36">
        <v>2376</v>
      </c>
      <c r="G138" s="36">
        <v>2490</v>
      </c>
      <c r="H138" s="36">
        <v>3243</v>
      </c>
      <c r="I138" s="36">
        <v>2365</v>
      </c>
    </row>
    <row r="139" spans="1:9" x14ac:dyDescent="0.3">
      <c r="A139" s="44" t="s">
        <v>13</v>
      </c>
      <c r="B139" s="36">
        <v>918</v>
      </c>
      <c r="C139" s="36">
        <v>1002</v>
      </c>
      <c r="D139" s="36">
        <v>980</v>
      </c>
      <c r="E139" s="36">
        <v>1189</v>
      </c>
      <c r="F139" s="36">
        <v>1323</v>
      </c>
      <c r="G139" s="36">
        <v>1184</v>
      </c>
      <c r="H139" s="36">
        <v>1530</v>
      </c>
      <c r="I139" s="36">
        <v>1896</v>
      </c>
    </row>
    <row r="140" spans="1:9" x14ac:dyDescent="0.3">
      <c r="A140" s="44" t="s">
        <v>14</v>
      </c>
      <c r="B140" s="36">
        <v>-2263</v>
      </c>
      <c r="C140" s="36">
        <v>-2596</v>
      </c>
      <c r="D140" s="36">
        <v>-2677</v>
      </c>
      <c r="E140" s="36">
        <v>-2658</v>
      </c>
      <c r="F140" s="36">
        <v>-3262</v>
      </c>
      <c r="G140" s="36">
        <v>-3468</v>
      </c>
      <c r="H140" s="36">
        <v>-3656</v>
      </c>
      <c r="I140" s="36">
        <v>-4262</v>
      </c>
    </row>
    <row r="141" spans="1:9" x14ac:dyDescent="0.3">
      <c r="A141" s="46" t="s">
        <v>226</v>
      </c>
      <c r="B141" s="47">
        <f t="shared" ref="B141:I141" si="26">+SUM(B136:B140)</f>
        <v>4817</v>
      </c>
      <c r="C141" s="47">
        <f t="shared" si="26"/>
        <v>5328</v>
      </c>
      <c r="D141" s="47">
        <f t="shared" si="26"/>
        <v>5192</v>
      </c>
      <c r="E141" s="47">
        <f t="shared" si="26"/>
        <v>5525</v>
      </c>
      <c r="F141" s="47">
        <f t="shared" si="26"/>
        <v>6357</v>
      </c>
      <c r="G141" s="47">
        <f t="shared" si="26"/>
        <v>4646</v>
      </c>
      <c r="H141" s="47">
        <f t="shared" si="26"/>
        <v>8641</v>
      </c>
      <c r="I141" s="47">
        <f t="shared" si="26"/>
        <v>8406</v>
      </c>
    </row>
    <row r="142" spans="1:9" x14ac:dyDescent="0.3">
      <c r="A142" s="44" t="s">
        <v>15</v>
      </c>
      <c r="B142" s="45">
        <v>517</v>
      </c>
      <c r="C142" s="45">
        <v>487</v>
      </c>
      <c r="D142" s="45">
        <v>477</v>
      </c>
      <c r="E142" s="45">
        <v>310</v>
      </c>
      <c r="F142" s="45">
        <v>303</v>
      </c>
      <c r="G142" s="45">
        <v>297</v>
      </c>
      <c r="H142" s="45">
        <v>543</v>
      </c>
      <c r="I142" s="45">
        <v>669</v>
      </c>
    </row>
    <row r="143" spans="1:9" x14ac:dyDescent="0.3">
      <c r="A143" s="44" t="s">
        <v>17</v>
      </c>
      <c r="B143" s="45">
        <v>-1101</v>
      </c>
      <c r="C143" s="45">
        <v>-1173</v>
      </c>
      <c r="D143" s="45">
        <v>-724</v>
      </c>
      <c r="E143" s="45">
        <v>-1456</v>
      </c>
      <c r="F143" s="45">
        <v>-1810</v>
      </c>
      <c r="G143" s="45">
        <v>-1967</v>
      </c>
      <c r="H143" s="45">
        <v>-2261</v>
      </c>
      <c r="I143" s="45">
        <v>-2219</v>
      </c>
    </row>
    <row r="144" spans="1:9" ht="15" thickBot="1" x14ac:dyDescent="0.35">
      <c r="A144" s="48" t="s">
        <v>230</v>
      </c>
      <c r="B144" s="49">
        <f t="shared" ref="B144:I144" si="27">+SUM(B141:B143)</f>
        <v>4233</v>
      </c>
      <c r="C144" s="49">
        <f t="shared" si="27"/>
        <v>4642</v>
      </c>
      <c r="D144" s="49">
        <f t="shared" si="27"/>
        <v>4945</v>
      </c>
      <c r="E144" s="49">
        <f t="shared" si="27"/>
        <v>4379</v>
      </c>
      <c r="F144" s="49">
        <f t="shared" si="27"/>
        <v>4850</v>
      </c>
      <c r="G144" s="49">
        <f t="shared" si="27"/>
        <v>2976</v>
      </c>
      <c r="H144" s="49">
        <f t="shared" si="27"/>
        <v>6923</v>
      </c>
      <c r="I144" s="49">
        <f t="shared" si="27"/>
        <v>6856</v>
      </c>
    </row>
    <row r="145" spans="1:9" ht="15" thickTop="1" x14ac:dyDescent="0.3">
      <c r="A145" s="52" t="s">
        <v>228</v>
      </c>
      <c r="B145" s="53">
        <f t="shared" ref="B145:H145" si="28">+B144-B10-B8</f>
        <v>0</v>
      </c>
      <c r="C145" s="53">
        <f t="shared" si="28"/>
        <v>0</v>
      </c>
      <c r="D145" s="53">
        <f t="shared" si="28"/>
        <v>0</v>
      </c>
      <c r="E145" s="53">
        <f t="shared" si="28"/>
        <v>0</v>
      </c>
      <c r="F145" s="53">
        <f t="shared" si="28"/>
        <v>0</v>
      </c>
      <c r="G145" s="53">
        <f t="shared" si="28"/>
        <v>0</v>
      </c>
      <c r="H145" s="53">
        <f t="shared" si="28"/>
        <v>0</v>
      </c>
      <c r="I145" s="53">
        <f>+I144-I10-I8</f>
        <v>0</v>
      </c>
    </row>
    <row r="146" spans="1:9" x14ac:dyDescent="0.3">
      <c r="A146" s="39" t="s">
        <v>231</v>
      </c>
    </row>
    <row r="147" spans="1:9" x14ac:dyDescent="0.3">
      <c r="A147" s="44" t="s">
        <v>225</v>
      </c>
      <c r="B147" s="45">
        <v>632</v>
      </c>
      <c r="C147" s="45">
        <v>742</v>
      </c>
      <c r="D147" s="45">
        <v>819</v>
      </c>
      <c r="E147" s="45">
        <v>848</v>
      </c>
      <c r="F147" s="45">
        <v>814</v>
      </c>
      <c r="G147" s="45">
        <v>645</v>
      </c>
      <c r="H147" s="45">
        <v>617</v>
      </c>
      <c r="I147" s="45">
        <v>639</v>
      </c>
    </row>
    <row r="148" spans="1:9" x14ac:dyDescent="0.3">
      <c r="A148" s="44" t="s">
        <v>11</v>
      </c>
      <c r="B148" s="45">
        <v>498</v>
      </c>
      <c r="C148" s="45">
        <v>639</v>
      </c>
      <c r="D148" s="45">
        <v>706</v>
      </c>
      <c r="E148" s="45">
        <v>849</v>
      </c>
      <c r="F148" s="45">
        <v>929</v>
      </c>
      <c r="G148" s="45">
        <v>885</v>
      </c>
      <c r="H148" s="45">
        <v>982</v>
      </c>
      <c r="I148" s="45">
        <v>920</v>
      </c>
    </row>
    <row r="149" spans="1:9" x14ac:dyDescent="0.3">
      <c r="A149" s="44" t="s">
        <v>12</v>
      </c>
      <c r="B149" s="45">
        <v>254</v>
      </c>
      <c r="C149" s="45">
        <v>234</v>
      </c>
      <c r="D149" s="45">
        <v>225</v>
      </c>
      <c r="E149" s="45">
        <v>256</v>
      </c>
      <c r="F149" s="45">
        <v>237</v>
      </c>
      <c r="G149" s="45">
        <v>214</v>
      </c>
      <c r="H149" s="45">
        <v>288</v>
      </c>
      <c r="I149" s="45">
        <v>303</v>
      </c>
    </row>
    <row r="150" spans="1:9" x14ac:dyDescent="0.3">
      <c r="A150" s="44" t="s">
        <v>232</v>
      </c>
      <c r="B150" s="45">
        <v>308</v>
      </c>
      <c r="C150" s="45">
        <v>332</v>
      </c>
      <c r="D150" s="45">
        <v>343</v>
      </c>
      <c r="E150" s="45">
        <v>339</v>
      </c>
      <c r="F150" s="45">
        <v>326</v>
      </c>
      <c r="G150" s="45">
        <v>296</v>
      </c>
      <c r="H150" s="45">
        <v>304</v>
      </c>
      <c r="I150" s="45">
        <v>274</v>
      </c>
    </row>
    <row r="151" spans="1:9" x14ac:dyDescent="0.3">
      <c r="A151" s="44" t="s">
        <v>14</v>
      </c>
      <c r="B151" s="45">
        <v>484</v>
      </c>
      <c r="C151" s="45">
        <v>511</v>
      </c>
      <c r="D151" s="45">
        <v>533</v>
      </c>
      <c r="E151" s="45">
        <v>597</v>
      </c>
      <c r="F151" s="45">
        <v>665</v>
      </c>
      <c r="G151" s="45">
        <v>830</v>
      </c>
      <c r="H151" s="45">
        <v>780</v>
      </c>
      <c r="I151" s="45">
        <v>789</v>
      </c>
    </row>
    <row r="152" spans="1:9" x14ac:dyDescent="0.3">
      <c r="A152" s="46" t="s">
        <v>233</v>
      </c>
      <c r="B152" s="47">
        <f t="shared" ref="B152:I152" si="29">+SUM(B147:B151)</f>
        <v>2176</v>
      </c>
      <c r="C152" s="47">
        <f t="shared" si="29"/>
        <v>2458</v>
      </c>
      <c r="D152" s="47">
        <f t="shared" si="29"/>
        <v>2626</v>
      </c>
      <c r="E152" s="47">
        <f t="shared" si="29"/>
        <v>2889</v>
      </c>
      <c r="F152" s="47">
        <f t="shared" si="29"/>
        <v>2971</v>
      </c>
      <c r="G152" s="47">
        <f t="shared" si="29"/>
        <v>2870</v>
      </c>
      <c r="H152" s="47">
        <f t="shared" si="29"/>
        <v>2971</v>
      </c>
      <c r="I152" s="47">
        <f t="shared" si="29"/>
        <v>2925</v>
      </c>
    </row>
    <row r="153" spans="1:9" x14ac:dyDescent="0.3">
      <c r="A153" s="44" t="s">
        <v>15</v>
      </c>
      <c r="B153" s="45">
        <v>122</v>
      </c>
      <c r="C153" s="45">
        <v>125</v>
      </c>
      <c r="D153" s="45">
        <v>125</v>
      </c>
      <c r="E153" s="45">
        <v>115</v>
      </c>
      <c r="F153" s="45">
        <v>100</v>
      </c>
      <c r="G153" s="45">
        <v>80</v>
      </c>
      <c r="H153" s="45">
        <v>63</v>
      </c>
      <c r="I153" s="45">
        <v>49</v>
      </c>
    </row>
    <row r="154" spans="1:9" x14ac:dyDescent="0.3">
      <c r="A154" s="44" t="s">
        <v>17</v>
      </c>
      <c r="B154" s="45">
        <v>713</v>
      </c>
      <c r="C154" s="45">
        <v>937</v>
      </c>
      <c r="D154" s="45">
        <v>1238</v>
      </c>
      <c r="E154" s="45">
        <v>1450</v>
      </c>
      <c r="F154" s="45">
        <v>1673</v>
      </c>
      <c r="G154" s="45">
        <v>1916</v>
      </c>
      <c r="H154" s="45">
        <v>1870</v>
      </c>
      <c r="I154" s="45">
        <v>1817</v>
      </c>
    </row>
    <row r="155" spans="1:9" ht="15" thickBot="1" x14ac:dyDescent="0.35">
      <c r="A155" s="48" t="s">
        <v>234</v>
      </c>
      <c r="B155" s="49">
        <f t="shared" ref="B155:H155" si="30">+SUM(B152:B154)</f>
        <v>3011</v>
      </c>
      <c r="C155" s="49">
        <f t="shared" si="30"/>
        <v>3520</v>
      </c>
      <c r="D155" s="49">
        <f t="shared" si="30"/>
        <v>3989</v>
      </c>
      <c r="E155" s="49">
        <f t="shared" si="30"/>
        <v>4454</v>
      </c>
      <c r="F155" s="49">
        <f t="shared" si="30"/>
        <v>4744</v>
      </c>
      <c r="G155" s="49">
        <f t="shared" si="30"/>
        <v>4866</v>
      </c>
      <c r="H155" s="49">
        <f t="shared" si="30"/>
        <v>4904</v>
      </c>
      <c r="I155" s="49">
        <f>+SUM(I152:I154)</f>
        <v>4791</v>
      </c>
    </row>
    <row r="156" spans="1:9" ht="15" thickTop="1" x14ac:dyDescent="0.3">
      <c r="A156" s="52" t="s">
        <v>228</v>
      </c>
      <c r="B156" s="53">
        <f t="shared" ref="B156:H156" si="31">+B155-B31</f>
        <v>0</v>
      </c>
      <c r="C156" s="53">
        <f t="shared" si="31"/>
        <v>0</v>
      </c>
      <c r="D156" s="53">
        <f t="shared" si="31"/>
        <v>0</v>
      </c>
      <c r="E156" s="53">
        <f t="shared" si="31"/>
        <v>0</v>
      </c>
      <c r="F156" s="53">
        <f t="shared" si="31"/>
        <v>0</v>
      </c>
      <c r="G156" s="53">
        <f t="shared" si="31"/>
        <v>0</v>
      </c>
      <c r="H156" s="53">
        <f t="shared" si="31"/>
        <v>0</v>
      </c>
      <c r="I156" s="53">
        <f>+I155-I31</f>
        <v>0</v>
      </c>
    </row>
    <row r="157" spans="1:9" x14ac:dyDescent="0.3">
      <c r="A157" s="39" t="s">
        <v>235</v>
      </c>
    </row>
    <row r="158" spans="1:9" x14ac:dyDescent="0.3">
      <c r="A158" s="44" t="s">
        <v>225</v>
      </c>
      <c r="B158" s="45">
        <v>208</v>
      </c>
      <c r="C158" s="45">
        <v>242</v>
      </c>
      <c r="D158" s="45">
        <v>223</v>
      </c>
      <c r="E158" s="45">
        <v>196</v>
      </c>
      <c r="F158" s="45">
        <v>117</v>
      </c>
      <c r="G158" s="45">
        <v>110</v>
      </c>
      <c r="H158" s="45">
        <v>98</v>
      </c>
      <c r="I158" s="45">
        <v>146</v>
      </c>
    </row>
    <row r="159" spans="1:9" x14ac:dyDescent="0.3">
      <c r="A159" s="44" t="s">
        <v>11</v>
      </c>
      <c r="B159" s="45">
        <v>236</v>
      </c>
      <c r="C159" s="45">
        <v>232</v>
      </c>
      <c r="D159" s="45">
        <v>172</v>
      </c>
      <c r="E159" s="45">
        <v>240</v>
      </c>
      <c r="F159" s="45">
        <v>233</v>
      </c>
      <c r="G159" s="45">
        <v>139</v>
      </c>
      <c r="H159" s="45">
        <v>153</v>
      </c>
      <c r="I159" s="45">
        <v>197</v>
      </c>
    </row>
    <row r="160" spans="1:9" x14ac:dyDescent="0.3">
      <c r="A160" s="44" t="s">
        <v>12</v>
      </c>
      <c r="B160" s="45">
        <v>69</v>
      </c>
      <c r="C160" s="45">
        <v>44</v>
      </c>
      <c r="D160" s="45">
        <v>51</v>
      </c>
      <c r="E160" s="45">
        <v>76</v>
      </c>
      <c r="F160" s="45">
        <v>49</v>
      </c>
      <c r="G160" s="45">
        <v>28</v>
      </c>
      <c r="H160" s="45">
        <v>94</v>
      </c>
      <c r="I160" s="45">
        <v>78</v>
      </c>
    </row>
    <row r="161" spans="1:9" x14ac:dyDescent="0.3">
      <c r="A161" s="44" t="s">
        <v>232</v>
      </c>
      <c r="B161" s="45">
        <v>52</v>
      </c>
      <c r="C161" s="45">
        <v>64</v>
      </c>
      <c r="D161" s="45">
        <v>60</v>
      </c>
      <c r="E161" s="45">
        <v>49</v>
      </c>
      <c r="F161" s="45">
        <v>47</v>
      </c>
      <c r="G161" s="45">
        <v>41</v>
      </c>
      <c r="H161" s="45">
        <v>54</v>
      </c>
      <c r="I161" s="45">
        <v>56</v>
      </c>
    </row>
    <row r="162" spans="1:9" x14ac:dyDescent="0.3">
      <c r="A162" s="44" t="s">
        <v>14</v>
      </c>
      <c r="B162" s="45">
        <v>225</v>
      </c>
      <c r="C162" s="45">
        <v>258</v>
      </c>
      <c r="D162" s="45">
        <v>278</v>
      </c>
      <c r="E162" s="45">
        <v>286</v>
      </c>
      <c r="F162" s="45">
        <v>278</v>
      </c>
      <c r="G162" s="45">
        <v>438</v>
      </c>
      <c r="H162" s="45">
        <v>278</v>
      </c>
      <c r="I162" s="45">
        <v>222</v>
      </c>
    </row>
    <row r="163" spans="1:9" x14ac:dyDescent="0.3">
      <c r="A163" s="46" t="s">
        <v>233</v>
      </c>
      <c r="B163" s="47">
        <f t="shared" ref="B163:I163" si="32">+SUM(B158:B162)</f>
        <v>790</v>
      </c>
      <c r="C163" s="47">
        <f t="shared" si="32"/>
        <v>840</v>
      </c>
      <c r="D163" s="47">
        <f t="shared" si="32"/>
        <v>784</v>
      </c>
      <c r="E163" s="47">
        <f t="shared" si="32"/>
        <v>847</v>
      </c>
      <c r="F163" s="47">
        <f t="shared" si="32"/>
        <v>724</v>
      </c>
      <c r="G163" s="47">
        <f t="shared" si="32"/>
        <v>756</v>
      </c>
      <c r="H163" s="47">
        <f t="shared" si="32"/>
        <v>677</v>
      </c>
      <c r="I163" s="47">
        <f t="shared" si="32"/>
        <v>699</v>
      </c>
    </row>
    <row r="164" spans="1:9" x14ac:dyDescent="0.3">
      <c r="A164" s="44" t="s">
        <v>15</v>
      </c>
      <c r="B164" s="45">
        <v>69</v>
      </c>
      <c r="C164" s="45">
        <v>39</v>
      </c>
      <c r="D164" s="45">
        <v>30</v>
      </c>
      <c r="E164" s="45">
        <v>22</v>
      </c>
      <c r="F164" s="45">
        <v>18</v>
      </c>
      <c r="G164" s="45">
        <v>12</v>
      </c>
      <c r="H164" s="36">
        <v>7</v>
      </c>
      <c r="I164" s="36">
        <v>9</v>
      </c>
    </row>
    <row r="165" spans="1:9" x14ac:dyDescent="0.3">
      <c r="A165" s="44" t="s">
        <v>17</v>
      </c>
      <c r="B165" s="36">
        <f t="shared" ref="B165:H165" si="33">-(SUM(B163:B164)+B82)</f>
        <v>104</v>
      </c>
      <c r="C165" s="36">
        <f t="shared" si="33"/>
        <v>264</v>
      </c>
      <c r="D165" s="36">
        <f t="shared" si="33"/>
        <v>291</v>
      </c>
      <c r="E165" s="36">
        <f t="shared" si="33"/>
        <v>159</v>
      </c>
      <c r="F165" s="36">
        <f t="shared" si="33"/>
        <v>377</v>
      </c>
      <c r="G165" s="36">
        <f t="shared" si="33"/>
        <v>318</v>
      </c>
      <c r="H165" s="36">
        <f t="shared" si="33"/>
        <v>11</v>
      </c>
      <c r="I165" s="36">
        <f>-(SUM(I163:I164)+I82)</f>
        <v>50</v>
      </c>
    </row>
    <row r="166" spans="1:9" ht="15" thickBot="1" x14ac:dyDescent="0.35">
      <c r="A166" s="48" t="s">
        <v>236</v>
      </c>
      <c r="B166" s="49">
        <f t="shared" ref="B166:H166" si="34">+SUM(B163:B165)</f>
        <v>963</v>
      </c>
      <c r="C166" s="49">
        <f t="shared" si="34"/>
        <v>1143</v>
      </c>
      <c r="D166" s="49">
        <f t="shared" si="34"/>
        <v>1105</v>
      </c>
      <c r="E166" s="49">
        <f t="shared" si="34"/>
        <v>1028</v>
      </c>
      <c r="F166" s="49">
        <f t="shared" si="34"/>
        <v>1119</v>
      </c>
      <c r="G166" s="49">
        <f t="shared" si="34"/>
        <v>1086</v>
      </c>
      <c r="H166" s="49">
        <f t="shared" si="34"/>
        <v>695</v>
      </c>
      <c r="I166" s="49">
        <f>+SUM(I163:I165)</f>
        <v>758</v>
      </c>
    </row>
    <row r="167" spans="1:9" ht="15" thickTop="1" x14ac:dyDescent="0.3">
      <c r="A167" s="52" t="s">
        <v>228</v>
      </c>
      <c r="B167" s="53">
        <f t="shared" ref="B167:H167" si="35">+B166+B82</f>
        <v>0</v>
      </c>
      <c r="C167" s="53">
        <f t="shared" si="35"/>
        <v>0</v>
      </c>
      <c r="D167" s="53">
        <f t="shared" si="35"/>
        <v>0</v>
      </c>
      <c r="E167" s="53">
        <f t="shared" si="35"/>
        <v>0</v>
      </c>
      <c r="F167" s="53">
        <f t="shared" si="35"/>
        <v>0</v>
      </c>
      <c r="G167" s="53">
        <f t="shared" si="35"/>
        <v>0</v>
      </c>
      <c r="H167" s="53">
        <f t="shared" si="35"/>
        <v>0</v>
      </c>
      <c r="I167" s="53">
        <f>+I166+I82</f>
        <v>0</v>
      </c>
    </row>
    <row r="168" spans="1:9" x14ac:dyDescent="0.3">
      <c r="A168" s="39" t="s">
        <v>237</v>
      </c>
    </row>
    <row r="169" spans="1:9" x14ac:dyDescent="0.3">
      <c r="A169" s="44" t="s">
        <v>225</v>
      </c>
      <c r="B169" s="36">
        <v>121</v>
      </c>
      <c r="C169" s="36">
        <v>133</v>
      </c>
      <c r="D169" s="36">
        <v>140</v>
      </c>
      <c r="E169" s="36">
        <v>160</v>
      </c>
      <c r="F169" s="36">
        <v>149</v>
      </c>
      <c r="G169" s="36">
        <v>148</v>
      </c>
      <c r="H169" s="36">
        <v>130</v>
      </c>
      <c r="I169" s="36">
        <v>124</v>
      </c>
    </row>
    <row r="170" spans="1:9" x14ac:dyDescent="0.3">
      <c r="A170" s="44" t="s">
        <v>11</v>
      </c>
      <c r="B170" s="36">
        <v>87</v>
      </c>
      <c r="C170" s="36">
        <v>84</v>
      </c>
      <c r="D170" s="36">
        <v>104</v>
      </c>
      <c r="E170" s="36">
        <v>116</v>
      </c>
      <c r="F170" s="36">
        <v>111</v>
      </c>
      <c r="G170" s="36">
        <v>132</v>
      </c>
      <c r="H170" s="36">
        <v>136</v>
      </c>
      <c r="I170" s="36">
        <v>134</v>
      </c>
    </row>
    <row r="171" spans="1:9" x14ac:dyDescent="0.3">
      <c r="A171" s="44" t="s">
        <v>12</v>
      </c>
      <c r="B171" s="36">
        <v>46</v>
      </c>
      <c r="C171" s="36">
        <v>48</v>
      </c>
      <c r="D171" s="36">
        <v>54</v>
      </c>
      <c r="E171" s="36">
        <v>56</v>
      </c>
      <c r="F171" s="36">
        <v>50</v>
      </c>
      <c r="G171" s="36">
        <v>44</v>
      </c>
      <c r="H171" s="36">
        <v>46</v>
      </c>
      <c r="I171" s="36">
        <v>41</v>
      </c>
    </row>
    <row r="172" spans="1:9" x14ac:dyDescent="0.3">
      <c r="A172" s="44" t="s">
        <v>13</v>
      </c>
      <c r="B172" s="36">
        <v>49</v>
      </c>
      <c r="C172" s="36">
        <v>43</v>
      </c>
      <c r="D172" s="36">
        <v>56</v>
      </c>
      <c r="E172" s="36">
        <v>55</v>
      </c>
      <c r="F172" s="36">
        <v>53</v>
      </c>
      <c r="G172" s="36">
        <v>46</v>
      </c>
      <c r="H172" s="36">
        <v>43</v>
      </c>
      <c r="I172" s="36">
        <v>42</v>
      </c>
    </row>
    <row r="173" spans="1:9" x14ac:dyDescent="0.3">
      <c r="A173" s="44" t="s">
        <v>14</v>
      </c>
      <c r="B173" s="36">
        <v>210</v>
      </c>
      <c r="C173" s="36">
        <v>230</v>
      </c>
      <c r="D173" s="36">
        <v>233</v>
      </c>
      <c r="E173" s="36">
        <v>217</v>
      </c>
      <c r="F173" s="36">
        <v>195</v>
      </c>
      <c r="G173" s="36">
        <v>214</v>
      </c>
      <c r="H173" s="36">
        <v>222</v>
      </c>
      <c r="I173" s="36">
        <v>220</v>
      </c>
    </row>
    <row r="174" spans="1:9" x14ac:dyDescent="0.3">
      <c r="A174" s="46" t="s">
        <v>233</v>
      </c>
      <c r="B174" s="47">
        <f t="shared" ref="B174:I174" si="36">+SUM(B169:B173)</f>
        <v>513</v>
      </c>
      <c r="C174" s="47">
        <f t="shared" si="36"/>
        <v>538</v>
      </c>
      <c r="D174" s="47">
        <f t="shared" si="36"/>
        <v>587</v>
      </c>
      <c r="E174" s="47">
        <f t="shared" si="36"/>
        <v>604</v>
      </c>
      <c r="F174" s="47">
        <f t="shared" si="36"/>
        <v>558</v>
      </c>
      <c r="G174" s="47">
        <f t="shared" si="36"/>
        <v>584</v>
      </c>
      <c r="H174" s="47">
        <f t="shared" si="36"/>
        <v>577</v>
      </c>
      <c r="I174" s="47">
        <f t="shared" si="36"/>
        <v>561</v>
      </c>
    </row>
    <row r="175" spans="1:9" x14ac:dyDescent="0.3">
      <c r="A175" s="44" t="s">
        <v>15</v>
      </c>
      <c r="B175" s="36">
        <v>18</v>
      </c>
      <c r="C175" s="36">
        <v>27</v>
      </c>
      <c r="D175" s="36">
        <v>28</v>
      </c>
      <c r="E175" s="36">
        <v>33</v>
      </c>
      <c r="F175" s="36">
        <v>31</v>
      </c>
      <c r="G175" s="36">
        <v>25</v>
      </c>
      <c r="H175" s="36">
        <v>26</v>
      </c>
      <c r="I175" s="36">
        <v>22</v>
      </c>
    </row>
    <row r="176" spans="1:9" x14ac:dyDescent="0.3">
      <c r="A176" s="44" t="s">
        <v>17</v>
      </c>
      <c r="B176" s="36">
        <v>75</v>
      </c>
      <c r="C176" s="36">
        <v>84</v>
      </c>
      <c r="D176" s="36">
        <v>91</v>
      </c>
      <c r="E176" s="36">
        <v>110</v>
      </c>
      <c r="F176" s="36">
        <v>116</v>
      </c>
      <c r="G176" s="36">
        <v>112</v>
      </c>
      <c r="H176" s="36">
        <v>141</v>
      </c>
      <c r="I176" s="36">
        <v>134</v>
      </c>
    </row>
    <row r="177" spans="1:9" ht="15" thickBot="1" x14ac:dyDescent="0.35">
      <c r="A177" s="48" t="s">
        <v>238</v>
      </c>
      <c r="B177" s="49">
        <f t="shared" ref="B177:H177" si="37">+SUM(B174:B176)</f>
        <v>606</v>
      </c>
      <c r="C177" s="49">
        <f t="shared" si="37"/>
        <v>649</v>
      </c>
      <c r="D177" s="49">
        <f t="shared" si="37"/>
        <v>706</v>
      </c>
      <c r="E177" s="49">
        <f t="shared" si="37"/>
        <v>747</v>
      </c>
      <c r="F177" s="49">
        <f t="shared" si="37"/>
        <v>705</v>
      </c>
      <c r="G177" s="49">
        <f t="shared" si="37"/>
        <v>721</v>
      </c>
      <c r="H177" s="49">
        <f t="shared" si="37"/>
        <v>744</v>
      </c>
      <c r="I177" s="49">
        <f>+SUM(I174:I176)</f>
        <v>717</v>
      </c>
    </row>
    <row r="178" spans="1:9" ht="15" thickTop="1" x14ac:dyDescent="0.3">
      <c r="A178" s="52" t="s">
        <v>228</v>
      </c>
      <c r="B178" s="53">
        <f t="shared" ref="B178:H178" si="38">+B177-B66</f>
        <v>0</v>
      </c>
      <c r="C178" s="53">
        <f t="shared" si="38"/>
        <v>0</v>
      </c>
      <c r="D178" s="53">
        <f t="shared" si="38"/>
        <v>0</v>
      </c>
      <c r="E178" s="53">
        <f t="shared" si="38"/>
        <v>0</v>
      </c>
      <c r="F178" s="53">
        <f t="shared" si="38"/>
        <v>0</v>
      </c>
      <c r="G178" s="53">
        <f t="shared" si="38"/>
        <v>0</v>
      </c>
      <c r="H178" s="53">
        <f t="shared" si="38"/>
        <v>0</v>
      </c>
      <c r="I178" s="53">
        <f>+I177-I66</f>
        <v>0</v>
      </c>
    </row>
    <row r="179" spans="1:9" x14ac:dyDescent="0.3">
      <c r="A179" s="54" t="s">
        <v>239</v>
      </c>
      <c r="B179" s="54"/>
      <c r="C179" s="54"/>
      <c r="D179" s="54"/>
      <c r="E179" s="54"/>
      <c r="F179" s="54"/>
      <c r="G179" s="54"/>
      <c r="H179" s="54"/>
      <c r="I179" s="54"/>
    </row>
    <row r="180" spans="1:9" x14ac:dyDescent="0.3">
      <c r="A180" s="61" t="s">
        <v>240</v>
      </c>
    </row>
    <row r="181" spans="1:9" x14ac:dyDescent="0.3">
      <c r="A181" s="66" t="s">
        <v>225</v>
      </c>
      <c r="B181" s="67">
        <v>0.12</v>
      </c>
      <c r="C181" s="67">
        <v>0.08</v>
      </c>
      <c r="D181" s="67">
        <v>0.03</v>
      </c>
      <c r="E181" s="67">
        <v>-0.02</v>
      </c>
      <c r="F181" s="67">
        <v>7.0000000000000007E-2</v>
      </c>
      <c r="G181" s="67">
        <v>-0.09</v>
      </c>
      <c r="H181" s="67">
        <v>0.19</v>
      </c>
      <c r="I181" s="67">
        <v>7.0000000000000007E-2</v>
      </c>
    </row>
    <row r="182" spans="1:9" x14ac:dyDescent="0.3">
      <c r="A182" s="68" t="s">
        <v>8</v>
      </c>
      <c r="B182" s="69">
        <v>0.14000000000000001</v>
      </c>
      <c r="C182" s="69">
        <v>0.1</v>
      </c>
      <c r="D182" s="69">
        <v>0.04</v>
      </c>
      <c r="E182" s="69">
        <v>-0.04</v>
      </c>
      <c r="F182" s="69">
        <v>0.08</v>
      </c>
      <c r="G182" s="69">
        <v>-0.14000000000000001</v>
      </c>
      <c r="H182" s="69">
        <v>0.25</v>
      </c>
      <c r="I182" s="69">
        <v>0.05</v>
      </c>
    </row>
    <row r="183" spans="1:9" x14ac:dyDescent="0.3">
      <c r="A183" s="68" t="s">
        <v>9</v>
      </c>
      <c r="B183" s="69">
        <v>0.12</v>
      </c>
      <c r="C183" s="69">
        <v>0.08</v>
      </c>
      <c r="D183" s="69">
        <v>0.03</v>
      </c>
      <c r="E183" s="69">
        <v>0.01</v>
      </c>
      <c r="F183" s="69">
        <v>7.0000000000000007E-2</v>
      </c>
      <c r="G183" s="69">
        <v>-0.12</v>
      </c>
      <c r="H183" s="69">
        <v>0.08</v>
      </c>
      <c r="I183" s="69">
        <v>0.09</v>
      </c>
    </row>
    <row r="184" spans="1:9" x14ac:dyDescent="0.3">
      <c r="A184" s="68" t="s">
        <v>10</v>
      </c>
      <c r="B184" s="69">
        <v>-0.05</v>
      </c>
      <c r="C184" s="69">
        <v>-0.13</v>
      </c>
      <c r="D184" s="69">
        <v>-0.1</v>
      </c>
      <c r="E184" s="69">
        <v>-0.08</v>
      </c>
      <c r="F184" s="69">
        <v>0</v>
      </c>
      <c r="G184" s="69">
        <v>-7.0000000000000007E-2</v>
      </c>
      <c r="H184" s="69">
        <v>-0.02</v>
      </c>
      <c r="I184" s="69">
        <v>0.25</v>
      </c>
    </row>
    <row r="185" spans="1:9" x14ac:dyDescent="0.3">
      <c r="A185" s="66" t="s">
        <v>11</v>
      </c>
      <c r="B185" s="67">
        <v>0.36</v>
      </c>
      <c r="C185" s="67">
        <v>0.31</v>
      </c>
      <c r="D185" s="67">
        <v>0.18</v>
      </c>
      <c r="E185" s="67">
        <v>0.09</v>
      </c>
      <c r="F185" s="69">
        <v>0.11</v>
      </c>
      <c r="G185" s="67">
        <v>-0.01</v>
      </c>
      <c r="H185" s="67">
        <v>0.17</v>
      </c>
      <c r="I185" s="67">
        <v>0.12</v>
      </c>
    </row>
    <row r="186" spans="1:9" x14ac:dyDescent="0.3">
      <c r="A186" s="68" t="s">
        <v>8</v>
      </c>
      <c r="B186" s="69">
        <v>0.47</v>
      </c>
      <c r="C186" s="69">
        <v>0.37</v>
      </c>
      <c r="D186" s="69">
        <v>0.16</v>
      </c>
      <c r="E186" s="69">
        <v>0.06</v>
      </c>
      <c r="F186" s="69">
        <v>0.12</v>
      </c>
      <c r="G186" s="69">
        <v>-0.03</v>
      </c>
      <c r="H186" s="69">
        <v>0.13</v>
      </c>
      <c r="I186" s="69">
        <v>0.09</v>
      </c>
    </row>
    <row r="187" spans="1:9" x14ac:dyDescent="0.3">
      <c r="A187" s="68" t="s">
        <v>9</v>
      </c>
      <c r="B187" s="69">
        <v>0.19</v>
      </c>
      <c r="C187" s="69">
        <v>0.25</v>
      </c>
      <c r="D187" s="69">
        <v>0.25</v>
      </c>
      <c r="E187" s="69">
        <v>0.16</v>
      </c>
      <c r="F187" s="69">
        <v>0.09</v>
      </c>
      <c r="G187" s="69">
        <v>0.02</v>
      </c>
      <c r="H187" s="69">
        <v>0.25</v>
      </c>
      <c r="I187" s="69">
        <v>0.16</v>
      </c>
    </row>
    <row r="188" spans="1:9" x14ac:dyDescent="0.3">
      <c r="A188" s="68" t="s">
        <v>10</v>
      </c>
      <c r="B188" s="69">
        <v>0.19</v>
      </c>
      <c r="C188" s="69">
        <v>0.15</v>
      </c>
      <c r="D188" s="69">
        <v>0.13</v>
      </c>
      <c r="E188" s="69">
        <v>0.06</v>
      </c>
      <c r="F188" s="69">
        <v>0.05</v>
      </c>
      <c r="G188" s="69">
        <v>-0.03</v>
      </c>
      <c r="H188" s="69">
        <v>0.19</v>
      </c>
      <c r="I188" s="69">
        <v>0.17</v>
      </c>
    </row>
    <row r="189" spans="1:9" x14ac:dyDescent="0.3">
      <c r="A189" s="66" t="s">
        <v>12</v>
      </c>
      <c r="B189" s="67">
        <v>0.19</v>
      </c>
      <c r="C189" s="67">
        <v>7.0000000000000007E-2</v>
      </c>
      <c r="D189" s="67">
        <v>0.17</v>
      </c>
      <c r="E189" s="67">
        <v>0.18</v>
      </c>
      <c r="F189" s="67">
        <v>0.24</v>
      </c>
      <c r="G189" s="67">
        <v>0.11</v>
      </c>
      <c r="H189" s="67">
        <v>0.19</v>
      </c>
      <c r="I189" s="67">
        <v>-0.13</v>
      </c>
    </row>
    <row r="190" spans="1:9" x14ac:dyDescent="0.3">
      <c r="A190" s="68" t="s">
        <v>8</v>
      </c>
      <c r="B190" s="69">
        <v>0.28000000000000003</v>
      </c>
      <c r="C190" s="69">
        <v>0.33</v>
      </c>
      <c r="D190" s="69">
        <v>0.18</v>
      </c>
      <c r="E190" s="69">
        <v>0.16</v>
      </c>
      <c r="F190" s="69">
        <v>0.25</v>
      </c>
      <c r="G190" s="69">
        <v>0.12</v>
      </c>
      <c r="H190" s="69">
        <v>0.19</v>
      </c>
      <c r="I190" s="69">
        <v>-0.1</v>
      </c>
    </row>
    <row r="191" spans="1:9" x14ac:dyDescent="0.3">
      <c r="A191" s="68" t="s">
        <v>9</v>
      </c>
      <c r="B191" s="69">
        <v>7.0000000000000007E-2</v>
      </c>
      <c r="C191" s="69">
        <v>0.17</v>
      </c>
      <c r="D191" s="69">
        <v>0.18</v>
      </c>
      <c r="E191" s="69">
        <v>0.23</v>
      </c>
      <c r="F191" s="69">
        <v>0.23</v>
      </c>
      <c r="G191" s="69">
        <v>0.08</v>
      </c>
      <c r="H191" s="69">
        <v>0.19</v>
      </c>
      <c r="I191" s="69">
        <v>-0.21</v>
      </c>
    </row>
    <row r="192" spans="1:9" x14ac:dyDescent="0.3">
      <c r="A192" s="68" t="s">
        <v>10</v>
      </c>
      <c r="B192" s="69">
        <v>0.01</v>
      </c>
      <c r="C192" s="69">
        <v>7.0000000000000007E-2</v>
      </c>
      <c r="D192" s="69">
        <v>0.03</v>
      </c>
      <c r="E192" s="69">
        <v>-0.01</v>
      </c>
      <c r="F192" s="69">
        <v>0.08</v>
      </c>
      <c r="G192" s="69">
        <v>0.11</v>
      </c>
      <c r="H192" s="69">
        <v>0.26</v>
      </c>
      <c r="I192" s="69">
        <v>-0.06</v>
      </c>
    </row>
    <row r="193" spans="1:9" x14ac:dyDescent="0.3">
      <c r="A193" s="66" t="s">
        <v>13</v>
      </c>
      <c r="B193" s="67">
        <v>0.17</v>
      </c>
      <c r="C193" s="67">
        <v>0.35</v>
      </c>
      <c r="D193" s="67">
        <v>0.21</v>
      </c>
      <c r="E193" s="67">
        <v>0.1</v>
      </c>
      <c r="F193" s="67">
        <v>0.13</v>
      </c>
      <c r="G193" s="67">
        <v>0.01</v>
      </c>
      <c r="H193" s="67">
        <v>0.08</v>
      </c>
      <c r="I193" s="67">
        <v>0.16</v>
      </c>
    </row>
    <row r="194" spans="1:9" x14ac:dyDescent="0.3">
      <c r="A194" s="68" t="s">
        <v>8</v>
      </c>
      <c r="B194" s="69">
        <v>0.32</v>
      </c>
      <c r="C194" s="69">
        <v>0.48</v>
      </c>
      <c r="D194" s="69">
        <v>0.24</v>
      </c>
      <c r="E194" s="69">
        <v>0.09</v>
      </c>
      <c r="F194" s="69">
        <v>0.12</v>
      </c>
      <c r="G194" s="69">
        <v>0</v>
      </c>
      <c r="H194" s="69">
        <v>0.08</v>
      </c>
      <c r="I194" s="69">
        <v>0.17</v>
      </c>
    </row>
    <row r="195" spans="1:9" x14ac:dyDescent="0.3">
      <c r="A195" s="68" t="s">
        <v>9</v>
      </c>
      <c r="B195" s="69">
        <v>-0.03</v>
      </c>
      <c r="C195" s="69">
        <v>0.16</v>
      </c>
      <c r="D195" s="69">
        <v>0.18</v>
      </c>
      <c r="E195" s="69">
        <v>0.15</v>
      </c>
      <c r="F195" s="69">
        <v>0.15</v>
      </c>
      <c r="G195" s="69">
        <v>0.02</v>
      </c>
      <c r="H195" s="69">
        <v>0.1</v>
      </c>
      <c r="I195" s="69">
        <v>0.12</v>
      </c>
    </row>
    <row r="196" spans="1:9" x14ac:dyDescent="0.3">
      <c r="A196" s="68" t="s">
        <v>10</v>
      </c>
      <c r="B196" s="69">
        <v>-0.01</v>
      </c>
      <c r="C196" s="69">
        <v>0.14000000000000001</v>
      </c>
      <c r="D196" s="69">
        <v>-0.04</v>
      </c>
      <c r="E196" s="69">
        <v>-0.08</v>
      </c>
      <c r="F196" s="69">
        <v>0.08</v>
      </c>
      <c r="G196" s="69">
        <v>-0.04</v>
      </c>
      <c r="H196" s="69">
        <v>-0.09</v>
      </c>
      <c r="I196" s="69">
        <v>0.28000000000000003</v>
      </c>
    </row>
    <row r="197" spans="1:9" x14ac:dyDescent="0.3">
      <c r="A197" s="66" t="s">
        <v>14</v>
      </c>
      <c r="B197" s="67">
        <v>-0.02</v>
      </c>
      <c r="C197" s="67">
        <v>-0.3</v>
      </c>
      <c r="D197" s="67">
        <v>0.02</v>
      </c>
      <c r="E197" s="67">
        <v>0.12</v>
      </c>
      <c r="F197" s="67">
        <v>3.02</v>
      </c>
      <c r="G197" s="67">
        <v>-0.26</v>
      </c>
      <c r="H197" s="67">
        <v>-0.17</v>
      </c>
      <c r="I197" s="67">
        <v>3.02</v>
      </c>
    </row>
    <row r="198" spans="1:9" x14ac:dyDescent="0.3">
      <c r="A198" s="70" t="s">
        <v>226</v>
      </c>
      <c r="B198" s="71">
        <v>0.1</v>
      </c>
      <c r="C198" s="71">
        <v>0.13</v>
      </c>
      <c r="D198" s="71">
        <v>0.06</v>
      </c>
      <c r="E198" s="71">
        <v>0.05</v>
      </c>
      <c r="F198" s="71">
        <v>0.11</v>
      </c>
      <c r="G198" s="71">
        <v>-0.02</v>
      </c>
      <c r="H198" s="71">
        <v>0.17</v>
      </c>
      <c r="I198" s="71">
        <v>0.06</v>
      </c>
    </row>
    <row r="199" spans="1:9" x14ac:dyDescent="0.3">
      <c r="A199" s="66" t="s">
        <v>15</v>
      </c>
      <c r="B199" s="67">
        <v>0.21</v>
      </c>
      <c r="C199" s="67">
        <v>0.02</v>
      </c>
      <c r="D199" s="67">
        <v>0.06</v>
      </c>
      <c r="E199" s="67">
        <v>-0.11</v>
      </c>
      <c r="F199" s="67">
        <v>7.0000000000000007E-2</v>
      </c>
      <c r="G199" s="67">
        <v>-0.01</v>
      </c>
      <c r="H199" s="67">
        <v>0.16</v>
      </c>
      <c r="I199" s="67">
        <v>7.0000000000000007E-2</v>
      </c>
    </row>
    <row r="200" spans="1:9" x14ac:dyDescent="0.3">
      <c r="A200" s="68" t="s">
        <v>8</v>
      </c>
      <c r="B200" s="69"/>
      <c r="C200" s="69"/>
      <c r="D200" s="69"/>
      <c r="E200" s="69"/>
      <c r="F200" s="69">
        <v>0.06</v>
      </c>
      <c r="G200" s="69">
        <v>0.01</v>
      </c>
      <c r="H200" s="69">
        <v>0.17</v>
      </c>
      <c r="I200" s="69">
        <v>0.06</v>
      </c>
    </row>
    <row r="201" spans="1:9" x14ac:dyDescent="0.3">
      <c r="A201" s="68" t="s">
        <v>9</v>
      </c>
      <c r="B201" s="69"/>
      <c r="C201" s="69"/>
      <c r="D201" s="69"/>
      <c r="E201" s="69"/>
      <c r="F201" s="69">
        <v>-0.03</v>
      </c>
      <c r="G201" s="69">
        <v>-0.22</v>
      </c>
      <c r="H201" s="69">
        <v>0.13</v>
      </c>
      <c r="I201" s="69">
        <v>-0.03</v>
      </c>
    </row>
    <row r="202" spans="1:9" x14ac:dyDescent="0.3">
      <c r="A202" s="68" t="s">
        <v>10</v>
      </c>
      <c r="B202" s="69"/>
      <c r="C202" s="69"/>
      <c r="D202" s="69"/>
      <c r="E202" s="69"/>
      <c r="F202" s="69">
        <v>-0.16</v>
      </c>
      <c r="G202" s="69">
        <v>0.08</v>
      </c>
      <c r="H202" s="69">
        <v>0.14000000000000001</v>
      </c>
      <c r="I202" s="69">
        <v>-0.16</v>
      </c>
    </row>
    <row r="203" spans="1:9" x14ac:dyDescent="0.3">
      <c r="A203" s="68" t="s">
        <v>16</v>
      </c>
      <c r="B203" s="69"/>
      <c r="C203" s="69"/>
      <c r="D203" s="69"/>
      <c r="E203" s="69"/>
      <c r="F203" s="69">
        <v>0.42</v>
      </c>
      <c r="G203" s="69">
        <v>-0.14000000000000001</v>
      </c>
      <c r="H203" s="69">
        <v>-0.01</v>
      </c>
      <c r="I203" s="69">
        <v>0.42</v>
      </c>
    </row>
    <row r="204" spans="1:9" x14ac:dyDescent="0.3">
      <c r="A204" s="72" t="s">
        <v>17</v>
      </c>
      <c r="B204" s="69">
        <v>0</v>
      </c>
      <c r="C204" s="69">
        <v>0</v>
      </c>
      <c r="D204" s="69">
        <v>0</v>
      </c>
      <c r="E204" s="69">
        <v>0</v>
      </c>
      <c r="F204" s="69">
        <v>0</v>
      </c>
      <c r="G204" s="69">
        <v>0</v>
      </c>
      <c r="H204" s="69">
        <v>0</v>
      </c>
      <c r="I204" s="69">
        <v>0</v>
      </c>
    </row>
    <row r="205" spans="1:9" ht="15" thickBot="1" x14ac:dyDescent="0.35">
      <c r="A205" s="73" t="s">
        <v>227</v>
      </c>
      <c r="B205" s="74">
        <v>0.1</v>
      </c>
      <c r="C205" s="74">
        <v>0.12</v>
      </c>
      <c r="D205" s="74">
        <v>0.06</v>
      </c>
      <c r="E205" s="74">
        <v>0.04</v>
      </c>
      <c r="F205" s="74">
        <v>0.11</v>
      </c>
      <c r="G205" s="74">
        <v>-0.02</v>
      </c>
      <c r="H205" s="74">
        <v>0.17</v>
      </c>
      <c r="I205" s="74">
        <v>0.06</v>
      </c>
    </row>
    <row r="206" spans="1:9" ht="15" thickTop="1" x14ac:dyDescent="0.3"/>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topLeftCell="A77" workbookViewId="0">
      <selection activeCell="A228" sqref="A228"/>
    </sheetView>
  </sheetViews>
  <sheetFormatPr defaultColWidth="14.44140625" defaultRowHeight="15" customHeight="1" x14ac:dyDescent="0.3"/>
  <cols>
    <col min="1" max="1" width="48.6640625" customWidth="1"/>
    <col min="2" max="14" width="11.6640625" customWidth="1"/>
    <col min="15" max="17" width="24.109375" customWidth="1"/>
    <col min="18" max="27" width="8.88671875" customWidth="1"/>
  </cols>
  <sheetData>
    <row r="1" spans="1:14" ht="60" customHeight="1" x14ac:dyDescent="0.3">
      <c r="A1" s="4" t="s">
        <v>18</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row>
    <row r="2" spans="1:14" ht="14.4" x14ac:dyDescent="0.3">
      <c r="A2" s="16" t="s">
        <v>19</v>
      </c>
      <c r="B2" s="16"/>
      <c r="C2" s="16"/>
      <c r="D2" s="16"/>
      <c r="E2" s="16"/>
      <c r="F2" s="16"/>
      <c r="G2" s="16"/>
      <c r="H2" s="16"/>
      <c r="I2" s="16"/>
      <c r="J2" s="15"/>
      <c r="K2" s="15"/>
      <c r="L2" s="15"/>
      <c r="M2" s="15"/>
      <c r="N2" s="15"/>
    </row>
    <row r="3" spans="1:14" ht="14.4" x14ac:dyDescent="0.3">
      <c r="A3" s="7" t="s">
        <v>20</v>
      </c>
      <c r="B3" s="6">
        <f t="shared" ref="B3:N3" si="2">B21+B52+B83+B114+B145+B164+B199</f>
        <v>30601</v>
      </c>
      <c r="C3" s="6">
        <f t="shared" si="2"/>
        <v>32376</v>
      </c>
      <c r="D3" s="6">
        <f t="shared" si="2"/>
        <v>34350</v>
      </c>
      <c r="E3" s="6">
        <f t="shared" si="2"/>
        <v>36397</v>
      </c>
      <c r="F3" s="6">
        <f t="shared" si="2"/>
        <v>39117</v>
      </c>
      <c r="G3" s="6">
        <f t="shared" si="2"/>
        <v>37403</v>
      </c>
      <c r="H3" s="6">
        <f t="shared" si="2"/>
        <v>44538</v>
      </c>
      <c r="I3" s="6">
        <f t="shared" si="2"/>
        <v>46710</v>
      </c>
      <c r="J3" s="6">
        <f t="shared" si="2"/>
        <v>49988.319809474007</v>
      </c>
      <c r="K3" s="6">
        <f t="shared" si="2"/>
        <v>52216.214311000003</v>
      </c>
      <c r="L3" s="6">
        <f t="shared" si="2"/>
        <v>55721.778762632995</v>
      </c>
      <c r="M3" s="6">
        <f t="shared" si="2"/>
        <v>59656.692256471688</v>
      </c>
      <c r="N3" s="6">
        <f t="shared" si="2"/>
        <v>64079.816985326739</v>
      </c>
    </row>
    <row r="4" spans="1:14" ht="14.4" x14ac:dyDescent="0.3">
      <c r="A4" s="17" t="s">
        <v>21</v>
      </c>
      <c r="B4" s="18" t="str">
        <f t="shared" ref="B4:N4" si="3">+IFERROR(B3/A3-1,"nm")</f>
        <v>nm</v>
      </c>
      <c r="C4" s="18">
        <f t="shared" si="3"/>
        <v>5.8004640371229765E-2</v>
      </c>
      <c r="D4" s="18">
        <f t="shared" si="3"/>
        <v>6.0971089696071123E-2</v>
      </c>
      <c r="E4" s="18">
        <f t="shared" si="3"/>
        <v>5.95924308588065E-2</v>
      </c>
      <c r="F4" s="18">
        <f t="shared" si="3"/>
        <v>7.4731433909388079E-2</v>
      </c>
      <c r="G4" s="18">
        <f t="shared" si="3"/>
        <v>-4.3817266150267153E-2</v>
      </c>
      <c r="H4" s="18">
        <f t="shared" si="3"/>
        <v>0.19076009945726269</v>
      </c>
      <c r="I4" s="18">
        <f t="shared" si="3"/>
        <v>4.8767344739323759E-2</v>
      </c>
      <c r="J4" s="18">
        <f t="shared" si="3"/>
        <v>7.0184538845515121E-2</v>
      </c>
      <c r="K4" s="18">
        <f t="shared" si="3"/>
        <v>4.4568301355544904E-2</v>
      </c>
      <c r="L4" s="18">
        <f t="shared" si="3"/>
        <v>6.7135553541929127E-2</v>
      </c>
      <c r="M4" s="18">
        <f t="shared" si="3"/>
        <v>7.0617155109151675E-2</v>
      </c>
      <c r="N4" s="18">
        <f t="shared" si="3"/>
        <v>7.4142976446623488E-2</v>
      </c>
    </row>
    <row r="5" spans="1:14" ht="14.4" x14ac:dyDescent="0.3">
      <c r="A5" s="7" t="s">
        <v>22</v>
      </c>
      <c r="B5" s="6">
        <f t="shared" ref="B5:N5" si="4">B35+B66+B97+B128+B147+B182+B201</f>
        <v>4839</v>
      </c>
      <c r="C5" s="6">
        <f t="shared" si="4"/>
        <v>5291</v>
      </c>
      <c r="D5" s="6">
        <f t="shared" si="4"/>
        <v>5651</v>
      </c>
      <c r="E5" s="6">
        <f t="shared" si="4"/>
        <v>5126</v>
      </c>
      <c r="F5" s="6">
        <f t="shared" si="4"/>
        <v>5555</v>
      </c>
      <c r="G5" s="6">
        <f t="shared" si="4"/>
        <v>3697</v>
      </c>
      <c r="H5" s="6">
        <f t="shared" si="4"/>
        <v>7667</v>
      </c>
      <c r="I5" s="6">
        <f t="shared" si="4"/>
        <v>7573</v>
      </c>
      <c r="J5" s="6">
        <f t="shared" si="4"/>
        <v>7835.4637790525148</v>
      </c>
      <c r="K5" s="6">
        <f t="shared" si="4"/>
        <v>8156.1460429719991</v>
      </c>
      <c r="L5" s="6">
        <f t="shared" si="4"/>
        <v>9950.0624791792743</v>
      </c>
      <c r="M5" s="6">
        <f t="shared" si="4"/>
        <v>11205.67963039481</v>
      </c>
      <c r="N5" s="6">
        <f t="shared" si="4"/>
        <v>11358.765785575451</v>
      </c>
    </row>
    <row r="6" spans="1:14" ht="14.4" x14ac:dyDescent="0.3">
      <c r="A6" s="17" t="s">
        <v>21</v>
      </c>
      <c r="B6" s="18" t="str">
        <f t="shared" ref="B6:N6" si="5">+IFERROR(B5/A5-1,"nm")</f>
        <v>nm</v>
      </c>
      <c r="C6" s="18">
        <f t="shared" si="5"/>
        <v>9.3407728869601137E-2</v>
      </c>
      <c r="D6" s="18">
        <f t="shared" si="5"/>
        <v>6.8040068040068125E-2</v>
      </c>
      <c r="E6" s="18">
        <f t="shared" si="5"/>
        <v>-9.2903910812245583E-2</v>
      </c>
      <c r="F6" s="18">
        <f t="shared" si="5"/>
        <v>8.3690987124463545E-2</v>
      </c>
      <c r="G6" s="18">
        <f t="shared" si="5"/>
        <v>-0.3344734473447345</v>
      </c>
      <c r="H6" s="18">
        <f t="shared" si="5"/>
        <v>1.0738436570192049</v>
      </c>
      <c r="I6" s="18">
        <f t="shared" si="5"/>
        <v>-1.2260336507108338E-2</v>
      </c>
      <c r="J6" s="18">
        <f t="shared" si="5"/>
        <v>3.4657834286612177E-2</v>
      </c>
      <c r="K6" s="18">
        <f t="shared" si="5"/>
        <v>4.0927030353557603E-2</v>
      </c>
      <c r="L6" s="18">
        <f t="shared" si="5"/>
        <v>0.21994658099005715</v>
      </c>
      <c r="M6" s="18">
        <f t="shared" si="5"/>
        <v>0.12619188611558396</v>
      </c>
      <c r="N6" s="18">
        <f t="shared" si="5"/>
        <v>1.3661478841979546E-2</v>
      </c>
    </row>
    <row r="7" spans="1:14" ht="14.4" x14ac:dyDescent="0.3">
      <c r="A7" s="17" t="s">
        <v>23</v>
      </c>
      <c r="B7" s="18">
        <f t="shared" ref="B7:I7" si="6">+IFERROR(B5/B$3,"nm")</f>
        <v>0.15813208718669325</v>
      </c>
      <c r="C7" s="18">
        <f t="shared" si="6"/>
        <v>0.16342352359772672</v>
      </c>
      <c r="D7" s="18">
        <f t="shared" si="6"/>
        <v>0.16451237263464338</v>
      </c>
      <c r="E7" s="18">
        <f t="shared" si="6"/>
        <v>0.14083578316894249</v>
      </c>
      <c r="F7" s="18">
        <f t="shared" si="6"/>
        <v>0.14200986783240024</v>
      </c>
      <c r="G7" s="18">
        <f t="shared" si="6"/>
        <v>9.8842338849824879E-2</v>
      </c>
      <c r="H7" s="18">
        <f t="shared" si="6"/>
        <v>0.17214513449189456</v>
      </c>
      <c r="I7" s="18">
        <f t="shared" si="6"/>
        <v>0.16212802397773496</v>
      </c>
      <c r="J7" s="18">
        <f>J5/J3</f>
        <v>0.1567458920187092</v>
      </c>
      <c r="K7" s="18">
        <f t="shared" ref="K7:N7" si="7">+IFERROR(K5/K$3,"nm")</f>
        <v>0.15619948995907587</v>
      </c>
      <c r="L7" s="18">
        <f t="shared" si="7"/>
        <v>0.17856684944615914</v>
      </c>
      <c r="M7" s="18">
        <f t="shared" si="7"/>
        <v>0.18783608689231665</v>
      </c>
      <c r="N7" s="18">
        <f t="shared" si="7"/>
        <v>0.17725964773239644</v>
      </c>
    </row>
    <row r="8" spans="1:14" ht="14.4" x14ac:dyDescent="0.3">
      <c r="A8" s="7" t="s">
        <v>24</v>
      </c>
      <c r="B8" s="6">
        <f t="shared" ref="B8:N8" si="8">B38+B69+B100+B131+B150+B185+B204</f>
        <v>606</v>
      </c>
      <c r="C8" s="6">
        <f t="shared" si="8"/>
        <v>649</v>
      </c>
      <c r="D8" s="6">
        <f t="shared" si="8"/>
        <v>706</v>
      </c>
      <c r="E8" s="6">
        <f t="shared" si="8"/>
        <v>747</v>
      </c>
      <c r="F8" s="6">
        <f t="shared" si="8"/>
        <v>705</v>
      </c>
      <c r="G8" s="6">
        <f t="shared" si="8"/>
        <v>721</v>
      </c>
      <c r="H8" s="6">
        <f t="shared" si="8"/>
        <v>744</v>
      </c>
      <c r="I8" s="6">
        <f t="shared" si="8"/>
        <v>717</v>
      </c>
      <c r="J8" s="6">
        <f t="shared" si="8"/>
        <v>728.26305281179623</v>
      </c>
      <c r="K8" s="6">
        <f t="shared" si="8"/>
        <v>745.91784856494326</v>
      </c>
      <c r="L8" s="6">
        <f t="shared" si="8"/>
        <v>748.9891952587069</v>
      </c>
      <c r="M8" s="6">
        <f t="shared" si="8"/>
        <v>776.65492546116491</v>
      </c>
      <c r="N8" s="6">
        <f t="shared" si="8"/>
        <v>820.91300185183536</v>
      </c>
    </row>
    <row r="9" spans="1:14" ht="14.4" x14ac:dyDescent="0.3">
      <c r="A9" s="17" t="s">
        <v>21</v>
      </c>
      <c r="B9" s="18" t="str">
        <f t="shared" ref="B9:N9" si="9">+IFERROR(B8/A8-1,"nm")</f>
        <v>nm</v>
      </c>
      <c r="C9" s="18">
        <f t="shared" si="9"/>
        <v>7.0957095709570872E-2</v>
      </c>
      <c r="D9" s="18">
        <f t="shared" si="9"/>
        <v>8.7827426810477727E-2</v>
      </c>
      <c r="E9" s="18">
        <f t="shared" si="9"/>
        <v>5.8073654390934815E-2</v>
      </c>
      <c r="F9" s="18">
        <f t="shared" si="9"/>
        <v>-5.6224899598393607E-2</v>
      </c>
      <c r="G9" s="18">
        <f t="shared" si="9"/>
        <v>2.2695035460992941E-2</v>
      </c>
      <c r="H9" s="18">
        <f t="shared" si="9"/>
        <v>3.1900138696255187E-2</v>
      </c>
      <c r="I9" s="18">
        <f t="shared" si="9"/>
        <v>-3.6290322580645129E-2</v>
      </c>
      <c r="J9" s="18">
        <f t="shared" si="9"/>
        <v>1.5708581327470439E-2</v>
      </c>
      <c r="K9" s="18">
        <f t="shared" si="9"/>
        <v>2.424233343293003E-2</v>
      </c>
      <c r="L9" s="18">
        <f t="shared" si="9"/>
        <v>4.1175401549546908E-3</v>
      </c>
      <c r="M9" s="18">
        <f t="shared" si="9"/>
        <v>3.6937422298731537E-2</v>
      </c>
      <c r="N9" s="18">
        <f t="shared" si="9"/>
        <v>5.6985509187868377E-2</v>
      </c>
    </row>
    <row r="10" spans="1:14" ht="14.4" x14ac:dyDescent="0.3">
      <c r="A10" s="17" t="s">
        <v>25</v>
      </c>
      <c r="B10" s="18">
        <f t="shared" ref="B10:N10" si="10">+IFERROR(B8/B$3,"nm")</f>
        <v>1.9803274402797295E-2</v>
      </c>
      <c r="C10" s="18">
        <f t="shared" si="10"/>
        <v>2.0045712873733631E-2</v>
      </c>
      <c r="D10" s="18">
        <f t="shared" si="10"/>
        <v>2.0553129548762736E-2</v>
      </c>
      <c r="E10" s="18">
        <f t="shared" si="10"/>
        <v>2.0523669533203285E-2</v>
      </c>
      <c r="F10" s="18">
        <f t="shared" si="10"/>
        <v>1.8022854513382928E-2</v>
      </c>
      <c r="G10" s="18">
        <f t="shared" si="10"/>
        <v>1.9276528620698875E-2</v>
      </c>
      <c r="H10" s="18">
        <f t="shared" si="10"/>
        <v>1.6704836319547355E-2</v>
      </c>
      <c r="I10" s="18">
        <f t="shared" si="10"/>
        <v>1.5350032113037893E-2</v>
      </c>
      <c r="J10" s="18">
        <f t="shared" si="10"/>
        <v>1.4568664351742677E-2</v>
      </c>
      <c r="K10" s="18">
        <f t="shared" si="10"/>
        <v>1.4285176710097236E-2</v>
      </c>
      <c r="L10" s="18">
        <f t="shared" si="10"/>
        <v>1.3441588044941931E-2</v>
      </c>
      <c r="M10" s="18">
        <f t="shared" si="10"/>
        <v>1.3018739324705212E-2</v>
      </c>
      <c r="N10" s="18">
        <f t="shared" si="10"/>
        <v>1.2810788801719134E-2</v>
      </c>
    </row>
    <row r="11" spans="1:14" ht="14.4" x14ac:dyDescent="0.3">
      <c r="A11" s="7" t="s">
        <v>26</v>
      </c>
      <c r="B11" s="6">
        <f t="shared" ref="B11:J11" si="11">B42+B73+B104+B135+B154+B189+B208</f>
        <v>4233</v>
      </c>
      <c r="C11" s="6">
        <f t="shared" si="11"/>
        <v>4642</v>
      </c>
      <c r="D11" s="6">
        <f t="shared" si="11"/>
        <v>4945</v>
      </c>
      <c r="E11" s="6">
        <f t="shared" si="11"/>
        <v>4379</v>
      </c>
      <c r="F11" s="6">
        <f t="shared" si="11"/>
        <v>4850</v>
      </c>
      <c r="G11" s="6">
        <f t="shared" si="11"/>
        <v>2976</v>
      </c>
      <c r="H11" s="6">
        <f t="shared" si="11"/>
        <v>6923</v>
      </c>
      <c r="I11" s="6">
        <f t="shared" si="11"/>
        <v>6856</v>
      </c>
      <c r="J11" s="6">
        <f t="shared" si="11"/>
        <v>7107.2007262407169</v>
      </c>
      <c r="K11" s="6">
        <f t="shared" ref="K11:N11" si="12">K5-K8</f>
        <v>7410.2281944070555</v>
      </c>
      <c r="L11" s="6">
        <f t="shared" si="12"/>
        <v>9201.0732839205666</v>
      </c>
      <c r="M11" s="6">
        <f t="shared" si="12"/>
        <v>10429.024704933645</v>
      </c>
      <c r="N11" s="6">
        <f t="shared" si="12"/>
        <v>10537.852783723616</v>
      </c>
    </row>
    <row r="12" spans="1:14" ht="14.4" x14ac:dyDescent="0.3">
      <c r="A12" s="17" t="s">
        <v>21</v>
      </c>
      <c r="B12" s="18" t="str">
        <f t="shared" ref="B12:N12" si="13">+IFERROR(B11/A11-1,"nm")</f>
        <v>nm</v>
      </c>
      <c r="C12" s="18">
        <f t="shared" si="13"/>
        <v>9.6621781242617555E-2</v>
      </c>
      <c r="D12" s="18">
        <f t="shared" si="13"/>
        <v>6.5273588970271357E-2</v>
      </c>
      <c r="E12" s="18">
        <f t="shared" si="13"/>
        <v>-0.11445904954499497</v>
      </c>
      <c r="F12" s="18">
        <f t="shared" si="13"/>
        <v>0.10755880337976698</v>
      </c>
      <c r="G12" s="18">
        <f t="shared" si="13"/>
        <v>-0.38639175257731961</v>
      </c>
      <c r="H12" s="18">
        <f t="shared" si="13"/>
        <v>1.32627688172043</v>
      </c>
      <c r="I12" s="18">
        <f t="shared" si="13"/>
        <v>-9.67788530983682E-3</v>
      </c>
      <c r="J12" s="18">
        <f t="shared" si="13"/>
        <v>3.6639545834410203E-2</v>
      </c>
      <c r="K12" s="18">
        <f t="shared" si="13"/>
        <v>4.2636683532452091E-2</v>
      </c>
      <c r="L12" s="18">
        <f t="shared" si="13"/>
        <v>0.24167205685584281</v>
      </c>
      <c r="M12" s="18">
        <f t="shared" si="13"/>
        <v>0.13345741123038302</v>
      </c>
      <c r="N12" s="18">
        <f t="shared" si="13"/>
        <v>1.0435115638232961E-2</v>
      </c>
    </row>
    <row r="13" spans="1:14" ht="14.4" x14ac:dyDescent="0.3">
      <c r="A13" s="17" t="s">
        <v>23</v>
      </c>
      <c r="B13" s="18">
        <f t="shared" ref="B13:N13" si="14">+IFERROR(B11/B$3,"nm")</f>
        <v>0.13832881278389594</v>
      </c>
      <c r="C13" s="18">
        <f t="shared" si="14"/>
        <v>0.14337781072399308</v>
      </c>
      <c r="D13" s="18">
        <f t="shared" si="14"/>
        <v>0.14395924308588065</v>
      </c>
      <c r="E13" s="18">
        <f t="shared" si="14"/>
        <v>0.12031211363573921</v>
      </c>
      <c r="F13" s="18">
        <f t="shared" si="14"/>
        <v>0.12398701331901731</v>
      </c>
      <c r="G13" s="18">
        <f t="shared" si="14"/>
        <v>7.9565810229126011E-2</v>
      </c>
      <c r="H13" s="18">
        <f t="shared" si="14"/>
        <v>0.1554402981723472</v>
      </c>
      <c r="I13" s="18">
        <f t="shared" si="14"/>
        <v>0.14677799186469706</v>
      </c>
      <c r="J13" s="18">
        <f t="shared" si="14"/>
        <v>0.1421772276669665</v>
      </c>
      <c r="K13" s="18">
        <f t="shared" si="14"/>
        <v>0.14191431324897863</v>
      </c>
      <c r="L13" s="18">
        <f t="shared" si="14"/>
        <v>0.16512526140121719</v>
      </c>
      <c r="M13" s="18">
        <f t="shared" si="14"/>
        <v>0.17481734756761144</v>
      </c>
      <c r="N13" s="18">
        <f t="shared" si="14"/>
        <v>0.16444885893067729</v>
      </c>
    </row>
    <row r="14" spans="1:14" ht="14.4" x14ac:dyDescent="0.3">
      <c r="A14" s="7" t="s">
        <v>27</v>
      </c>
      <c r="B14" s="6">
        <f t="shared" ref="B14:N14" si="15">B45+B76+B107+B138+B157+B192+B211</f>
        <v>963</v>
      </c>
      <c r="C14" s="6">
        <f t="shared" si="15"/>
        <v>1143</v>
      </c>
      <c r="D14" s="6">
        <f t="shared" si="15"/>
        <v>1105</v>
      </c>
      <c r="E14" s="6">
        <f t="shared" si="15"/>
        <v>1028</v>
      </c>
      <c r="F14" s="6">
        <f t="shared" si="15"/>
        <v>1119</v>
      </c>
      <c r="G14" s="6">
        <f t="shared" si="15"/>
        <v>1086</v>
      </c>
      <c r="H14" s="6">
        <f t="shared" si="15"/>
        <v>695</v>
      </c>
      <c r="I14" s="6">
        <f t="shared" si="15"/>
        <v>758</v>
      </c>
      <c r="J14" s="6">
        <f t="shared" si="15"/>
        <v>886.92114347579206</v>
      </c>
      <c r="K14" s="6">
        <f t="shared" si="15"/>
        <v>935.40314277899995</v>
      </c>
      <c r="L14" s="6">
        <f t="shared" si="15"/>
        <v>819.006244450542</v>
      </c>
      <c r="M14" s="6">
        <f t="shared" si="15"/>
        <v>852.20568550943881</v>
      </c>
      <c r="N14" s="6">
        <f t="shared" si="15"/>
        <v>890.76000319542857</v>
      </c>
    </row>
    <row r="15" spans="1:14" ht="14.4" x14ac:dyDescent="0.3">
      <c r="A15" s="17" t="s">
        <v>21</v>
      </c>
      <c r="B15" s="18" t="str">
        <f t="shared" ref="B15:N15" si="16">+IFERROR(B14/A14-1,"nm")</f>
        <v>nm</v>
      </c>
      <c r="C15" s="18">
        <f t="shared" si="16"/>
        <v>0.18691588785046731</v>
      </c>
      <c r="D15" s="18">
        <f t="shared" si="16"/>
        <v>-3.3245844269466307E-2</v>
      </c>
      <c r="E15" s="18">
        <f t="shared" si="16"/>
        <v>-6.9683257918552011E-2</v>
      </c>
      <c r="F15" s="18">
        <f t="shared" si="16"/>
        <v>8.8521400778210024E-2</v>
      </c>
      <c r="G15" s="18">
        <f t="shared" si="16"/>
        <v>-2.9490616621983934E-2</v>
      </c>
      <c r="H15" s="18">
        <f t="shared" si="16"/>
        <v>-0.36003683241252304</v>
      </c>
      <c r="I15" s="18">
        <f t="shared" si="16"/>
        <v>9.0647482014388547E-2</v>
      </c>
      <c r="J15" s="18">
        <f t="shared" si="16"/>
        <v>0.17008066421608459</v>
      </c>
      <c r="K15" s="18">
        <f t="shared" si="16"/>
        <v>5.4663258013231797E-2</v>
      </c>
      <c r="L15" s="18">
        <f t="shared" si="16"/>
        <v>-0.12443500882694603</v>
      </c>
      <c r="M15" s="18">
        <f t="shared" si="16"/>
        <v>4.0536249001580815E-2</v>
      </c>
      <c r="N15" s="18">
        <f t="shared" si="16"/>
        <v>4.5240624818106534E-2</v>
      </c>
    </row>
    <row r="16" spans="1:14" ht="14.4" x14ac:dyDescent="0.3">
      <c r="A16" s="17" t="s">
        <v>25</v>
      </c>
      <c r="B16" s="18">
        <f t="shared" ref="B16:N16" si="17">+IFERROR(B14/B$3,"nm")</f>
        <v>3.146955981830659E-2</v>
      </c>
      <c r="C16" s="18">
        <f t="shared" si="17"/>
        <v>3.5303928836174947E-2</v>
      </c>
      <c r="D16" s="18">
        <f t="shared" si="17"/>
        <v>3.2168850072780204E-2</v>
      </c>
      <c r="E16" s="18">
        <f t="shared" si="17"/>
        <v>2.8244086051048164E-2</v>
      </c>
      <c r="F16" s="18">
        <f t="shared" si="17"/>
        <v>2.8606488227624818E-2</v>
      </c>
      <c r="G16" s="18">
        <f t="shared" si="17"/>
        <v>2.9035104136031869E-2</v>
      </c>
      <c r="H16" s="18">
        <f t="shared" si="17"/>
        <v>1.5604652207104046E-2</v>
      </c>
      <c r="I16" s="18">
        <f t="shared" si="17"/>
        <v>1.6227788482123744E-2</v>
      </c>
      <c r="J16" s="18">
        <f t="shared" si="17"/>
        <v>1.7742567600915821E-2</v>
      </c>
      <c r="K16" s="18">
        <f t="shared" si="17"/>
        <v>1.7914035996706591E-2</v>
      </c>
      <c r="L16" s="18">
        <f t="shared" si="17"/>
        <v>1.469813531867664E-2</v>
      </c>
      <c r="M16" s="18">
        <f t="shared" si="17"/>
        <v>1.4285164887213299E-2</v>
      </c>
      <c r="N16" s="18">
        <f t="shared" si="17"/>
        <v>1.3900788814665286E-2</v>
      </c>
    </row>
    <row r="17" spans="1:17" ht="14.4" x14ac:dyDescent="0.3">
      <c r="A17" s="7" t="s">
        <v>28</v>
      </c>
      <c r="B17" s="6">
        <f t="shared" ref="B17:N17" si="18">B48+B79+B110+B141+B160+B195+B214</f>
        <v>3011</v>
      </c>
      <c r="C17" s="6">
        <f t="shared" si="18"/>
        <v>3520</v>
      </c>
      <c r="D17" s="6">
        <f t="shared" si="18"/>
        <v>3989</v>
      </c>
      <c r="E17" s="6">
        <f t="shared" si="18"/>
        <v>4454</v>
      </c>
      <c r="F17" s="6">
        <f t="shared" si="18"/>
        <v>4744</v>
      </c>
      <c r="G17" s="6">
        <f t="shared" si="18"/>
        <v>4866</v>
      </c>
      <c r="H17" s="6">
        <f t="shared" si="18"/>
        <v>4904</v>
      </c>
      <c r="I17" s="6">
        <f t="shared" si="18"/>
        <v>4791</v>
      </c>
      <c r="J17" s="6">
        <f t="shared" si="18"/>
        <v>4960.9211434757926</v>
      </c>
      <c r="K17" s="6">
        <f t="shared" si="18"/>
        <v>5168.0612334429961</v>
      </c>
      <c r="L17" s="6">
        <f t="shared" si="18"/>
        <v>5241.1496293285936</v>
      </c>
      <c r="M17" s="6">
        <f t="shared" si="18"/>
        <v>5344.3661195793266</v>
      </c>
      <c r="N17" s="6">
        <f t="shared" si="18"/>
        <v>5458.47119731359</v>
      </c>
    </row>
    <row r="18" spans="1:17" ht="14.4" x14ac:dyDescent="0.3">
      <c r="A18" s="17" t="s">
        <v>21</v>
      </c>
      <c r="B18" s="18" t="str">
        <f t="shared" ref="B18:N18" si="19">+IFERROR(B17/A17-1,"nm")</f>
        <v>nm</v>
      </c>
      <c r="C18" s="18">
        <f t="shared" si="19"/>
        <v>0.16904682829624718</v>
      </c>
      <c r="D18" s="18">
        <f t="shared" si="19"/>
        <v>0.13323863636363642</v>
      </c>
      <c r="E18" s="18">
        <f t="shared" si="19"/>
        <v>0.11657056906492858</v>
      </c>
      <c r="F18" s="18">
        <f t="shared" si="19"/>
        <v>6.5110013471037176E-2</v>
      </c>
      <c r="G18" s="18">
        <f t="shared" si="19"/>
        <v>2.5716694772343951E-2</v>
      </c>
      <c r="H18" s="18">
        <f t="shared" si="19"/>
        <v>7.8092889436909285E-3</v>
      </c>
      <c r="I18" s="18">
        <f t="shared" si="19"/>
        <v>-2.3042414355628038E-2</v>
      </c>
      <c r="J18" s="18">
        <f t="shared" si="19"/>
        <v>3.5466738358545635E-2</v>
      </c>
      <c r="K18" s="18">
        <f t="shared" si="19"/>
        <v>4.1754360526294221E-2</v>
      </c>
      <c r="L18" s="18">
        <f t="shared" si="19"/>
        <v>1.4142323897525788E-2</v>
      </c>
      <c r="M18" s="18">
        <f t="shared" si="19"/>
        <v>1.9693482833069931E-2</v>
      </c>
      <c r="N18" s="18">
        <f t="shared" si="19"/>
        <v>2.1350535345292743E-2</v>
      </c>
    </row>
    <row r="19" spans="1:17" ht="14.4" x14ac:dyDescent="0.3">
      <c r="A19" s="17" t="s">
        <v>25</v>
      </c>
      <c r="B19" s="18">
        <f t="shared" ref="B19:N19" si="20">+IFERROR(B17/B$3,"nm")</f>
        <v>9.8395477271984569E-2</v>
      </c>
      <c r="C19" s="18">
        <f t="shared" si="20"/>
        <v>0.10872251050160613</v>
      </c>
      <c r="D19" s="18">
        <f t="shared" si="20"/>
        <v>0.11612809315866085</v>
      </c>
      <c r="E19" s="18">
        <f t="shared" si="20"/>
        <v>0.12237272302662307</v>
      </c>
      <c r="F19" s="18">
        <f t="shared" si="20"/>
        <v>0.1212771940588491</v>
      </c>
      <c r="G19" s="18">
        <f t="shared" si="20"/>
        <v>0.13009651632222013</v>
      </c>
      <c r="H19" s="18">
        <f t="shared" si="20"/>
        <v>0.11010822219228523</v>
      </c>
      <c r="I19" s="18">
        <f t="shared" si="20"/>
        <v>0.10256904303147078</v>
      </c>
      <c r="J19" s="18">
        <f t="shared" si="20"/>
        <v>9.9241606086859849E-2</v>
      </c>
      <c r="K19" s="18">
        <f t="shared" si="20"/>
        <v>9.8974261187569065E-2</v>
      </c>
      <c r="L19" s="18">
        <f t="shared" si="20"/>
        <v>9.4059266335612859E-2</v>
      </c>
      <c r="M19" s="18">
        <f t="shared" si="20"/>
        <v>8.9585357776847882E-2</v>
      </c>
      <c r="N19" s="18">
        <f t="shared" si="20"/>
        <v>8.5182378073325224E-2</v>
      </c>
    </row>
    <row r="20" spans="1:17" ht="14.4" x14ac:dyDescent="0.3">
      <c r="A20" s="19" t="str">
        <f>+Historicals!A109</f>
        <v>North America</v>
      </c>
      <c r="B20" s="19"/>
      <c r="C20" s="19"/>
      <c r="D20" s="19"/>
      <c r="E20" s="19"/>
      <c r="F20" s="19"/>
      <c r="G20" s="19"/>
      <c r="H20" s="19"/>
      <c r="I20" s="19"/>
      <c r="J20" s="15"/>
      <c r="K20" s="15"/>
      <c r="L20" s="15"/>
      <c r="M20" s="15"/>
      <c r="N20" s="15"/>
    </row>
    <row r="21" spans="1:17" ht="15.75" customHeight="1" x14ac:dyDescent="0.3">
      <c r="A21" s="7" t="s">
        <v>29</v>
      </c>
      <c r="B21" s="7">
        <f>+Historicals!B109</f>
        <v>13740</v>
      </c>
      <c r="C21" s="7">
        <f>+Historicals!C109</f>
        <v>14764</v>
      </c>
      <c r="D21" s="7">
        <f>+Historicals!D109</f>
        <v>15216</v>
      </c>
      <c r="E21" s="7">
        <f>+Historicals!E109</f>
        <v>14855</v>
      </c>
      <c r="F21" s="7">
        <f>+Historicals!F109</f>
        <v>15902</v>
      </c>
      <c r="G21" s="7">
        <f>+Historicals!G109</f>
        <v>14484</v>
      </c>
      <c r="H21" s="7">
        <f>+Historicals!H109</f>
        <v>17179</v>
      </c>
      <c r="I21" s="7">
        <f>+Historicals!I109</f>
        <v>18353</v>
      </c>
      <c r="J21" s="7">
        <f>J23+J27+J31</f>
        <v>19619.534</v>
      </c>
      <c r="K21" s="7">
        <f t="shared" ref="K21:N21" si="21">+SUM(K23+K27+K31)</f>
        <v>21062.601036</v>
      </c>
      <c r="L21" s="7">
        <f t="shared" si="21"/>
        <v>22671.247222008002</v>
      </c>
      <c r="M21" s="7">
        <f t="shared" si="21"/>
        <v>24500.08973283384</v>
      </c>
      <c r="N21" s="7">
        <f t="shared" si="21"/>
        <v>26548.82022787007</v>
      </c>
    </row>
    <row r="22" spans="1:17" ht="15.75" customHeight="1" x14ac:dyDescent="0.3">
      <c r="A22" s="17" t="s">
        <v>21</v>
      </c>
      <c r="B22" s="18" t="str">
        <f t="shared" ref="B22:I22" si="22">+IFERROR(B21/A21-1,"nm")</f>
        <v>nm</v>
      </c>
      <c r="C22" s="18">
        <f t="shared" si="22"/>
        <v>7.4526928675400228E-2</v>
      </c>
      <c r="D22" s="18">
        <f t="shared" si="22"/>
        <v>3.0615009482525046E-2</v>
      </c>
      <c r="E22" s="18">
        <f t="shared" si="22"/>
        <v>-2.372502628811779E-2</v>
      </c>
      <c r="F22" s="18">
        <f t="shared" si="22"/>
        <v>7.0481319421070276E-2</v>
      </c>
      <c r="G22" s="18">
        <f t="shared" si="22"/>
        <v>-8.9171173437303519E-2</v>
      </c>
      <c r="H22" s="18">
        <f t="shared" si="22"/>
        <v>0.18606738470035911</v>
      </c>
      <c r="I22" s="18">
        <f t="shared" si="22"/>
        <v>6.8339251411607238E-2</v>
      </c>
      <c r="J22" s="18">
        <f>(J21-I21)/(I21)</f>
        <v>6.9009644199858319E-2</v>
      </c>
      <c r="K22" s="18">
        <f t="shared" ref="K22:N22" si="23">+IFERROR(K21/J21-1,"nm")</f>
        <v>7.3552564296379241E-2</v>
      </c>
      <c r="L22" s="18">
        <f t="shared" si="23"/>
        <v>7.6374526738578918E-2</v>
      </c>
      <c r="M22" s="18">
        <f t="shared" si="23"/>
        <v>8.066792677601331E-2</v>
      </c>
      <c r="N22" s="18">
        <f t="shared" si="23"/>
        <v>8.3621346590033951E-2</v>
      </c>
      <c r="Q22" s="1" t="s">
        <v>30</v>
      </c>
    </row>
    <row r="23" spans="1:17" ht="15.75" customHeight="1" x14ac:dyDescent="0.3">
      <c r="A23" s="20" t="s">
        <v>8</v>
      </c>
      <c r="B23" s="6">
        <f>+Historicals!B110</f>
        <v>8506</v>
      </c>
      <c r="C23" s="6">
        <f>+Historicals!C110</f>
        <v>9299</v>
      </c>
      <c r="D23" s="6">
        <f>+Historicals!D110</f>
        <v>9684</v>
      </c>
      <c r="E23" s="6">
        <f>+Historicals!E110</f>
        <v>9322</v>
      </c>
      <c r="F23" s="6">
        <f>+Historicals!F110</f>
        <v>10045</v>
      </c>
      <c r="G23" s="6">
        <f>+Historicals!G110</f>
        <v>9329</v>
      </c>
      <c r="H23" s="6">
        <f>+Historicals!H110</f>
        <v>11644</v>
      </c>
      <c r="I23" s="6">
        <f>+Historicals!I110</f>
        <v>12228</v>
      </c>
      <c r="J23" s="6">
        <f t="shared" ref="J23:N23" si="24">+I23*(1+J24)</f>
        <v>12839.4</v>
      </c>
      <c r="K23" s="6">
        <f t="shared" si="24"/>
        <v>13558.4064</v>
      </c>
      <c r="L23" s="6">
        <f t="shared" si="24"/>
        <v>14371.910784</v>
      </c>
      <c r="M23" s="6">
        <f t="shared" si="24"/>
        <v>15306.084984959998</v>
      </c>
      <c r="N23" s="6">
        <f t="shared" si="24"/>
        <v>16346.898763937279</v>
      </c>
    </row>
    <row r="24" spans="1:17" ht="15.75" customHeight="1" x14ac:dyDescent="0.3">
      <c r="A24" s="17" t="s">
        <v>21</v>
      </c>
      <c r="B24" s="18" t="str">
        <f t="shared" ref="B24:I24" si="25">+IFERROR(B23/A23-1,"nm")</f>
        <v>nm</v>
      </c>
      <c r="C24" s="18">
        <f t="shared" si="25"/>
        <v>9.3228309428638578E-2</v>
      </c>
      <c r="D24" s="18">
        <f t="shared" si="25"/>
        <v>4.1402301322722934E-2</v>
      </c>
      <c r="E24" s="18">
        <f t="shared" si="25"/>
        <v>-3.7381247418422192E-2</v>
      </c>
      <c r="F24" s="18">
        <f t="shared" si="25"/>
        <v>7.755846384895948E-2</v>
      </c>
      <c r="G24" s="18">
        <f t="shared" si="25"/>
        <v>-7.1279243404678949E-2</v>
      </c>
      <c r="H24" s="18">
        <f t="shared" si="25"/>
        <v>0.24815092721620746</v>
      </c>
      <c r="I24" s="18">
        <f t="shared" si="25"/>
        <v>5.0154586052902683E-2</v>
      </c>
      <c r="J24" s="18">
        <f t="shared" ref="J24:N24" si="26">+J25+J26</f>
        <v>0.05</v>
      </c>
      <c r="K24" s="18">
        <f t="shared" si="26"/>
        <v>5.6000000000000001E-2</v>
      </c>
      <c r="L24" s="18">
        <f t="shared" si="26"/>
        <v>0.06</v>
      </c>
      <c r="M24" s="18">
        <f t="shared" si="26"/>
        <v>6.5000000000000002E-2</v>
      </c>
      <c r="N24" s="18">
        <f t="shared" si="26"/>
        <v>6.8000000000000005E-2</v>
      </c>
      <c r="O24" s="32" t="s">
        <v>122</v>
      </c>
      <c r="Q24" s="1" t="s">
        <v>31</v>
      </c>
    </row>
    <row r="25" spans="1:17" ht="15.75" customHeight="1" x14ac:dyDescent="0.3">
      <c r="A25" s="17" t="s">
        <v>32</v>
      </c>
      <c r="B25" s="18">
        <f>+Historicals!B182</f>
        <v>0.14000000000000001</v>
      </c>
      <c r="C25" s="18">
        <f>+Historicals!C182</f>
        <v>0.1</v>
      </c>
      <c r="D25" s="18">
        <f>+Historicals!D182</f>
        <v>0.04</v>
      </c>
      <c r="E25" s="18">
        <f>+Historicals!E182</f>
        <v>-0.04</v>
      </c>
      <c r="F25" s="18">
        <f>+Historicals!F182</f>
        <v>0.08</v>
      </c>
      <c r="G25" s="18">
        <f>+Historicals!G182</f>
        <v>-0.14000000000000001</v>
      </c>
      <c r="H25" s="18">
        <f>+Historicals!H182</f>
        <v>0.25</v>
      </c>
      <c r="I25" s="18">
        <f>+Historicals!I182</f>
        <v>0.05</v>
      </c>
      <c r="J25" s="21">
        <v>0.05</v>
      </c>
      <c r="K25" s="21">
        <v>5.6000000000000001E-2</v>
      </c>
      <c r="L25" s="21">
        <f>6%</f>
        <v>0.06</v>
      </c>
      <c r="M25" s="21">
        <f>6.5%</f>
        <v>6.5000000000000002E-2</v>
      </c>
      <c r="N25" s="21">
        <v>6.8000000000000005E-2</v>
      </c>
    </row>
    <row r="26" spans="1:17" ht="15.75" customHeight="1" x14ac:dyDescent="0.3">
      <c r="A26" s="17" t="s">
        <v>33</v>
      </c>
      <c r="B26" s="18" t="str">
        <f t="shared" ref="B26:I26" si="27">+IFERROR(B24-B25,"nm")</f>
        <v>nm</v>
      </c>
      <c r="C26" s="18">
        <f t="shared" si="27"/>
        <v>-6.7716905713614273E-3</v>
      </c>
      <c r="D26" s="18">
        <f t="shared" si="27"/>
        <v>1.4023013227229333E-3</v>
      </c>
      <c r="E26" s="18">
        <f t="shared" si="27"/>
        <v>2.6187525815778087E-3</v>
      </c>
      <c r="F26" s="18">
        <f t="shared" si="27"/>
        <v>-2.4415361510405215E-3</v>
      </c>
      <c r="G26" s="18">
        <f t="shared" si="27"/>
        <v>6.8720756595321064E-2</v>
      </c>
      <c r="H26" s="18">
        <f t="shared" si="27"/>
        <v>-1.849072783792538E-3</v>
      </c>
      <c r="I26" s="18">
        <f t="shared" si="27"/>
        <v>1.5458605290268046E-4</v>
      </c>
      <c r="J26" s="21">
        <v>0</v>
      </c>
      <c r="K26" s="21">
        <f t="shared" ref="K26:N26" si="28">+J26</f>
        <v>0</v>
      </c>
      <c r="L26" s="21">
        <f t="shared" si="28"/>
        <v>0</v>
      </c>
      <c r="M26" s="21">
        <f t="shared" si="28"/>
        <v>0</v>
      </c>
      <c r="N26" s="21">
        <f t="shared" si="28"/>
        <v>0</v>
      </c>
    </row>
    <row r="27" spans="1:17" ht="15.75" customHeight="1" x14ac:dyDescent="0.3">
      <c r="A27" s="20" t="s">
        <v>9</v>
      </c>
      <c r="B27" s="6">
        <f>+Historicals!B111</f>
        <v>4410</v>
      </c>
      <c r="C27" s="6">
        <f>+Historicals!C111</f>
        <v>4746</v>
      </c>
      <c r="D27" s="6">
        <f>+Historicals!D111</f>
        <v>4886</v>
      </c>
      <c r="E27" s="6">
        <f>+Historicals!E111</f>
        <v>4938</v>
      </c>
      <c r="F27" s="6">
        <f>+Historicals!F111</f>
        <v>5260</v>
      </c>
      <c r="G27" s="6">
        <f>+Historicals!G111</f>
        <v>4639</v>
      </c>
      <c r="H27" s="6">
        <f>+Historicals!H111</f>
        <v>5028</v>
      </c>
      <c r="I27" s="6">
        <f>+Historicals!I111</f>
        <v>5492</v>
      </c>
      <c r="J27" s="6">
        <f t="shared" ref="J27:N27" si="29">+I27*(1+J28)</f>
        <v>6052.1840000000002</v>
      </c>
      <c r="K27" s="6">
        <f t="shared" si="29"/>
        <v>6681.6111360000004</v>
      </c>
      <c r="L27" s="6">
        <f t="shared" si="29"/>
        <v>7369.8170830080007</v>
      </c>
      <c r="M27" s="6">
        <f t="shared" si="29"/>
        <v>8143.6478767238405</v>
      </c>
      <c r="N27" s="6">
        <f t="shared" si="29"/>
        <v>9015.0181995332914</v>
      </c>
    </row>
    <row r="28" spans="1:17" ht="15.75" customHeight="1" x14ac:dyDescent="0.3">
      <c r="A28" s="17" t="s">
        <v>21</v>
      </c>
      <c r="B28" s="18" t="str">
        <f t="shared" ref="B28:I28" si="30">+IFERROR(B27/A27-1,"nm")</f>
        <v>nm</v>
      </c>
      <c r="C28" s="18">
        <f t="shared" si="30"/>
        <v>7.6190476190476142E-2</v>
      </c>
      <c r="D28" s="18">
        <f t="shared" si="30"/>
        <v>2.9498525073746285E-2</v>
      </c>
      <c r="E28" s="18">
        <f t="shared" si="30"/>
        <v>1.0642652476463343E-2</v>
      </c>
      <c r="F28" s="18">
        <f t="shared" si="30"/>
        <v>6.5208586472256025E-2</v>
      </c>
      <c r="G28" s="18">
        <f t="shared" si="30"/>
        <v>-0.11806083650190113</v>
      </c>
      <c r="H28" s="18">
        <f t="shared" si="30"/>
        <v>8.3854278939426541E-2</v>
      </c>
      <c r="I28" s="18">
        <f t="shared" si="30"/>
        <v>9.2283214001591007E-2</v>
      </c>
      <c r="J28" s="18">
        <f>10.2%</f>
        <v>0.10199999999999999</v>
      </c>
      <c r="K28" s="18">
        <v>0.104</v>
      </c>
      <c r="L28" s="18">
        <v>0.10299999999999999</v>
      </c>
      <c r="M28" s="18">
        <v>0.105</v>
      </c>
      <c r="N28" s="18">
        <v>0.107</v>
      </c>
      <c r="O28" s="32" t="s">
        <v>122</v>
      </c>
    </row>
    <row r="29" spans="1:17" ht="15.75" customHeight="1" x14ac:dyDescent="0.3">
      <c r="A29" s="17" t="s">
        <v>32</v>
      </c>
      <c r="B29" s="18">
        <f>+Historicals!B186</f>
        <v>0.47</v>
      </c>
      <c r="C29" s="18">
        <f>+Historicals!C186</f>
        <v>0.37</v>
      </c>
      <c r="D29" s="18">
        <f>+Historicals!D186</f>
        <v>0.16</v>
      </c>
      <c r="E29" s="18">
        <f>+Historicals!E186</f>
        <v>0.06</v>
      </c>
      <c r="F29" s="18">
        <f>+Historicals!F186</f>
        <v>0.12</v>
      </c>
      <c r="G29" s="18">
        <f>+Historicals!G186</f>
        <v>-0.03</v>
      </c>
      <c r="H29" s="18">
        <f>+Historicals!H186</f>
        <v>0.13</v>
      </c>
      <c r="I29" s="18">
        <f>+Historicals!I186</f>
        <v>0.09</v>
      </c>
      <c r="J29" s="21">
        <v>0.15</v>
      </c>
      <c r="K29" s="21">
        <f>10%</f>
        <v>0.1</v>
      </c>
      <c r="L29" s="21">
        <f>13.2%</f>
        <v>0.13200000000000001</v>
      </c>
      <c r="M29" s="21">
        <f>8%</f>
        <v>0.08</v>
      </c>
      <c r="N29" s="21">
        <f>9%</f>
        <v>0.09</v>
      </c>
      <c r="Q29" s="1" t="s">
        <v>34</v>
      </c>
    </row>
    <row r="30" spans="1:17" ht="15.75" customHeight="1" x14ac:dyDescent="0.3">
      <c r="A30" s="17" t="s">
        <v>33</v>
      </c>
      <c r="B30" s="18" t="str">
        <f t="shared" ref="B30:I30" si="31">+IFERROR(B28-B29,"nm")</f>
        <v>nm</v>
      </c>
      <c r="C30" s="18">
        <f t="shared" si="31"/>
        <v>-0.29380952380952385</v>
      </c>
      <c r="D30" s="18">
        <f t="shared" si="31"/>
        <v>-0.13050147492625372</v>
      </c>
      <c r="E30" s="18">
        <f t="shared" si="31"/>
        <v>-4.9357347523536654E-2</v>
      </c>
      <c r="F30" s="18">
        <f t="shared" si="31"/>
        <v>-5.4791413527743971E-2</v>
      </c>
      <c r="G30" s="18">
        <f t="shared" si="31"/>
        <v>-8.8060836501901135E-2</v>
      </c>
      <c r="H30" s="18">
        <f t="shared" si="31"/>
        <v>-4.6145721060573464E-2</v>
      </c>
      <c r="I30" s="18">
        <f t="shared" si="31"/>
        <v>2.2832140015910107E-3</v>
      </c>
      <c r="J30" s="21">
        <v>0</v>
      </c>
      <c r="K30" s="21">
        <f t="shared" ref="K30:N30" si="32">+J30</f>
        <v>0</v>
      </c>
      <c r="L30" s="21">
        <f t="shared" si="32"/>
        <v>0</v>
      </c>
      <c r="M30" s="21">
        <f t="shared" si="32"/>
        <v>0</v>
      </c>
      <c r="N30" s="21">
        <f t="shared" si="32"/>
        <v>0</v>
      </c>
    </row>
    <row r="31" spans="1:17" ht="15.75" customHeight="1" x14ac:dyDescent="0.3">
      <c r="A31" s="20" t="s">
        <v>10</v>
      </c>
      <c r="B31" s="6">
        <f>+Historicals!B112</f>
        <v>824</v>
      </c>
      <c r="C31" s="6">
        <f>+Historicals!C112</f>
        <v>719</v>
      </c>
      <c r="D31" s="6">
        <f>+Historicals!D112</f>
        <v>646</v>
      </c>
      <c r="E31" s="6">
        <f>+Historicals!E112</f>
        <v>595</v>
      </c>
      <c r="F31" s="6">
        <f>+Historicals!F112</f>
        <v>597</v>
      </c>
      <c r="G31" s="6">
        <f>+Historicals!G112</f>
        <v>516</v>
      </c>
      <c r="H31" s="6">
        <f>+Historicals!H112</f>
        <v>507</v>
      </c>
      <c r="I31" s="6">
        <f>+Historicals!I112</f>
        <v>633</v>
      </c>
      <c r="J31" s="6">
        <f t="shared" ref="J31:N31" si="33">+I31*(1+J32)</f>
        <v>727.94999999999993</v>
      </c>
      <c r="K31" s="6">
        <f t="shared" si="33"/>
        <v>822.58349999999984</v>
      </c>
      <c r="L31" s="6">
        <f t="shared" si="33"/>
        <v>929.51935499999979</v>
      </c>
      <c r="M31" s="6">
        <f t="shared" si="33"/>
        <v>1050.3568711499997</v>
      </c>
      <c r="N31" s="6">
        <f t="shared" si="33"/>
        <v>1186.9032643994997</v>
      </c>
    </row>
    <row r="32" spans="1:17" ht="15.75" customHeight="1" x14ac:dyDescent="0.3">
      <c r="A32" s="17" t="s">
        <v>21</v>
      </c>
      <c r="B32" s="18" t="str">
        <f t="shared" ref="B32:I32" si="34">+IFERROR(B31/A31-1,"nm")</f>
        <v>nm</v>
      </c>
      <c r="C32" s="18">
        <f t="shared" si="34"/>
        <v>-0.12742718446601942</v>
      </c>
      <c r="D32" s="18">
        <f t="shared" si="34"/>
        <v>-0.10152990264255912</v>
      </c>
      <c r="E32" s="18">
        <f t="shared" si="34"/>
        <v>-7.8947368421052655E-2</v>
      </c>
      <c r="F32" s="18">
        <f t="shared" si="34"/>
        <v>3.3613445378151141E-3</v>
      </c>
      <c r="G32" s="18">
        <f t="shared" si="34"/>
        <v>-0.13567839195979903</v>
      </c>
      <c r="H32" s="18">
        <f t="shared" si="34"/>
        <v>-1.744186046511631E-2</v>
      </c>
      <c r="I32" s="18">
        <f t="shared" si="34"/>
        <v>0.24852071005917153</v>
      </c>
      <c r="J32" s="18">
        <f t="shared" ref="J32:N32" si="35">+J33+J34</f>
        <v>0.15</v>
      </c>
      <c r="K32" s="18">
        <f t="shared" si="35"/>
        <v>0.13</v>
      </c>
      <c r="L32" s="18">
        <f t="shared" si="35"/>
        <v>0.13</v>
      </c>
      <c r="M32" s="18">
        <f t="shared" si="35"/>
        <v>0.13</v>
      </c>
      <c r="N32" s="18">
        <f t="shared" si="35"/>
        <v>0.13</v>
      </c>
      <c r="Q32" s="1" t="s">
        <v>35</v>
      </c>
    </row>
    <row r="33" spans="1:23" ht="15.75" customHeight="1" x14ac:dyDescent="0.3">
      <c r="A33" s="17" t="s">
        <v>32</v>
      </c>
      <c r="B33" s="18">
        <f>+Historicals!B184</f>
        <v>-0.05</v>
      </c>
      <c r="C33" s="18">
        <f>+Historicals!C184</f>
        <v>-0.13</v>
      </c>
      <c r="D33" s="18">
        <f>+Historicals!D184</f>
        <v>-0.1</v>
      </c>
      <c r="E33" s="18">
        <f>+Historicals!E184</f>
        <v>-0.08</v>
      </c>
      <c r="F33" s="18">
        <f>+Historicals!F184</f>
        <v>0</v>
      </c>
      <c r="G33" s="18">
        <f>+Historicals!G184</f>
        <v>-7.0000000000000007E-2</v>
      </c>
      <c r="H33" s="18">
        <f>+Historicals!H184</f>
        <v>-0.02</v>
      </c>
      <c r="I33" s="18">
        <f>+Historicals!I184</f>
        <v>0.25</v>
      </c>
      <c r="J33" s="21">
        <v>0.15</v>
      </c>
      <c r="K33" s="21">
        <f>13%</f>
        <v>0.13</v>
      </c>
      <c r="L33" s="21">
        <f t="shared" ref="L33:N33" si="36">+K33</f>
        <v>0.13</v>
      </c>
      <c r="M33" s="21">
        <f t="shared" si="36"/>
        <v>0.13</v>
      </c>
      <c r="N33" s="21">
        <f t="shared" si="36"/>
        <v>0.13</v>
      </c>
    </row>
    <row r="34" spans="1:23" ht="15.75" customHeight="1" x14ac:dyDescent="0.3">
      <c r="A34" s="17" t="s">
        <v>33</v>
      </c>
      <c r="B34" s="18" t="str">
        <f t="shared" ref="B34:I34" si="37">+IFERROR(B32-B33,"nm")</f>
        <v>nm</v>
      </c>
      <c r="C34" s="18">
        <f t="shared" si="37"/>
        <v>2.572815533980588E-3</v>
      </c>
      <c r="D34" s="18">
        <f t="shared" si="37"/>
        <v>-1.5299026425591167E-3</v>
      </c>
      <c r="E34" s="18">
        <f t="shared" si="37"/>
        <v>1.0526315789473467E-3</v>
      </c>
      <c r="F34" s="18">
        <f t="shared" si="37"/>
        <v>3.3613445378151141E-3</v>
      </c>
      <c r="G34" s="18">
        <f t="shared" si="37"/>
        <v>-6.5678391959799021E-2</v>
      </c>
      <c r="H34" s="18">
        <f t="shared" si="37"/>
        <v>2.5581395348836904E-3</v>
      </c>
      <c r="I34" s="18">
        <f t="shared" si="37"/>
        <v>-1.4792899408284654E-3</v>
      </c>
      <c r="J34" s="21">
        <v>0</v>
      </c>
      <c r="K34" s="21">
        <f t="shared" ref="K34:N34" si="38">+J34</f>
        <v>0</v>
      </c>
      <c r="L34" s="21">
        <f t="shared" si="38"/>
        <v>0</v>
      </c>
      <c r="M34" s="21">
        <f t="shared" si="38"/>
        <v>0</v>
      </c>
      <c r="N34" s="21">
        <f t="shared" si="38"/>
        <v>0</v>
      </c>
    </row>
    <row r="35" spans="1:23" ht="15.75" customHeight="1" x14ac:dyDescent="0.3">
      <c r="A35" s="7" t="s">
        <v>22</v>
      </c>
      <c r="B35" s="7">
        <f t="shared" ref="B35:I35" si="39">+B42+B38</f>
        <v>3766</v>
      </c>
      <c r="C35" s="7">
        <f t="shared" si="39"/>
        <v>3896</v>
      </c>
      <c r="D35" s="7">
        <f t="shared" si="39"/>
        <v>4015</v>
      </c>
      <c r="E35" s="7">
        <f t="shared" si="39"/>
        <v>3760</v>
      </c>
      <c r="F35" s="7">
        <f t="shared" si="39"/>
        <v>4074</v>
      </c>
      <c r="G35" s="7">
        <f t="shared" si="39"/>
        <v>3047</v>
      </c>
      <c r="H35" s="7">
        <f t="shared" si="39"/>
        <v>5219</v>
      </c>
      <c r="I35" s="7">
        <f t="shared" si="39"/>
        <v>5238</v>
      </c>
      <c r="J35" s="7">
        <f t="shared" ref="J35:N35" si="40">J37*J21</f>
        <v>5395.3718500000004</v>
      </c>
      <c r="K35" s="7">
        <f t="shared" si="40"/>
        <v>5939.6534921519997</v>
      </c>
      <c r="L35" s="7">
        <f t="shared" si="40"/>
        <v>6302.6067277182246</v>
      </c>
      <c r="M35" s="7">
        <f t="shared" si="40"/>
        <v>6982.5255738576434</v>
      </c>
      <c r="N35" s="7">
        <f t="shared" si="40"/>
        <v>7247.8279222085293</v>
      </c>
      <c r="Q35" s="22" t="s">
        <v>36</v>
      </c>
      <c r="R35" s="22"/>
      <c r="S35" s="22"/>
      <c r="T35" s="22"/>
      <c r="U35" s="22"/>
      <c r="V35" s="22"/>
      <c r="W35" s="22"/>
    </row>
    <row r="36" spans="1:23" ht="15.75" customHeight="1" x14ac:dyDescent="0.3">
      <c r="A36" s="17" t="s">
        <v>21</v>
      </c>
      <c r="B36" s="18" t="str">
        <f t="shared" ref="B36:N36" si="41">+IFERROR(B35/A35-1,"nm")</f>
        <v>nm</v>
      </c>
      <c r="C36" s="18">
        <f t="shared" si="41"/>
        <v>3.4519383961763239E-2</v>
      </c>
      <c r="D36" s="18">
        <f t="shared" si="41"/>
        <v>3.0544147843942548E-2</v>
      </c>
      <c r="E36" s="18">
        <f t="shared" si="41"/>
        <v>-6.3511830635118338E-2</v>
      </c>
      <c r="F36" s="18">
        <f t="shared" si="41"/>
        <v>8.3510638297872308E-2</v>
      </c>
      <c r="G36" s="18">
        <f t="shared" si="41"/>
        <v>-0.25208640157093765</v>
      </c>
      <c r="H36" s="18">
        <f t="shared" si="41"/>
        <v>0.71283229405973092</v>
      </c>
      <c r="I36" s="18">
        <f t="shared" si="41"/>
        <v>3.6405441655489312E-3</v>
      </c>
      <c r="J36" s="18">
        <f t="shared" si="41"/>
        <v>3.0044263077510625E-2</v>
      </c>
      <c r="K36" s="18">
        <f t="shared" si="41"/>
        <v>0.10087935684210514</v>
      </c>
      <c r="L36" s="18">
        <f t="shared" si="41"/>
        <v>6.1106802955052997E-2</v>
      </c>
      <c r="M36" s="18">
        <f t="shared" si="41"/>
        <v>0.10787898968044529</v>
      </c>
      <c r="N36" s="18">
        <f t="shared" si="41"/>
        <v>3.7995184628348389E-2</v>
      </c>
    </row>
    <row r="37" spans="1:23" ht="15.75" customHeight="1" x14ac:dyDescent="0.3">
      <c r="A37" s="17" t="s">
        <v>23</v>
      </c>
      <c r="B37" s="18">
        <f t="shared" ref="B37:I37" si="42">+IFERROR(B35/B$21,"nm")</f>
        <v>0.27409024745269289</v>
      </c>
      <c r="C37" s="18">
        <f t="shared" si="42"/>
        <v>0.26388512598211866</v>
      </c>
      <c r="D37" s="18">
        <f t="shared" si="42"/>
        <v>0.26386698212407994</v>
      </c>
      <c r="E37" s="18">
        <f t="shared" si="42"/>
        <v>0.25311342982160889</v>
      </c>
      <c r="F37" s="18">
        <f t="shared" si="42"/>
        <v>0.25619418941013711</v>
      </c>
      <c r="G37" s="18">
        <f t="shared" si="42"/>
        <v>0.2103700635183651</v>
      </c>
      <c r="H37" s="18">
        <f t="shared" si="42"/>
        <v>0.30380115256999823</v>
      </c>
      <c r="I37" s="18">
        <f t="shared" si="42"/>
        <v>0.28540293140086087</v>
      </c>
      <c r="J37" s="21">
        <v>0.27500000000000002</v>
      </c>
      <c r="K37" s="21">
        <v>0.28199999999999997</v>
      </c>
      <c r="L37" s="21">
        <v>0.27800000000000002</v>
      </c>
      <c r="M37" s="21">
        <v>0.28499999999999998</v>
      </c>
      <c r="N37" s="21">
        <v>0.27300000000000002</v>
      </c>
    </row>
    <row r="38" spans="1:23" ht="15.75" customHeight="1" x14ac:dyDescent="0.3">
      <c r="A38" s="7" t="s">
        <v>24</v>
      </c>
      <c r="B38" s="7">
        <f>+Historicals!B169</f>
        <v>121</v>
      </c>
      <c r="C38" s="7">
        <f>+Historicals!C169</f>
        <v>133</v>
      </c>
      <c r="D38" s="7">
        <f>+Historicals!D169</f>
        <v>140</v>
      </c>
      <c r="E38" s="7">
        <f>+Historicals!E169</f>
        <v>160</v>
      </c>
      <c r="F38" s="7">
        <f>+Historicals!F169</f>
        <v>149</v>
      </c>
      <c r="G38" s="7">
        <f>+Historicals!G169</f>
        <v>148</v>
      </c>
      <c r="H38" s="7">
        <f>+Historicals!H169</f>
        <v>130</v>
      </c>
      <c r="I38" s="7">
        <f>+Historicals!I169</f>
        <v>124</v>
      </c>
      <c r="J38" s="7">
        <f>J41*J48</f>
        <v>109.52887233600001</v>
      </c>
      <c r="K38" s="7">
        <f t="shared" ref="K38:N38" si="43">K41*K48</f>
        <v>107.53468568528397</v>
      </c>
      <c r="L38" s="7">
        <f t="shared" si="43"/>
        <v>104.36517384099692</v>
      </c>
      <c r="M38" s="7">
        <f t="shared" si="43"/>
        <v>109.79377096848236</v>
      </c>
      <c r="N38" s="7">
        <f t="shared" si="43"/>
        <v>119.06206032222816</v>
      </c>
      <c r="O38" s="32" t="s">
        <v>125</v>
      </c>
    </row>
    <row r="39" spans="1:23" ht="15.75" customHeight="1" x14ac:dyDescent="0.3">
      <c r="A39" s="17" t="s">
        <v>21</v>
      </c>
      <c r="B39" s="18" t="str">
        <f t="shared" ref="B39:I39" si="44">+IFERROR(B38/A38-1,"nm")</f>
        <v>nm</v>
      </c>
      <c r="C39" s="18">
        <f t="shared" si="44"/>
        <v>9.9173553719008156E-2</v>
      </c>
      <c r="D39" s="18">
        <f t="shared" si="44"/>
        <v>5.2631578947368363E-2</v>
      </c>
      <c r="E39" s="18">
        <f t="shared" si="44"/>
        <v>0.14285714285714279</v>
      </c>
      <c r="F39" s="18">
        <f t="shared" si="44"/>
        <v>-6.8749999999999978E-2</v>
      </c>
      <c r="G39" s="18">
        <f t="shared" si="44"/>
        <v>-6.7114093959731447E-3</v>
      </c>
      <c r="H39" s="18">
        <f t="shared" si="44"/>
        <v>-0.1216216216216216</v>
      </c>
      <c r="I39" s="18">
        <f t="shared" si="44"/>
        <v>-4.6153846153846101E-2</v>
      </c>
      <c r="J39" s="18">
        <f t="shared" ref="J39" si="45">+IFERROR(J38/I38-1,"nm")</f>
        <v>-0.11670264245161288</v>
      </c>
      <c r="K39" s="18">
        <f t="shared" ref="K39" si="46">+IFERROR(K38/J38-1,"nm")</f>
        <v>-1.8206949530152117E-2</v>
      </c>
      <c r="L39" s="18">
        <f t="shared" ref="L39" si="47">+IFERROR(L38/K38-1,"nm")</f>
        <v>-2.9474320997813663E-2</v>
      </c>
      <c r="M39" s="18">
        <f t="shared" ref="M39" si="48">+IFERROR(M38/L38-1,"nm")</f>
        <v>5.2015408279356246E-2</v>
      </c>
      <c r="N39" s="18">
        <f t="shared" ref="N39" si="49">+IFERROR(N38/M38-1,"nm")</f>
        <v>8.441543879940494E-2</v>
      </c>
      <c r="Q39" s="1" t="s">
        <v>37</v>
      </c>
    </row>
    <row r="40" spans="1:23" ht="15.75" customHeight="1" x14ac:dyDescent="0.3">
      <c r="A40" s="17" t="s">
        <v>25</v>
      </c>
      <c r="B40" s="18">
        <f t="shared" ref="B40:N40" si="50">+IFERROR(B38/B$21,"nm")</f>
        <v>8.8064046579330417E-3</v>
      </c>
      <c r="C40" s="18">
        <f t="shared" si="50"/>
        <v>9.0083988079111346E-3</v>
      </c>
      <c r="D40" s="18">
        <f t="shared" si="50"/>
        <v>9.2008412197686646E-3</v>
      </c>
      <c r="E40" s="18">
        <f t="shared" si="50"/>
        <v>1.0770784247728038E-2</v>
      </c>
      <c r="F40" s="18">
        <f t="shared" si="50"/>
        <v>9.3698905798012821E-3</v>
      </c>
      <c r="G40" s="18">
        <f t="shared" si="50"/>
        <v>1.0218171775752554E-2</v>
      </c>
      <c r="H40" s="18">
        <f t="shared" si="50"/>
        <v>7.5673787764130628E-3</v>
      </c>
      <c r="I40" s="18">
        <f t="shared" si="50"/>
        <v>6.7563886013185855E-3</v>
      </c>
      <c r="J40" s="18">
        <f t="shared" si="50"/>
        <v>5.5826439270168192E-3</v>
      </c>
      <c r="K40" s="18">
        <f t="shared" si="50"/>
        <v>5.1054798740899424E-3</v>
      </c>
      <c r="L40" s="18">
        <f t="shared" si="50"/>
        <v>4.6034156312178953E-3</v>
      </c>
      <c r="M40" s="18">
        <f t="shared" si="50"/>
        <v>4.4813619935988253E-3</v>
      </c>
      <c r="N40" s="18">
        <f t="shared" si="50"/>
        <v>4.4846459955776401E-3</v>
      </c>
    </row>
    <row r="41" spans="1:23" ht="15.75" customHeight="1" x14ac:dyDescent="0.3">
      <c r="A41" s="17" t="s">
        <v>38</v>
      </c>
      <c r="B41" s="18">
        <f t="shared" ref="B41:I41" si="51">+IFERROR(B38/B48,"nm")</f>
        <v>0.19145569620253164</v>
      </c>
      <c r="C41" s="18">
        <f t="shared" si="51"/>
        <v>0.17924528301886791</v>
      </c>
      <c r="D41" s="18">
        <f t="shared" si="51"/>
        <v>0.17094017094017094</v>
      </c>
      <c r="E41" s="18">
        <f t="shared" si="51"/>
        <v>0.18867924528301888</v>
      </c>
      <c r="F41" s="18">
        <f t="shared" si="51"/>
        <v>0.18304668304668303</v>
      </c>
      <c r="G41" s="18">
        <f t="shared" si="51"/>
        <v>0.22945736434108527</v>
      </c>
      <c r="H41" s="18">
        <f t="shared" si="51"/>
        <v>0.21069692058346839</v>
      </c>
      <c r="I41" s="18">
        <f t="shared" si="51"/>
        <v>0.19405320813771518</v>
      </c>
      <c r="J41" s="21">
        <v>0.16300000000000001</v>
      </c>
      <c r="K41" s="21">
        <v>0.14299999999999999</v>
      </c>
      <c r="L41" s="21">
        <v>0.123</v>
      </c>
      <c r="M41" s="21">
        <v>0.111</v>
      </c>
      <c r="N41" s="21">
        <v>0.104</v>
      </c>
    </row>
    <row r="42" spans="1:23" ht="15.75" customHeight="1" x14ac:dyDescent="0.3">
      <c r="A42" s="7" t="s">
        <v>26</v>
      </c>
      <c r="B42" s="7">
        <f>+Historicals!B136</f>
        <v>3645</v>
      </c>
      <c r="C42" s="7">
        <f>+Historicals!C136</f>
        <v>3763</v>
      </c>
      <c r="D42" s="7">
        <f>+Historicals!D136</f>
        <v>3875</v>
      </c>
      <c r="E42" s="7">
        <f>+Historicals!E136</f>
        <v>3600</v>
      </c>
      <c r="F42" s="7">
        <f>+Historicals!F136</f>
        <v>3925</v>
      </c>
      <c r="G42" s="7">
        <f>+Historicals!G136</f>
        <v>2899</v>
      </c>
      <c r="H42" s="7">
        <f>+Historicals!H136</f>
        <v>5089</v>
      </c>
      <c r="I42" s="7">
        <f>+Historicals!I136</f>
        <v>5114</v>
      </c>
      <c r="J42" s="7">
        <f>J35-J38</f>
        <v>5285.8429776640005</v>
      </c>
      <c r="K42" s="7">
        <f t="shared" ref="K42:N42" si="52">K35-K38</f>
        <v>5832.1188064667158</v>
      </c>
      <c r="L42" s="7">
        <f t="shared" si="52"/>
        <v>6198.2415538772275</v>
      </c>
      <c r="M42" s="7">
        <f t="shared" si="52"/>
        <v>6872.7318028891614</v>
      </c>
      <c r="N42" s="7">
        <f t="shared" si="52"/>
        <v>7128.7658618863015</v>
      </c>
      <c r="O42" s="32" t="s">
        <v>124</v>
      </c>
      <c r="Q42" s="1" t="s">
        <v>30</v>
      </c>
    </row>
    <row r="43" spans="1:23" ht="15.75" customHeight="1" x14ac:dyDescent="0.3">
      <c r="A43" s="17" t="s">
        <v>21</v>
      </c>
      <c r="B43" s="18" t="str">
        <f t="shared" ref="B43:I43" si="53">+IFERROR(B42/A42-1,"nm")</f>
        <v>nm</v>
      </c>
      <c r="C43" s="18">
        <f t="shared" si="53"/>
        <v>3.2373113854595292E-2</v>
      </c>
      <c r="D43" s="18">
        <f t="shared" si="53"/>
        <v>2.9763486579856391E-2</v>
      </c>
      <c r="E43" s="18">
        <f t="shared" si="53"/>
        <v>-7.096774193548383E-2</v>
      </c>
      <c r="F43" s="18">
        <f t="shared" si="53"/>
        <v>9.0277777777777679E-2</v>
      </c>
      <c r="G43" s="18">
        <f t="shared" si="53"/>
        <v>-0.26140127388535028</v>
      </c>
      <c r="H43" s="18">
        <f t="shared" si="53"/>
        <v>0.75543290789927564</v>
      </c>
      <c r="I43" s="18">
        <f t="shared" si="53"/>
        <v>4.9125564943997002E-3</v>
      </c>
      <c r="J43" s="18">
        <f t="shared" ref="J43" si="54">+IFERROR(J42/I42-1,"nm")</f>
        <v>3.3602459457176437E-2</v>
      </c>
      <c r="K43" s="18">
        <f t="shared" ref="K43" si="55">+IFERROR(K42/J42-1,"nm")</f>
        <v>0.10334696492330031</v>
      </c>
      <c r="L43" s="18">
        <f t="shared" ref="L43" si="56">+IFERROR(L42/K42-1,"nm")</f>
        <v>6.2776970010376187E-2</v>
      </c>
      <c r="M43" s="18">
        <f t="shared" ref="M43" si="57">+IFERROR(M42/L42-1,"nm")</f>
        <v>0.10881961329661571</v>
      </c>
      <c r="N43" s="18">
        <f t="shared" ref="N43" si="58">+IFERROR(N42/M42-1,"nm")</f>
        <v>3.725360836712821E-2</v>
      </c>
    </row>
    <row r="44" spans="1:23" ht="15.75" customHeight="1" x14ac:dyDescent="0.3">
      <c r="A44" s="17" t="s">
        <v>23</v>
      </c>
      <c r="B44" s="18">
        <f t="shared" ref="B44:N44" si="59">+IFERROR(B42/B$21,"nm")</f>
        <v>0.26528384279475981</v>
      </c>
      <c r="C44" s="18">
        <f t="shared" si="59"/>
        <v>0.25487672717420751</v>
      </c>
      <c r="D44" s="18">
        <f t="shared" si="59"/>
        <v>0.25466614090431128</v>
      </c>
      <c r="E44" s="18">
        <f t="shared" si="59"/>
        <v>0.24234264557388085</v>
      </c>
      <c r="F44" s="18">
        <f t="shared" si="59"/>
        <v>0.2468242988303358</v>
      </c>
      <c r="G44" s="18">
        <f t="shared" si="59"/>
        <v>0.20015189174261253</v>
      </c>
      <c r="H44" s="18">
        <f t="shared" si="59"/>
        <v>0.29623377379358518</v>
      </c>
      <c r="I44" s="18">
        <f t="shared" si="59"/>
        <v>0.27864654279954232</v>
      </c>
      <c r="J44" s="18">
        <f t="shared" si="59"/>
        <v>0.26941735607298323</v>
      </c>
      <c r="K44" s="18">
        <f t="shared" si="59"/>
        <v>0.27689452012591004</v>
      </c>
      <c r="L44" s="18">
        <f t="shared" si="59"/>
        <v>0.27339658436878211</v>
      </c>
      <c r="M44" s="18">
        <f t="shared" si="59"/>
        <v>0.28051863800640114</v>
      </c>
      <c r="N44" s="18">
        <f t="shared" si="59"/>
        <v>0.26851535400442239</v>
      </c>
    </row>
    <row r="45" spans="1:23" ht="15.75" customHeight="1" x14ac:dyDescent="0.3">
      <c r="A45" s="7" t="s">
        <v>27</v>
      </c>
      <c r="B45" s="7">
        <f>+Historicals!B158</f>
        <v>208</v>
      </c>
      <c r="C45" s="7">
        <f>+Historicals!C158</f>
        <v>242</v>
      </c>
      <c r="D45" s="7">
        <f>+Historicals!D158</f>
        <v>223</v>
      </c>
      <c r="E45" s="7">
        <f>+Historicals!E158</f>
        <v>196</v>
      </c>
      <c r="F45" s="7">
        <f>+Historicals!F158</f>
        <v>117</v>
      </c>
      <c r="G45" s="7">
        <f>+Historicals!G158</f>
        <v>110</v>
      </c>
      <c r="H45" s="7">
        <f>+Historicals!H158</f>
        <v>98</v>
      </c>
      <c r="I45" s="7">
        <f>+Historicals!I158</f>
        <v>146</v>
      </c>
      <c r="J45" s="7">
        <f>J47*J21</f>
        <v>156.95627200000001</v>
      </c>
      <c r="K45" s="7">
        <f t="shared" ref="K45:N45" si="60">K47*K21</f>
        <v>189.56340932399999</v>
      </c>
      <c r="L45" s="7">
        <f t="shared" si="60"/>
        <v>204.04122499807201</v>
      </c>
      <c r="M45" s="7">
        <f t="shared" si="60"/>
        <v>245.0008973283384</v>
      </c>
      <c r="N45" s="7">
        <f t="shared" si="60"/>
        <v>265.48820227870073</v>
      </c>
      <c r="O45" s="32" t="s">
        <v>123</v>
      </c>
    </row>
    <row r="46" spans="1:23" ht="15.75" customHeight="1" x14ac:dyDescent="0.3">
      <c r="A46" s="17" t="s">
        <v>21</v>
      </c>
      <c r="B46" s="18" t="str">
        <f t="shared" ref="B46:I46" si="61">+IFERROR(B45/A45-1,"nm")</f>
        <v>nm</v>
      </c>
      <c r="C46" s="18">
        <f t="shared" si="61"/>
        <v>0.16346153846153855</v>
      </c>
      <c r="D46" s="18">
        <f t="shared" si="61"/>
        <v>-7.8512396694214837E-2</v>
      </c>
      <c r="E46" s="18">
        <f t="shared" si="61"/>
        <v>-0.12107623318385652</v>
      </c>
      <c r="F46" s="18">
        <f t="shared" si="61"/>
        <v>-0.40306122448979587</v>
      </c>
      <c r="G46" s="18">
        <f t="shared" si="61"/>
        <v>-5.9829059829059839E-2</v>
      </c>
      <c r="H46" s="18">
        <f t="shared" si="61"/>
        <v>-0.10909090909090913</v>
      </c>
      <c r="I46" s="18">
        <f t="shared" si="61"/>
        <v>0.48979591836734704</v>
      </c>
      <c r="J46" s="18">
        <f>(J45-I45)/I45</f>
        <v>7.5042958904109669E-2</v>
      </c>
      <c r="K46" s="18">
        <f t="shared" ref="K46:N46" si="62">(K45-J45)/J45</f>
        <v>0.20774663483342656</v>
      </c>
      <c r="L46" s="18">
        <f t="shared" si="62"/>
        <v>7.6374526738578932E-2</v>
      </c>
      <c r="M46" s="18">
        <f t="shared" si="62"/>
        <v>0.2007421408622371</v>
      </c>
      <c r="N46" s="18">
        <f t="shared" si="62"/>
        <v>8.3621346590034035E-2</v>
      </c>
      <c r="Q46" s="1" t="s">
        <v>39</v>
      </c>
    </row>
    <row r="47" spans="1:23" ht="15.75" customHeight="1" x14ac:dyDescent="0.3">
      <c r="A47" s="17" t="s">
        <v>25</v>
      </c>
      <c r="B47" s="18">
        <f t="shared" ref="B47:I47" si="63">+IFERROR(B45/B$21,"nm")</f>
        <v>1.5138282387190683E-2</v>
      </c>
      <c r="C47" s="18">
        <f t="shared" si="63"/>
        <v>1.6391221891086428E-2</v>
      </c>
      <c r="D47" s="18">
        <f t="shared" si="63"/>
        <v>1.4655625657202945E-2</v>
      </c>
      <c r="E47" s="18">
        <f t="shared" si="63"/>
        <v>1.3194210703466847E-2</v>
      </c>
      <c r="F47" s="18">
        <f t="shared" si="63"/>
        <v>7.3575650861526856E-3</v>
      </c>
      <c r="G47" s="18">
        <f t="shared" si="63"/>
        <v>7.5945871306268989E-3</v>
      </c>
      <c r="H47" s="18">
        <f t="shared" si="63"/>
        <v>5.7046393852960009E-3</v>
      </c>
      <c r="I47" s="18">
        <f t="shared" si="63"/>
        <v>7.9551027080041418E-3</v>
      </c>
      <c r="J47" s="18">
        <v>8.0000000000000002E-3</v>
      </c>
      <c r="K47" s="18">
        <v>8.9999999999999993E-3</v>
      </c>
      <c r="L47" s="18">
        <v>8.9999999999999993E-3</v>
      </c>
      <c r="M47" s="18">
        <v>0.01</v>
      </c>
      <c r="N47" s="18">
        <v>0.01</v>
      </c>
    </row>
    <row r="48" spans="1:23" ht="15.75" customHeight="1" x14ac:dyDescent="0.3">
      <c r="A48" s="7" t="s">
        <v>28</v>
      </c>
      <c r="B48" s="7">
        <f>+Historicals!B147</f>
        <v>632</v>
      </c>
      <c r="C48" s="7">
        <f>+Historicals!C147</f>
        <v>742</v>
      </c>
      <c r="D48" s="7">
        <f>+Historicals!D147</f>
        <v>819</v>
      </c>
      <c r="E48" s="7">
        <f>+Historicals!E147</f>
        <v>848</v>
      </c>
      <c r="F48" s="7">
        <f>+Historicals!F147</f>
        <v>814</v>
      </c>
      <c r="G48" s="7">
        <f>+Historicals!G147</f>
        <v>645</v>
      </c>
      <c r="H48" s="7">
        <f>+Historicals!H147</f>
        <v>617</v>
      </c>
      <c r="I48" s="7">
        <f>+Historicals!I147</f>
        <v>639</v>
      </c>
      <c r="J48" s="7">
        <f>I48-I38+J45</f>
        <v>671.95627200000001</v>
      </c>
      <c r="K48" s="7">
        <f t="shared" ref="K48:N48" si="64">J48-J38+K45</f>
        <v>751.99080898799991</v>
      </c>
      <c r="L48" s="7">
        <f t="shared" si="64"/>
        <v>848.49734830078796</v>
      </c>
      <c r="M48" s="7">
        <f t="shared" si="64"/>
        <v>989.13307178812943</v>
      </c>
      <c r="N48" s="7">
        <f t="shared" si="64"/>
        <v>1144.8275030983477</v>
      </c>
      <c r="O48" s="32" t="s">
        <v>126</v>
      </c>
    </row>
    <row r="49" spans="1:17" ht="15.75" customHeight="1" x14ac:dyDescent="0.3">
      <c r="A49" s="17" t="s">
        <v>21</v>
      </c>
      <c r="B49" s="18" t="str">
        <f t="shared" ref="B49:I49" si="65">+IFERROR(B48/A48-1,"nm")</f>
        <v>nm</v>
      </c>
      <c r="C49" s="18">
        <f t="shared" si="65"/>
        <v>0.17405063291139244</v>
      </c>
      <c r="D49" s="18">
        <f t="shared" si="65"/>
        <v>0.10377358490566047</v>
      </c>
      <c r="E49" s="18">
        <f t="shared" si="65"/>
        <v>3.5409035409035505E-2</v>
      </c>
      <c r="F49" s="18">
        <f t="shared" si="65"/>
        <v>-4.0094339622641528E-2</v>
      </c>
      <c r="G49" s="18">
        <f t="shared" si="65"/>
        <v>-0.20761670761670759</v>
      </c>
      <c r="H49" s="18">
        <f t="shared" si="65"/>
        <v>-4.3410852713178349E-2</v>
      </c>
      <c r="I49" s="18">
        <f t="shared" si="65"/>
        <v>3.5656401944894611E-2</v>
      </c>
      <c r="J49" s="18">
        <f t="shared" ref="J49" si="66">+IFERROR(J48/I48-1,"nm")</f>
        <v>5.1574760563380284E-2</v>
      </c>
      <c r="K49" s="18">
        <f t="shared" ref="K49" si="67">+IFERROR(K48/J48-1,"nm")</f>
        <v>0.11910676382227425</v>
      </c>
      <c r="L49" s="18">
        <f t="shared" ref="L49" si="68">+IFERROR(L48/K48-1,"nm")</f>
        <v>0.12833473249847671</v>
      </c>
      <c r="M49" s="18">
        <f t="shared" ref="M49" si="69">+IFERROR(M48/L48-1,"nm")</f>
        <v>0.1657468037690164</v>
      </c>
      <c r="N49" s="18">
        <f t="shared" ref="N49" si="70">+IFERROR(N48/M48-1,"nm")</f>
        <v>0.1574049394878263</v>
      </c>
      <c r="Q49" s="1" t="s">
        <v>40</v>
      </c>
    </row>
    <row r="50" spans="1:17" ht="15.75" customHeight="1" x14ac:dyDescent="0.3">
      <c r="A50" s="17" t="s">
        <v>25</v>
      </c>
      <c r="B50" s="18">
        <f t="shared" ref="B50:I50" si="71">+IFERROR(B48/B$21,"nm")</f>
        <v>4.599708879184862E-2</v>
      </c>
      <c r="C50" s="18">
        <f t="shared" si="71"/>
        <v>5.0257382823083174E-2</v>
      </c>
      <c r="D50" s="18">
        <f t="shared" si="71"/>
        <v>5.3824921135646686E-2</v>
      </c>
      <c r="E50" s="18">
        <f t="shared" si="71"/>
        <v>5.7085156512958597E-2</v>
      </c>
      <c r="F50" s="18">
        <f t="shared" si="71"/>
        <v>5.1188529744686205E-2</v>
      </c>
      <c r="G50" s="18">
        <f t="shared" si="71"/>
        <v>4.4531897265948632E-2</v>
      </c>
      <c r="H50" s="18">
        <f t="shared" si="71"/>
        <v>3.5915943884975841E-2</v>
      </c>
      <c r="I50" s="18">
        <f t="shared" si="71"/>
        <v>3.4817196098730456E-2</v>
      </c>
      <c r="J50" s="21">
        <f t="shared" ref="J50:N50" si="72">J48/J21</f>
        <v>3.4249349245501957E-2</v>
      </c>
      <c r="K50" s="21">
        <f t="shared" si="72"/>
        <v>3.5702656462167436E-2</v>
      </c>
      <c r="L50" s="21">
        <f t="shared" si="72"/>
        <v>3.7426143343234922E-2</v>
      </c>
      <c r="M50" s="21">
        <f t="shared" si="72"/>
        <v>4.0372630572962392E-2</v>
      </c>
      <c r="N50" s="21">
        <f t="shared" si="72"/>
        <v>4.3121596111323462E-2</v>
      </c>
    </row>
    <row r="51" spans="1:17" ht="15.75" customHeight="1" x14ac:dyDescent="0.3">
      <c r="A51" s="19" t="s">
        <v>11</v>
      </c>
      <c r="B51" s="19"/>
      <c r="C51" s="19"/>
      <c r="D51" s="19"/>
      <c r="E51" s="19"/>
      <c r="F51" s="19"/>
      <c r="G51" s="19"/>
      <c r="H51" s="19"/>
      <c r="I51" s="19"/>
      <c r="J51" s="15"/>
      <c r="K51" s="15"/>
      <c r="L51" s="15"/>
      <c r="M51" s="15"/>
      <c r="N51" s="15"/>
      <c r="O51" t="s">
        <v>127</v>
      </c>
    </row>
    <row r="52" spans="1:17" ht="15.75" customHeight="1" x14ac:dyDescent="0.3">
      <c r="A52" s="7" t="s">
        <v>29</v>
      </c>
      <c r="B52" s="7">
        <f>Historicals!B113</f>
        <v>7126</v>
      </c>
      <c r="C52" s="7">
        <f>Historicals!C113</f>
        <v>7315</v>
      </c>
      <c r="D52" s="7">
        <f>Historicals!D113</f>
        <v>7970</v>
      </c>
      <c r="E52" s="7">
        <f>Historicals!E113</f>
        <v>9242</v>
      </c>
      <c r="F52" s="7">
        <f>Historicals!F113</f>
        <v>9812</v>
      </c>
      <c r="G52" s="7">
        <f>Historicals!G113</f>
        <v>9347</v>
      </c>
      <c r="H52" s="7">
        <f>Historicals!H113</f>
        <v>11456</v>
      </c>
      <c r="I52" s="7">
        <f>Historicals!I113</f>
        <v>12479</v>
      </c>
      <c r="J52" s="7">
        <f t="shared" ref="J52:N52" si="73">+SUM(J54+J58+J62)</f>
        <v>13045.990000000002</v>
      </c>
      <c r="K52" s="7">
        <f t="shared" si="73"/>
        <v>13730.636800000002</v>
      </c>
      <c r="L52" s="7">
        <f t="shared" si="73"/>
        <v>14191.073752800001</v>
      </c>
      <c r="M52" s="7">
        <f t="shared" si="73"/>
        <v>14701.998215889602</v>
      </c>
      <c r="N52" s="7">
        <f t="shared" si="73"/>
        <v>15119.366291909741</v>
      </c>
      <c r="O52" s="1"/>
      <c r="P52" s="1" t="s">
        <v>41</v>
      </c>
    </row>
    <row r="53" spans="1:17" ht="15.75" customHeight="1" x14ac:dyDescent="0.3">
      <c r="A53" s="17" t="s">
        <v>21</v>
      </c>
      <c r="B53" s="18" t="str">
        <f t="shared" ref="B53:N53" si="74">+IFERROR(B52/A52-1,"nm")</f>
        <v>nm</v>
      </c>
      <c r="C53" s="18">
        <f t="shared" si="74"/>
        <v>2.6522593320235766E-2</v>
      </c>
      <c r="D53" s="18">
        <f t="shared" si="74"/>
        <v>8.9542036910458034E-2</v>
      </c>
      <c r="E53" s="18">
        <f t="shared" si="74"/>
        <v>0.15959849435382689</v>
      </c>
      <c r="F53" s="18">
        <f t="shared" si="74"/>
        <v>6.1674962129409261E-2</v>
      </c>
      <c r="G53" s="18">
        <f t="shared" si="74"/>
        <v>-4.7390949857317621E-2</v>
      </c>
      <c r="H53" s="18">
        <f t="shared" si="74"/>
        <v>0.22563389322777372</v>
      </c>
      <c r="I53" s="18">
        <f t="shared" si="74"/>
        <v>8.9298184357541999E-2</v>
      </c>
      <c r="J53" s="18">
        <f t="shared" si="74"/>
        <v>4.5435531693244879E-2</v>
      </c>
      <c r="K53" s="18">
        <f t="shared" si="74"/>
        <v>5.2479482201044148E-2</v>
      </c>
      <c r="L53" s="18">
        <f t="shared" si="74"/>
        <v>3.3533546878175224E-2</v>
      </c>
      <c r="M53" s="18">
        <f t="shared" si="74"/>
        <v>3.6003227943818716E-2</v>
      </c>
      <c r="N53" s="18">
        <f t="shared" si="74"/>
        <v>2.8388527184628254E-2</v>
      </c>
      <c r="Q53" s="1" t="s">
        <v>30</v>
      </c>
    </row>
    <row r="54" spans="1:17" ht="15.75" customHeight="1" x14ac:dyDescent="0.3">
      <c r="A54" s="20" t="s">
        <v>8</v>
      </c>
      <c r="B54" s="6">
        <f>Historicals!B114</f>
        <v>4703</v>
      </c>
      <c r="C54" s="6">
        <f>Historicals!C114</f>
        <v>4867</v>
      </c>
      <c r="D54" s="6">
        <f>Historicals!D114</f>
        <v>5192</v>
      </c>
      <c r="E54" s="6">
        <f>Historicals!E114</f>
        <v>5875</v>
      </c>
      <c r="F54" s="6">
        <f>Historicals!F114</f>
        <v>6293</v>
      </c>
      <c r="G54" s="6">
        <f>Historicals!G114</f>
        <v>5892</v>
      </c>
      <c r="H54" s="6">
        <f>Historicals!H114</f>
        <v>6970</v>
      </c>
      <c r="I54" s="6">
        <f>Historicals!I114</f>
        <v>7388</v>
      </c>
      <c r="J54" s="6">
        <f t="shared" ref="J54:N54" si="75">+I54*(1+J55)</f>
        <v>7683.52</v>
      </c>
      <c r="K54" s="6">
        <f t="shared" si="75"/>
        <v>8144.5312000000013</v>
      </c>
      <c r="L54" s="6">
        <f t="shared" si="75"/>
        <v>8307.4218240000009</v>
      </c>
      <c r="M54" s="6">
        <f t="shared" si="75"/>
        <v>8540.0296350720018</v>
      </c>
      <c r="N54" s="6">
        <f t="shared" si="75"/>
        <v>8796.2305241241629</v>
      </c>
    </row>
    <row r="55" spans="1:17" ht="15.75" customHeight="1" x14ac:dyDescent="0.3">
      <c r="A55" s="17" t="s">
        <v>21</v>
      </c>
      <c r="B55" s="18" t="str">
        <f t="shared" ref="B55:I55" si="76">+IFERROR(B54/A54-1,"nm")</f>
        <v>nm</v>
      </c>
      <c r="C55" s="18">
        <f t="shared" si="76"/>
        <v>3.4871358707208255E-2</v>
      </c>
      <c r="D55" s="18">
        <f t="shared" si="76"/>
        <v>6.6776248202177868E-2</v>
      </c>
      <c r="E55" s="18">
        <f t="shared" si="76"/>
        <v>0.1315485362095532</v>
      </c>
      <c r="F55" s="18">
        <f t="shared" si="76"/>
        <v>7.1148936170212673E-2</v>
      </c>
      <c r="G55" s="18">
        <f t="shared" si="76"/>
        <v>-6.3721595423486432E-2</v>
      </c>
      <c r="H55" s="18">
        <f t="shared" si="76"/>
        <v>0.18295994568907004</v>
      </c>
      <c r="I55" s="18">
        <f t="shared" si="76"/>
        <v>5.9971305595408975E-2</v>
      </c>
      <c r="J55" s="18">
        <f t="shared" ref="J55:N55" si="77">+J56+J57</f>
        <v>0.04</v>
      </c>
      <c r="K55" s="18">
        <f t="shared" si="77"/>
        <v>0.06</v>
      </c>
      <c r="L55" s="18">
        <f t="shared" si="77"/>
        <v>0.02</v>
      </c>
      <c r="M55" s="18">
        <f t="shared" si="77"/>
        <v>2.8000000000000001E-2</v>
      </c>
      <c r="N55" s="18">
        <f t="shared" si="77"/>
        <v>0.03</v>
      </c>
    </row>
    <row r="56" spans="1:17" ht="15.75" customHeight="1" x14ac:dyDescent="0.3">
      <c r="A56" s="17" t="s">
        <v>32</v>
      </c>
      <c r="B56" s="18">
        <f>Historicals!B186</f>
        <v>0.47</v>
      </c>
      <c r="C56" s="18">
        <f>Historicals!C186</f>
        <v>0.37</v>
      </c>
      <c r="D56" s="18">
        <f>Historicals!D186</f>
        <v>0.16</v>
      </c>
      <c r="E56" s="18">
        <f>Historicals!E186</f>
        <v>0.06</v>
      </c>
      <c r="F56" s="18">
        <f>Historicals!F186</f>
        <v>0.12</v>
      </c>
      <c r="G56" s="18">
        <f>Historicals!G186</f>
        <v>-0.03</v>
      </c>
      <c r="H56" s="18">
        <f>Historicals!H186</f>
        <v>0.13</v>
      </c>
      <c r="I56" s="18">
        <f>Historicals!I186</f>
        <v>0.09</v>
      </c>
      <c r="J56" s="21">
        <v>0.04</v>
      </c>
      <c r="K56" s="21">
        <v>0.06</v>
      </c>
      <c r="L56" s="21">
        <v>0.02</v>
      </c>
      <c r="M56" s="21">
        <v>2.8000000000000001E-2</v>
      </c>
      <c r="N56" s="21">
        <v>0.03</v>
      </c>
    </row>
    <row r="57" spans="1:17" ht="15.75" customHeight="1" x14ac:dyDescent="0.3">
      <c r="A57" s="17" t="s">
        <v>33</v>
      </c>
      <c r="B57" s="18" t="str">
        <f t="shared" ref="B57:I57" si="78">+IFERROR(B55-B56,"nm")</f>
        <v>nm</v>
      </c>
      <c r="C57" s="18">
        <f t="shared" si="78"/>
        <v>-0.33512864129279174</v>
      </c>
      <c r="D57" s="18">
        <f t="shared" si="78"/>
        <v>-9.3223751797822135E-2</v>
      </c>
      <c r="E57" s="18">
        <f t="shared" si="78"/>
        <v>7.1548536209553204E-2</v>
      </c>
      <c r="F57" s="18">
        <f t="shared" si="78"/>
        <v>-4.8851063829787322E-2</v>
      </c>
      <c r="G57" s="18">
        <f t="shared" si="78"/>
        <v>-3.3721595423486433E-2</v>
      </c>
      <c r="H57" s="18">
        <f t="shared" si="78"/>
        <v>5.2959945689070032E-2</v>
      </c>
      <c r="I57" s="18">
        <f t="shared" si="78"/>
        <v>-3.0028694404591022E-2</v>
      </c>
      <c r="J57" s="21">
        <v>0</v>
      </c>
      <c r="K57" s="21">
        <v>0</v>
      </c>
      <c r="L57" s="21">
        <v>0</v>
      </c>
      <c r="M57" s="21">
        <v>0</v>
      </c>
      <c r="N57" s="21">
        <v>0</v>
      </c>
    </row>
    <row r="58" spans="1:17" ht="15.75" customHeight="1" x14ac:dyDescent="0.3">
      <c r="A58" s="20" t="s">
        <v>9</v>
      </c>
      <c r="B58" s="6">
        <f>Historicals!B115</f>
        <v>2051</v>
      </c>
      <c r="C58" s="6">
        <f>Historicals!C115</f>
        <v>2091</v>
      </c>
      <c r="D58" s="6">
        <f>Historicals!D115</f>
        <v>2395</v>
      </c>
      <c r="E58" s="6">
        <f>Historicals!E115</f>
        <v>2940</v>
      </c>
      <c r="F58" s="6">
        <f>Historicals!F115</f>
        <v>3087</v>
      </c>
      <c r="G58" s="6">
        <f>Historicals!G115</f>
        <v>3053</v>
      </c>
      <c r="H58" s="6">
        <f>Historicals!H115</f>
        <v>3996</v>
      </c>
      <c r="I58" s="6">
        <f>Historicals!I115</f>
        <v>4527</v>
      </c>
      <c r="J58" s="6">
        <f t="shared" ref="J58:N58" si="79">+I58*(1+J59)</f>
        <v>4753.3500000000004</v>
      </c>
      <c r="K58" s="6">
        <f t="shared" si="79"/>
        <v>4943.4840000000004</v>
      </c>
      <c r="L58" s="6">
        <f t="shared" si="79"/>
        <v>5200.5451680000006</v>
      </c>
      <c r="M58" s="6">
        <f t="shared" si="79"/>
        <v>5450.1713360640006</v>
      </c>
      <c r="N58" s="6">
        <f t="shared" si="79"/>
        <v>5586.4256194656</v>
      </c>
    </row>
    <row r="59" spans="1:17" ht="15.75" customHeight="1" x14ac:dyDescent="0.3">
      <c r="A59" s="17" t="s">
        <v>21</v>
      </c>
      <c r="B59" s="18" t="str">
        <f t="shared" ref="B59:I59" si="80">+IFERROR(B58/A58-1,"nm")</f>
        <v>nm</v>
      </c>
      <c r="C59" s="18">
        <f t="shared" si="80"/>
        <v>1.9502681618722484E-2</v>
      </c>
      <c r="D59" s="18">
        <f t="shared" si="80"/>
        <v>0.14538498326159721</v>
      </c>
      <c r="E59" s="18">
        <f t="shared" si="80"/>
        <v>0.22755741127348639</v>
      </c>
      <c r="F59" s="18">
        <f t="shared" si="80"/>
        <v>5.0000000000000044E-2</v>
      </c>
      <c r="G59" s="18">
        <f t="shared" si="80"/>
        <v>-1.1013929381276322E-2</v>
      </c>
      <c r="H59" s="18">
        <f t="shared" si="80"/>
        <v>0.30887651490337364</v>
      </c>
      <c r="I59" s="18">
        <f t="shared" si="80"/>
        <v>0.13288288288288297</v>
      </c>
      <c r="J59" s="18">
        <f t="shared" ref="J59:N59" si="81">+J60+J61</f>
        <v>0.05</v>
      </c>
      <c r="K59" s="18">
        <f t="shared" si="81"/>
        <v>0.04</v>
      </c>
      <c r="L59" s="18">
        <f t="shared" si="81"/>
        <v>5.1999999999999998E-2</v>
      </c>
      <c r="M59" s="18">
        <f t="shared" si="81"/>
        <v>4.8000000000000001E-2</v>
      </c>
      <c r="N59" s="18">
        <f t="shared" si="81"/>
        <v>2.5000000000000001E-2</v>
      </c>
      <c r="Q59" s="1" t="s">
        <v>42</v>
      </c>
    </row>
    <row r="60" spans="1:17" ht="15.75" customHeight="1" x14ac:dyDescent="0.3">
      <c r="A60" s="17" t="s">
        <v>32</v>
      </c>
      <c r="B60" s="18">
        <f>Historicals!B187</f>
        <v>0.19</v>
      </c>
      <c r="C60" s="18">
        <f>Historicals!C187</f>
        <v>0.25</v>
      </c>
      <c r="D60" s="18">
        <f>Historicals!D187</f>
        <v>0.25</v>
      </c>
      <c r="E60" s="18">
        <f>Historicals!E187</f>
        <v>0.16</v>
      </c>
      <c r="F60" s="18">
        <f>Historicals!F187</f>
        <v>0.09</v>
      </c>
      <c r="G60" s="18">
        <f>Historicals!G187</f>
        <v>0.02</v>
      </c>
      <c r="H60" s="18">
        <f>Historicals!H187</f>
        <v>0.25</v>
      </c>
      <c r="I60" s="18">
        <f>Historicals!I187</f>
        <v>0.16</v>
      </c>
      <c r="J60" s="21">
        <v>0.05</v>
      </c>
      <c r="K60" s="21">
        <v>0.04</v>
      </c>
      <c r="L60" s="21">
        <v>5.1999999999999998E-2</v>
      </c>
      <c r="M60" s="21">
        <v>4.8000000000000001E-2</v>
      </c>
      <c r="N60" s="21">
        <v>2.5000000000000001E-2</v>
      </c>
    </row>
    <row r="61" spans="1:17" ht="15.75" customHeight="1" x14ac:dyDescent="0.3">
      <c r="A61" s="17" t="s">
        <v>33</v>
      </c>
      <c r="B61" s="18" t="str">
        <f t="shared" ref="B61:I61" si="82">+IFERROR(B59-B60,"nm")</f>
        <v>nm</v>
      </c>
      <c r="C61" s="18">
        <f t="shared" si="82"/>
        <v>-0.23049731838127752</v>
      </c>
      <c r="D61" s="18">
        <f t="shared" si="82"/>
        <v>-0.10461501673840279</v>
      </c>
      <c r="E61" s="18">
        <f t="shared" si="82"/>
        <v>6.7557411273486384E-2</v>
      </c>
      <c r="F61" s="18">
        <f t="shared" si="82"/>
        <v>-3.9999999999999952E-2</v>
      </c>
      <c r="G61" s="18">
        <f t="shared" si="82"/>
        <v>-3.1013929381276322E-2</v>
      </c>
      <c r="H61" s="18">
        <f t="shared" si="82"/>
        <v>5.8876514903373645E-2</v>
      </c>
      <c r="I61" s="18">
        <f t="shared" si="82"/>
        <v>-2.7117117117117034E-2</v>
      </c>
      <c r="J61" s="21">
        <v>0</v>
      </c>
      <c r="K61" s="21">
        <v>0</v>
      </c>
      <c r="L61" s="21">
        <v>0</v>
      </c>
      <c r="M61" s="21">
        <v>0</v>
      </c>
      <c r="N61" s="21">
        <v>0</v>
      </c>
    </row>
    <row r="62" spans="1:17" ht="15.75" customHeight="1" x14ac:dyDescent="0.3">
      <c r="A62" s="20" t="s">
        <v>10</v>
      </c>
      <c r="B62" s="6">
        <f>Historicals!B116</f>
        <v>372</v>
      </c>
      <c r="C62" s="6">
        <f>Historicals!C116</f>
        <v>357</v>
      </c>
      <c r="D62" s="6">
        <f>Historicals!D116</f>
        <v>383</v>
      </c>
      <c r="E62" s="6">
        <f>Historicals!E116</f>
        <v>427</v>
      </c>
      <c r="F62" s="6">
        <f>Historicals!F116</f>
        <v>432</v>
      </c>
      <c r="G62" s="6">
        <f>Historicals!G116</f>
        <v>402</v>
      </c>
      <c r="H62" s="6">
        <f>Historicals!H116</f>
        <v>490</v>
      </c>
      <c r="I62" s="6">
        <f>Historicals!I116</f>
        <v>564</v>
      </c>
      <c r="J62" s="6">
        <f t="shared" ref="J62:N62" si="83">+I62*(1+J63)</f>
        <v>609.12</v>
      </c>
      <c r="K62" s="6">
        <f t="shared" si="83"/>
        <v>642.62159999999994</v>
      </c>
      <c r="L62" s="6">
        <f t="shared" si="83"/>
        <v>683.10676079999996</v>
      </c>
      <c r="M62" s="6">
        <f t="shared" si="83"/>
        <v>711.79724475360001</v>
      </c>
      <c r="N62" s="6">
        <f t="shared" si="83"/>
        <v>736.71014831997593</v>
      </c>
    </row>
    <row r="63" spans="1:17" ht="15.75" customHeight="1" x14ac:dyDescent="0.3">
      <c r="A63" s="17" t="s">
        <v>21</v>
      </c>
      <c r="B63" s="18" t="str">
        <f t="shared" ref="B63:I63" si="84">+IFERROR(B62/A62-1,"nm")</f>
        <v>nm</v>
      </c>
      <c r="C63" s="18">
        <f t="shared" si="84"/>
        <v>-4.0322580645161255E-2</v>
      </c>
      <c r="D63" s="18">
        <f t="shared" si="84"/>
        <v>7.2829131652661028E-2</v>
      </c>
      <c r="E63" s="18">
        <f t="shared" si="84"/>
        <v>0.11488250652741505</v>
      </c>
      <c r="F63" s="18">
        <f t="shared" si="84"/>
        <v>1.1709601873536313E-2</v>
      </c>
      <c r="G63" s="18">
        <f t="shared" si="84"/>
        <v>-6.944444444444442E-2</v>
      </c>
      <c r="H63" s="18">
        <f t="shared" si="84"/>
        <v>0.21890547263681581</v>
      </c>
      <c r="I63" s="18">
        <f t="shared" si="84"/>
        <v>0.15102040816326534</v>
      </c>
      <c r="J63" s="18">
        <f t="shared" ref="J63:N63" si="85">+J64+J65</f>
        <v>0.08</v>
      </c>
      <c r="K63" s="18">
        <f t="shared" si="85"/>
        <v>5.5E-2</v>
      </c>
      <c r="L63" s="18">
        <f t="shared" si="85"/>
        <v>6.3E-2</v>
      </c>
      <c r="M63" s="18">
        <f t="shared" si="85"/>
        <v>4.2000000000000003E-2</v>
      </c>
      <c r="N63" s="18">
        <f t="shared" si="85"/>
        <v>3.5000000000000003E-2</v>
      </c>
      <c r="Q63" s="1" t="s">
        <v>43</v>
      </c>
    </row>
    <row r="64" spans="1:17" ht="15.75" customHeight="1" x14ac:dyDescent="0.3">
      <c r="A64" s="17" t="s">
        <v>32</v>
      </c>
      <c r="B64" s="18">
        <f>Historicals!B188</f>
        <v>0.19</v>
      </c>
      <c r="C64" s="18">
        <f>Historicals!C188</f>
        <v>0.15</v>
      </c>
      <c r="D64" s="18">
        <f>Historicals!D188</f>
        <v>0.13</v>
      </c>
      <c r="E64" s="18">
        <f>Historicals!E188</f>
        <v>0.06</v>
      </c>
      <c r="F64" s="18">
        <f>Historicals!F188</f>
        <v>0.05</v>
      </c>
      <c r="G64" s="18">
        <f>Historicals!G188</f>
        <v>-0.03</v>
      </c>
      <c r="H64" s="18">
        <f>Historicals!H188</f>
        <v>0.19</v>
      </c>
      <c r="I64" s="18">
        <f>Historicals!I188</f>
        <v>0.17</v>
      </c>
      <c r="J64" s="21">
        <v>0.08</v>
      </c>
      <c r="K64" s="21">
        <v>5.5E-2</v>
      </c>
      <c r="L64" s="21">
        <v>6.3E-2</v>
      </c>
      <c r="M64" s="21">
        <v>4.2000000000000003E-2</v>
      </c>
      <c r="N64" s="21">
        <v>3.5000000000000003E-2</v>
      </c>
    </row>
    <row r="65" spans="1:17" ht="15.75" customHeight="1" x14ac:dyDescent="0.3">
      <c r="A65" s="17" t="s">
        <v>33</v>
      </c>
      <c r="B65" s="18" t="str">
        <f t="shared" ref="B65:I65" si="86">+IFERROR(B63-B64,"nm")</f>
        <v>nm</v>
      </c>
      <c r="C65" s="18">
        <f t="shared" si="86"/>
        <v>-0.19032258064516125</v>
      </c>
      <c r="D65" s="18">
        <f t="shared" si="86"/>
        <v>-5.7170868347338977E-2</v>
      </c>
      <c r="E65" s="18">
        <f t="shared" si="86"/>
        <v>5.4882506527415054E-2</v>
      </c>
      <c r="F65" s="18">
        <f t="shared" si="86"/>
        <v>-3.829039812646369E-2</v>
      </c>
      <c r="G65" s="18">
        <f t="shared" si="86"/>
        <v>-3.9444444444444421E-2</v>
      </c>
      <c r="H65" s="18">
        <f t="shared" si="86"/>
        <v>2.890547263681581E-2</v>
      </c>
      <c r="I65" s="18">
        <f t="shared" si="86"/>
        <v>-1.8979591836734672E-2</v>
      </c>
      <c r="J65" s="21">
        <v>0</v>
      </c>
      <c r="K65" s="21">
        <v>0</v>
      </c>
      <c r="L65" s="21">
        <v>0</v>
      </c>
      <c r="M65" s="21">
        <v>0</v>
      </c>
      <c r="N65" s="21">
        <v>0</v>
      </c>
    </row>
    <row r="66" spans="1:17" ht="15.75" customHeight="1" x14ac:dyDescent="0.3">
      <c r="A66" s="7" t="s">
        <v>22</v>
      </c>
      <c r="B66" s="7">
        <f t="shared" ref="B66:I66" si="87">B69+B73</f>
        <v>1611</v>
      </c>
      <c r="C66" s="7">
        <f t="shared" si="87"/>
        <v>1871</v>
      </c>
      <c r="D66" s="7">
        <f t="shared" si="87"/>
        <v>1611</v>
      </c>
      <c r="E66" s="7">
        <f t="shared" si="87"/>
        <v>1703</v>
      </c>
      <c r="F66" s="7">
        <f t="shared" si="87"/>
        <v>2106</v>
      </c>
      <c r="G66" s="7">
        <f t="shared" si="87"/>
        <v>1673</v>
      </c>
      <c r="H66" s="7">
        <f t="shared" si="87"/>
        <v>2571</v>
      </c>
      <c r="I66" s="7">
        <f t="shared" si="87"/>
        <v>3427</v>
      </c>
      <c r="J66" s="7">
        <f t="shared" ref="J66:N66" si="88">J68*J52</f>
        <v>3652.8772000000008</v>
      </c>
      <c r="K66" s="7">
        <f t="shared" si="88"/>
        <v>3473.8511104000004</v>
      </c>
      <c r="L66" s="7">
        <f t="shared" si="88"/>
        <v>3405.8577006720002</v>
      </c>
      <c r="M66" s="7">
        <f t="shared" si="88"/>
        <v>3675.4995539724005</v>
      </c>
      <c r="N66" s="7">
        <f t="shared" si="88"/>
        <v>3598.4091774745179</v>
      </c>
    </row>
    <row r="67" spans="1:17" ht="15.75" customHeight="1" x14ac:dyDescent="0.3">
      <c r="A67" s="17" t="s">
        <v>21</v>
      </c>
      <c r="B67" s="18" t="str">
        <f t="shared" ref="B67:I67" si="89">+IFERROR(B66/A66-1,"nm")</f>
        <v>nm</v>
      </c>
      <c r="C67" s="18">
        <f t="shared" si="89"/>
        <v>0.16139044072004971</v>
      </c>
      <c r="D67" s="18">
        <f t="shared" si="89"/>
        <v>-0.13896312132549438</v>
      </c>
      <c r="E67" s="18">
        <f t="shared" si="89"/>
        <v>5.7107386716325204E-2</v>
      </c>
      <c r="F67" s="18">
        <f t="shared" si="89"/>
        <v>0.23664122137404586</v>
      </c>
      <c r="G67" s="18">
        <f t="shared" si="89"/>
        <v>-0.20560303893637222</v>
      </c>
      <c r="H67" s="18">
        <f t="shared" si="89"/>
        <v>0.53676031081888831</v>
      </c>
      <c r="I67" s="18">
        <f t="shared" si="89"/>
        <v>0.33294437961882539</v>
      </c>
      <c r="J67" s="18">
        <f t="shared" ref="J67:N67" si="90">(J66-I66)/I66</f>
        <v>6.5911059235483169E-2</v>
      </c>
      <c r="K67" s="18">
        <f t="shared" si="90"/>
        <v>-4.9009610725485216E-2</v>
      </c>
      <c r="L67" s="18">
        <f t="shared" si="90"/>
        <v>-1.9572919957462142E-2</v>
      </c>
      <c r="M67" s="18">
        <f t="shared" si="90"/>
        <v>7.9170029108144482E-2</v>
      </c>
      <c r="N67" s="18">
        <f t="shared" si="90"/>
        <v>-2.0974122120233942E-2</v>
      </c>
    </row>
    <row r="68" spans="1:17" ht="15.75" customHeight="1" x14ac:dyDescent="0.3">
      <c r="A68" s="17" t="s">
        <v>23</v>
      </c>
      <c r="B68" s="18">
        <f t="shared" ref="B68:I68" si="91">+IFERROR(B66/B$52,"nm")</f>
        <v>0.22607353353915241</v>
      </c>
      <c r="C68" s="18">
        <f t="shared" si="91"/>
        <v>0.25577580314422421</v>
      </c>
      <c r="D68" s="18">
        <f t="shared" si="91"/>
        <v>0.20213299874529486</v>
      </c>
      <c r="E68" s="18">
        <f t="shared" si="91"/>
        <v>0.18426747457260334</v>
      </c>
      <c r="F68" s="18">
        <f t="shared" si="91"/>
        <v>0.21463514064410924</v>
      </c>
      <c r="G68" s="18">
        <f t="shared" si="91"/>
        <v>0.17898791055953783</v>
      </c>
      <c r="H68" s="18">
        <f t="shared" si="91"/>
        <v>0.22442388268156424</v>
      </c>
      <c r="I68" s="18">
        <f t="shared" si="91"/>
        <v>0.27462136389133746</v>
      </c>
      <c r="J68" s="18">
        <f>28%</f>
        <v>0.28000000000000003</v>
      </c>
      <c r="K68" s="18">
        <f>25.3%</f>
        <v>0.253</v>
      </c>
      <c r="L68" s="18">
        <v>0.24</v>
      </c>
      <c r="M68" s="18">
        <v>0.25</v>
      </c>
      <c r="N68" s="18">
        <v>0.23799999999999999</v>
      </c>
    </row>
    <row r="69" spans="1:17" ht="15.75" customHeight="1" x14ac:dyDescent="0.3">
      <c r="A69" s="7" t="s">
        <v>24</v>
      </c>
      <c r="B69" s="7">
        <f>Historicals!B170</f>
        <v>87</v>
      </c>
      <c r="C69" s="7">
        <f>Historicals!C170</f>
        <v>84</v>
      </c>
      <c r="D69" s="7">
        <f>Historicals!D170</f>
        <v>104</v>
      </c>
      <c r="E69" s="7">
        <f>Historicals!E170</f>
        <v>116</v>
      </c>
      <c r="F69" s="7">
        <f>Historicals!F170</f>
        <v>111</v>
      </c>
      <c r="G69" s="7">
        <f>Historicals!G170</f>
        <v>132</v>
      </c>
      <c r="H69" s="7">
        <f>Historicals!H170</f>
        <v>136</v>
      </c>
      <c r="I69" s="7">
        <f>Historicals!I170</f>
        <v>134</v>
      </c>
      <c r="J69" s="7">
        <f>J72*J79</f>
        <v>147.13614717999999</v>
      </c>
      <c r="K69" s="7">
        <f t="shared" ref="K69:N69" si="92">K72*K79</f>
        <v>155.35744419563997</v>
      </c>
      <c r="L69" s="7">
        <f t="shared" si="92"/>
        <v>164.01406720505244</v>
      </c>
      <c r="M69" s="7">
        <f t="shared" si="92"/>
        <v>176.71993218100303</v>
      </c>
      <c r="N69" s="7">
        <f t="shared" si="92"/>
        <v>189.19330546527553</v>
      </c>
    </row>
    <row r="70" spans="1:17" ht="15.75" customHeight="1" x14ac:dyDescent="0.3">
      <c r="A70" s="17" t="s">
        <v>21</v>
      </c>
      <c r="B70" s="18" t="str">
        <f t="shared" ref="B70:I70" si="93">+IFERROR(B69/A69-1,"nm")</f>
        <v>nm</v>
      </c>
      <c r="C70" s="18">
        <f t="shared" si="93"/>
        <v>-3.4482758620689613E-2</v>
      </c>
      <c r="D70" s="18">
        <f t="shared" si="93"/>
        <v>0.23809523809523814</v>
      </c>
      <c r="E70" s="18">
        <f t="shared" si="93"/>
        <v>0.11538461538461542</v>
      </c>
      <c r="F70" s="18">
        <f t="shared" si="93"/>
        <v>-4.31034482758621E-2</v>
      </c>
      <c r="G70" s="18">
        <f t="shared" si="93"/>
        <v>0.18918918918918926</v>
      </c>
      <c r="H70" s="18">
        <f t="shared" si="93"/>
        <v>3.0303030303030276E-2</v>
      </c>
      <c r="I70" s="18">
        <f t="shared" si="93"/>
        <v>-1.4705882352941124E-2</v>
      </c>
      <c r="J70" s="18">
        <f t="shared" ref="J70" si="94">+IFERROR(J69/I69-1,"nm")</f>
        <v>9.8030949104477516E-2</v>
      </c>
      <c r="K70" s="18">
        <f t="shared" ref="K70" si="95">+IFERROR(K69/J69-1,"nm")</f>
        <v>5.5875440353772454E-2</v>
      </c>
      <c r="L70" s="18">
        <f t="shared" ref="L70" si="96">+IFERROR(L69/K69-1,"nm")</f>
        <v>5.5720683706094398E-2</v>
      </c>
      <c r="M70" s="18">
        <f t="shared" ref="M70" si="97">+IFERROR(M69/L69-1,"nm")</f>
        <v>7.746814155925752E-2</v>
      </c>
      <c r="N70" s="18">
        <f t="shared" ref="N70" si="98">+IFERROR(N69/M69-1,"nm")</f>
        <v>7.058271882708067E-2</v>
      </c>
      <c r="Q70" s="1" t="s">
        <v>44</v>
      </c>
    </row>
    <row r="71" spans="1:17" ht="15.75" customHeight="1" x14ac:dyDescent="0.3">
      <c r="A71" s="17" t="s">
        <v>25</v>
      </c>
      <c r="B71" s="18">
        <f t="shared" ref="B71:I71" si="99">+IFERROR(B69/B$52,"nm")</f>
        <v>1.2208812798203761E-2</v>
      </c>
      <c r="C71" s="18">
        <f t="shared" si="99"/>
        <v>1.1483253588516746E-2</v>
      </c>
      <c r="D71" s="18">
        <f t="shared" si="99"/>
        <v>1.3048933500627352E-2</v>
      </c>
      <c r="E71" s="18">
        <f t="shared" si="99"/>
        <v>1.2551395801774508E-2</v>
      </c>
      <c r="F71" s="18">
        <f t="shared" si="99"/>
        <v>1.1312678353037097E-2</v>
      </c>
      <c r="G71" s="18">
        <f t="shared" si="99"/>
        <v>1.4122178239007167E-2</v>
      </c>
      <c r="H71" s="18">
        <f t="shared" si="99"/>
        <v>1.1871508379888268E-2</v>
      </c>
      <c r="I71" s="18">
        <f t="shared" si="99"/>
        <v>1.0738039907043834E-2</v>
      </c>
      <c r="J71" s="18">
        <f>+IFERROR(J69/J52,"nm")</f>
        <v>1.1278266132351779E-2</v>
      </c>
      <c r="K71" s="18">
        <f t="shared" ref="K71:N71" si="100">+IFERROR(K69/K$21,"nm")</f>
        <v>7.3759857070883356E-3</v>
      </c>
      <c r="L71" s="18">
        <f t="shared" si="100"/>
        <v>7.2344527673729652E-3</v>
      </c>
      <c r="M71" s="18">
        <f t="shared" si="100"/>
        <v>7.2130320381713336E-3</v>
      </c>
      <c r="N71" s="18">
        <f t="shared" si="100"/>
        <v>7.1262415369654237E-3</v>
      </c>
    </row>
    <row r="72" spans="1:17" ht="15.75" customHeight="1" x14ac:dyDescent="0.3">
      <c r="A72" s="17" t="s">
        <v>38</v>
      </c>
      <c r="B72" s="18">
        <f t="shared" ref="B72:I72" si="101">+IFERROR(B69/B79,"nm")</f>
        <v>0.1746987951807229</v>
      </c>
      <c r="C72" s="18">
        <f t="shared" si="101"/>
        <v>0.13145539906103287</v>
      </c>
      <c r="D72" s="18">
        <f t="shared" si="101"/>
        <v>0.14730878186968838</v>
      </c>
      <c r="E72" s="18">
        <f t="shared" si="101"/>
        <v>0.13663133097762073</v>
      </c>
      <c r="F72" s="18">
        <f t="shared" si="101"/>
        <v>0.11948331539289558</v>
      </c>
      <c r="G72" s="18">
        <f t="shared" si="101"/>
        <v>0.14915254237288136</v>
      </c>
      <c r="H72" s="18">
        <f t="shared" si="101"/>
        <v>0.1384928716904277</v>
      </c>
      <c r="I72" s="18">
        <f t="shared" si="101"/>
        <v>0.14565217391304347</v>
      </c>
      <c r="J72" s="21">
        <v>0.14599999999999999</v>
      </c>
      <c r="K72" s="21">
        <v>0.14199999999999999</v>
      </c>
      <c r="L72" s="21">
        <v>0.13900000000000001</v>
      </c>
      <c r="M72" s="21">
        <v>0.13800000000000001</v>
      </c>
      <c r="N72" s="21">
        <v>0.13600000000000001</v>
      </c>
    </row>
    <row r="73" spans="1:17" ht="15.75" customHeight="1" x14ac:dyDescent="0.3">
      <c r="A73" s="7" t="s">
        <v>26</v>
      </c>
      <c r="B73" s="7">
        <f>Historicals!B137</f>
        <v>1524</v>
      </c>
      <c r="C73" s="7">
        <f>Historicals!C137</f>
        <v>1787</v>
      </c>
      <c r="D73" s="7">
        <f>Historicals!D137</f>
        <v>1507</v>
      </c>
      <c r="E73" s="7">
        <f>Historicals!E137</f>
        <v>1587</v>
      </c>
      <c r="F73" s="7">
        <f>Historicals!F137</f>
        <v>1995</v>
      </c>
      <c r="G73" s="7">
        <f>Historicals!G137</f>
        <v>1541</v>
      </c>
      <c r="H73" s="7">
        <f>Historicals!H137</f>
        <v>2435</v>
      </c>
      <c r="I73" s="7">
        <f>Historicals!I137</f>
        <v>3293</v>
      </c>
      <c r="J73" s="7">
        <f>J66-J69</f>
        <v>3505.7410528200007</v>
      </c>
      <c r="K73" s="7">
        <f t="shared" ref="K73:N73" si="102">K66-K69</f>
        <v>3318.4936662043606</v>
      </c>
      <c r="L73" s="7">
        <f t="shared" si="102"/>
        <v>3241.8436334669477</v>
      </c>
      <c r="M73" s="7">
        <f t="shared" si="102"/>
        <v>3498.7796217913974</v>
      </c>
      <c r="N73" s="7">
        <f t="shared" si="102"/>
        <v>3409.2158720092425</v>
      </c>
    </row>
    <row r="74" spans="1:17" ht="15.75" customHeight="1" x14ac:dyDescent="0.3">
      <c r="A74" s="17" t="s">
        <v>21</v>
      </c>
      <c r="B74" s="18" t="str">
        <f t="shared" ref="B74:I74" si="103">+IFERROR(B73/A73-1,"nm")</f>
        <v>nm</v>
      </c>
      <c r="C74" s="18">
        <f t="shared" si="103"/>
        <v>0.17257217847769035</v>
      </c>
      <c r="D74" s="18">
        <f t="shared" si="103"/>
        <v>-0.15668718522663683</v>
      </c>
      <c r="E74" s="18">
        <f t="shared" si="103"/>
        <v>5.3085600530855981E-2</v>
      </c>
      <c r="F74" s="18">
        <f t="shared" si="103"/>
        <v>0.25708884688090738</v>
      </c>
      <c r="G74" s="18">
        <f t="shared" si="103"/>
        <v>-0.22756892230576442</v>
      </c>
      <c r="H74" s="18">
        <f t="shared" si="103"/>
        <v>0.58014276443867629</v>
      </c>
      <c r="I74" s="18">
        <f t="shared" si="103"/>
        <v>0.3523613963039014</v>
      </c>
      <c r="J74" s="18">
        <f t="shared" ref="J74" si="104">+IFERROR(J73/I73-1,"nm")</f>
        <v>6.4604024542970206E-2</v>
      </c>
      <c r="K74" s="18">
        <f t="shared" ref="K74" si="105">+IFERROR(K73/J73-1,"nm")</f>
        <v>-5.3411642159086226E-2</v>
      </c>
      <c r="L74" s="18">
        <f t="shared" ref="L74" si="106">+IFERROR(L73/K73-1,"nm")</f>
        <v>-2.3097839094291195E-2</v>
      </c>
      <c r="M74" s="18">
        <f t="shared" ref="M74" si="107">+IFERROR(M73/L73-1,"nm")</f>
        <v>7.9256132427853343E-2</v>
      </c>
      <c r="N74" s="18">
        <f t="shared" ref="N74" si="108">+IFERROR(N73/M73-1,"nm")</f>
        <v>-2.5598568490660667E-2</v>
      </c>
      <c r="Q74" s="1" t="s">
        <v>30</v>
      </c>
    </row>
    <row r="75" spans="1:17" ht="15.75" customHeight="1" x14ac:dyDescent="0.3">
      <c r="A75" s="17" t="s">
        <v>23</v>
      </c>
      <c r="B75" s="18">
        <f t="shared" ref="B75:I75" si="109">+IFERROR(B73/B$52,"nm")</f>
        <v>0.21386472074094864</v>
      </c>
      <c r="C75" s="18">
        <f t="shared" si="109"/>
        <v>0.24429254955570745</v>
      </c>
      <c r="D75" s="18">
        <f t="shared" si="109"/>
        <v>0.1890840652446675</v>
      </c>
      <c r="E75" s="18">
        <f t="shared" si="109"/>
        <v>0.17171607877082881</v>
      </c>
      <c r="F75" s="18">
        <f t="shared" si="109"/>
        <v>0.20332246229107215</v>
      </c>
      <c r="G75" s="18">
        <f t="shared" si="109"/>
        <v>0.16486573232053064</v>
      </c>
      <c r="H75" s="18">
        <f t="shared" si="109"/>
        <v>0.21255237430167598</v>
      </c>
      <c r="I75" s="18">
        <f t="shared" si="109"/>
        <v>0.26388332398429359</v>
      </c>
      <c r="J75" s="18">
        <f t="shared" ref="J75:N75" si="110">J73/J52</f>
        <v>0.26872173386764825</v>
      </c>
      <c r="K75" s="18">
        <f t="shared" si="110"/>
        <v>0.24168534311564924</v>
      </c>
      <c r="L75" s="18">
        <f t="shared" si="110"/>
        <v>0.22844244839664149</v>
      </c>
      <c r="M75" s="18">
        <f t="shared" si="110"/>
        <v>0.23797986983905303</v>
      </c>
      <c r="N75" s="18">
        <f t="shared" si="110"/>
        <v>0.22548669079030703</v>
      </c>
    </row>
    <row r="76" spans="1:17" ht="15.75" customHeight="1" x14ac:dyDescent="0.3">
      <c r="A76" s="7" t="s">
        <v>27</v>
      </c>
      <c r="B76" s="7">
        <f>Historicals!B159</f>
        <v>236</v>
      </c>
      <c r="C76" s="7">
        <f>Historicals!C159</f>
        <v>232</v>
      </c>
      <c r="D76" s="7">
        <f>Historicals!D159</f>
        <v>172</v>
      </c>
      <c r="E76" s="7">
        <f>Historicals!E159</f>
        <v>240</v>
      </c>
      <c r="F76" s="7">
        <f>Historicals!F159</f>
        <v>233</v>
      </c>
      <c r="G76" s="7">
        <f>Historicals!G159</f>
        <v>139</v>
      </c>
      <c r="H76" s="7">
        <f>Historicals!H159</f>
        <v>153</v>
      </c>
      <c r="I76" s="7">
        <f>Historicals!I159</f>
        <v>197</v>
      </c>
      <c r="J76" s="7">
        <f>J78*J52</f>
        <v>221.78183000000004</v>
      </c>
      <c r="K76" s="7">
        <f t="shared" ref="K76:N76" si="111">K78*K52</f>
        <v>233.42082560000006</v>
      </c>
      <c r="L76" s="7">
        <f t="shared" si="111"/>
        <v>241.24825379760003</v>
      </c>
      <c r="M76" s="7">
        <f t="shared" si="111"/>
        <v>264.63596788601279</v>
      </c>
      <c r="N76" s="7">
        <f t="shared" si="111"/>
        <v>287.26795954628506</v>
      </c>
    </row>
    <row r="77" spans="1:17" ht="15.75" customHeight="1" x14ac:dyDescent="0.3">
      <c r="A77" s="17" t="s">
        <v>21</v>
      </c>
      <c r="B77" s="18" t="str">
        <f t="shared" ref="B77:I77" si="112">+IFERROR(B76/A76-1,"nm")</f>
        <v>nm</v>
      </c>
      <c r="C77" s="18">
        <f t="shared" si="112"/>
        <v>-1.6949152542372836E-2</v>
      </c>
      <c r="D77" s="18">
        <f t="shared" si="112"/>
        <v>-0.25862068965517238</v>
      </c>
      <c r="E77" s="18">
        <f t="shared" si="112"/>
        <v>0.39534883720930236</v>
      </c>
      <c r="F77" s="18">
        <f t="shared" si="112"/>
        <v>-2.9166666666666674E-2</v>
      </c>
      <c r="G77" s="18">
        <f t="shared" si="112"/>
        <v>-0.40343347639484983</v>
      </c>
      <c r="H77" s="18">
        <f t="shared" si="112"/>
        <v>0.10071942446043169</v>
      </c>
      <c r="I77" s="18">
        <f t="shared" si="112"/>
        <v>0.28758169934640532</v>
      </c>
      <c r="J77" s="18">
        <f>(J76-I76)/I76</f>
        <v>0.12579609137055858</v>
      </c>
      <c r="K77" s="18">
        <f t="shared" ref="K77:N77" si="113">(K76-J76)/J76</f>
        <v>5.247948220104421E-2</v>
      </c>
      <c r="L77" s="18">
        <f t="shared" si="113"/>
        <v>3.3533546878175252E-2</v>
      </c>
      <c r="M77" s="18">
        <f t="shared" si="113"/>
        <v>9.6944594293454853E-2</v>
      </c>
      <c r="N77" s="18">
        <f t="shared" si="113"/>
        <v>8.5521223139329985E-2</v>
      </c>
      <c r="Q77" s="1" t="s">
        <v>45</v>
      </c>
    </row>
    <row r="78" spans="1:17" ht="15.75" customHeight="1" x14ac:dyDescent="0.3">
      <c r="A78" s="17" t="s">
        <v>25</v>
      </c>
      <c r="B78" s="18">
        <f t="shared" ref="B78:I78" si="114">+IFERROR(B76/B$52,"nm")</f>
        <v>3.3118158854897557E-2</v>
      </c>
      <c r="C78" s="18">
        <f t="shared" si="114"/>
        <v>3.171565276828435E-2</v>
      </c>
      <c r="D78" s="18">
        <f t="shared" si="114"/>
        <v>2.1580928481806774E-2</v>
      </c>
      <c r="E78" s="18">
        <f t="shared" si="114"/>
        <v>2.5968405107119671E-2</v>
      </c>
      <c r="F78" s="18">
        <f t="shared" si="114"/>
        <v>2.3746432939258051E-2</v>
      </c>
      <c r="G78" s="18">
        <f t="shared" si="114"/>
        <v>1.4871081630469669E-2</v>
      </c>
      <c r="H78" s="18">
        <f t="shared" si="114"/>
        <v>1.3355446927374302E-2</v>
      </c>
      <c r="I78" s="18">
        <f t="shared" si="114"/>
        <v>1.5786521355877874E-2</v>
      </c>
      <c r="J78" s="21">
        <v>1.7000000000000001E-2</v>
      </c>
      <c r="K78" s="21">
        <v>1.7000000000000001E-2</v>
      </c>
      <c r="L78" s="21">
        <v>1.7000000000000001E-2</v>
      </c>
      <c r="M78" s="21">
        <v>1.7999999999999999E-2</v>
      </c>
      <c r="N78" s="21">
        <v>1.9E-2</v>
      </c>
    </row>
    <row r="79" spans="1:17" ht="15.75" customHeight="1" x14ac:dyDescent="0.3">
      <c r="A79" s="7" t="s">
        <v>28</v>
      </c>
      <c r="B79" s="7">
        <f>Historicals!B148</f>
        <v>498</v>
      </c>
      <c r="C79" s="7">
        <f>Historicals!C148</f>
        <v>639</v>
      </c>
      <c r="D79" s="7">
        <f>Historicals!D148</f>
        <v>706</v>
      </c>
      <c r="E79" s="7">
        <f>Historicals!E148</f>
        <v>849</v>
      </c>
      <c r="F79" s="7">
        <f>Historicals!F148</f>
        <v>929</v>
      </c>
      <c r="G79" s="7">
        <f>Historicals!G148</f>
        <v>885</v>
      </c>
      <c r="H79" s="7">
        <f>Historicals!H148</f>
        <v>982</v>
      </c>
      <c r="I79" s="7">
        <f>Historicals!I148</f>
        <v>920</v>
      </c>
      <c r="J79" s="7">
        <f>I79-I69+J76</f>
        <v>1007.78183</v>
      </c>
      <c r="K79" s="7">
        <f t="shared" ref="K79:N79" si="115">J79-J69+K76</f>
        <v>1094.06650842</v>
      </c>
      <c r="L79" s="7">
        <f t="shared" si="115"/>
        <v>1179.95731802196</v>
      </c>
      <c r="M79" s="7">
        <f t="shared" si="115"/>
        <v>1280.5792187029203</v>
      </c>
      <c r="N79" s="7">
        <f t="shared" si="115"/>
        <v>1391.1272460682023</v>
      </c>
    </row>
    <row r="80" spans="1:17" ht="15.75" customHeight="1" x14ac:dyDescent="0.3">
      <c r="A80" s="17" t="s">
        <v>21</v>
      </c>
      <c r="B80" s="18" t="str">
        <f t="shared" ref="B80:I80" si="116">+IFERROR(B79/A79-1,"nm")</f>
        <v>nm</v>
      </c>
      <c r="C80" s="18">
        <f t="shared" si="116"/>
        <v>0.2831325301204819</v>
      </c>
      <c r="D80" s="18">
        <f t="shared" si="116"/>
        <v>0.10485133020344284</v>
      </c>
      <c r="E80" s="18">
        <f t="shared" si="116"/>
        <v>0.2025495750708215</v>
      </c>
      <c r="F80" s="18">
        <f t="shared" si="116"/>
        <v>9.4228504122497059E-2</v>
      </c>
      <c r="G80" s="18">
        <f t="shared" si="116"/>
        <v>-4.7362755651237931E-2</v>
      </c>
      <c r="H80" s="18">
        <f t="shared" si="116"/>
        <v>0.1096045197740112</v>
      </c>
      <c r="I80" s="18">
        <f t="shared" si="116"/>
        <v>-6.313645621181263E-2</v>
      </c>
      <c r="J80" s="18">
        <f t="shared" ref="J80" si="117">+IFERROR(J79/I79-1,"nm")</f>
        <v>9.5415032608695771E-2</v>
      </c>
      <c r="K80" s="18">
        <f t="shared" ref="K80" si="118">+IFERROR(K79/J79-1,"nm")</f>
        <v>8.5618410504583187E-2</v>
      </c>
      <c r="L80" s="18">
        <f t="shared" ref="L80" si="119">+IFERROR(L79/K79-1,"nm")</f>
        <v>7.8506022203348014E-2</v>
      </c>
      <c r="M80" s="18">
        <f t="shared" ref="M80" si="120">+IFERROR(M79/L79-1,"nm")</f>
        <v>8.5275881715483948E-2</v>
      </c>
      <c r="N80" s="18">
        <f t="shared" ref="N80" si="121">+IFERROR(N79/M79-1,"nm")</f>
        <v>8.6326582339243618E-2</v>
      </c>
      <c r="Q80" s="1" t="s">
        <v>46</v>
      </c>
    </row>
    <row r="81" spans="1:17" ht="15.75" customHeight="1" x14ac:dyDescent="0.3">
      <c r="A81" s="17" t="s">
        <v>25</v>
      </c>
      <c r="B81" s="18">
        <f t="shared" ref="B81:N81" si="122">+IFERROR(B79/B$52,"nm")</f>
        <v>6.9884928431097393E-2</v>
      </c>
      <c r="C81" s="18">
        <f t="shared" si="122"/>
        <v>8.7354750512645254E-2</v>
      </c>
      <c r="D81" s="18">
        <f t="shared" si="122"/>
        <v>8.8582183186951061E-2</v>
      </c>
      <c r="E81" s="18">
        <f t="shared" si="122"/>
        <v>9.1863233066435832E-2</v>
      </c>
      <c r="F81" s="18">
        <f t="shared" si="122"/>
        <v>9.4679983693436609E-2</v>
      </c>
      <c r="G81" s="18">
        <f t="shared" si="122"/>
        <v>9.4682785920616241E-2</v>
      </c>
      <c r="H81" s="18">
        <f t="shared" si="122"/>
        <v>8.5719273743016758E-2</v>
      </c>
      <c r="I81" s="18">
        <f t="shared" si="122"/>
        <v>7.37238560782114E-2</v>
      </c>
      <c r="J81" s="18">
        <f t="shared" si="122"/>
        <v>7.7248398166793006E-2</v>
      </c>
      <c r="K81" s="18">
        <f t="shared" si="122"/>
        <v>7.9680682284160323E-2</v>
      </c>
      <c r="L81" s="18">
        <f t="shared" si="122"/>
        <v>8.3147853261571966E-2</v>
      </c>
      <c r="M81" s="18">
        <f t="shared" si="122"/>
        <v>8.7102392470630147E-2</v>
      </c>
      <c r="N81" s="18">
        <f t="shared" si="122"/>
        <v>9.2009626541860026E-2</v>
      </c>
    </row>
    <row r="82" spans="1:17" ht="15.75" customHeight="1" x14ac:dyDescent="0.3">
      <c r="A82" s="19" t="s">
        <v>12</v>
      </c>
      <c r="B82" s="19"/>
      <c r="C82" s="19"/>
      <c r="D82" s="19"/>
      <c r="E82" s="19"/>
      <c r="F82" s="19"/>
      <c r="G82" s="19"/>
      <c r="H82" s="19"/>
      <c r="I82" s="19"/>
      <c r="J82" s="15"/>
      <c r="K82" s="15"/>
      <c r="L82" s="15"/>
      <c r="M82" s="15"/>
      <c r="N82" s="15"/>
    </row>
    <row r="83" spans="1:17" ht="15.75" customHeight="1" x14ac:dyDescent="0.3">
      <c r="A83" s="7" t="s">
        <v>29</v>
      </c>
      <c r="B83" s="7">
        <f>Historicals!B117</f>
        <v>3067</v>
      </c>
      <c r="C83" s="7">
        <f>Historicals!C117</f>
        <v>3785</v>
      </c>
      <c r="D83" s="7">
        <f>Historicals!D117</f>
        <v>4237</v>
      </c>
      <c r="E83" s="7">
        <f>Historicals!E117</f>
        <v>5134</v>
      </c>
      <c r="F83" s="7">
        <f>Historicals!F117</f>
        <v>6208</v>
      </c>
      <c r="G83" s="7">
        <f>Historicals!G117</f>
        <v>6679</v>
      </c>
      <c r="H83" s="7">
        <f>Historicals!H117</f>
        <v>8290</v>
      </c>
      <c r="I83" s="7">
        <f>Historicals!I117</f>
        <v>7547</v>
      </c>
      <c r="J83" s="7">
        <f t="shared" ref="J83:N83" si="123">+SUM(J85+J89+J93)</f>
        <v>7684.3499999999995</v>
      </c>
      <c r="K83" s="7">
        <f t="shared" si="123"/>
        <v>7985.2369799999997</v>
      </c>
      <c r="L83" s="7">
        <f t="shared" si="123"/>
        <v>8602.1811543599997</v>
      </c>
      <c r="M83" s="7">
        <f t="shared" si="123"/>
        <v>9463.9137114455989</v>
      </c>
      <c r="N83" s="7">
        <f t="shared" si="123"/>
        <v>10530.502002825724</v>
      </c>
    </row>
    <row r="84" spans="1:17" ht="15.75" customHeight="1" x14ac:dyDescent="0.3">
      <c r="A84" s="17" t="s">
        <v>21</v>
      </c>
      <c r="B84" s="18" t="str">
        <f t="shared" ref="B84:N84" si="124">+IFERROR(B83/A83-1,"nm")</f>
        <v>nm</v>
      </c>
      <c r="C84" s="18">
        <f t="shared" si="124"/>
        <v>0.23410498858819695</v>
      </c>
      <c r="D84" s="18">
        <f t="shared" si="124"/>
        <v>0.11941875825627468</v>
      </c>
      <c r="E84" s="18">
        <f t="shared" si="124"/>
        <v>0.21170639603493036</v>
      </c>
      <c r="F84" s="18">
        <f t="shared" si="124"/>
        <v>0.20919361121932223</v>
      </c>
      <c r="G84" s="18">
        <f t="shared" si="124"/>
        <v>7.5869845360824639E-2</v>
      </c>
      <c r="H84" s="18">
        <f t="shared" si="124"/>
        <v>0.24120377301991325</v>
      </c>
      <c r="I84" s="18">
        <f t="shared" si="124"/>
        <v>-8.9626055488540413E-2</v>
      </c>
      <c r="J84" s="18">
        <f t="shared" si="124"/>
        <v>1.8199284483900735E-2</v>
      </c>
      <c r="K84" s="18">
        <f t="shared" si="124"/>
        <v>3.9155814089675722E-2</v>
      </c>
      <c r="L84" s="18">
        <f t="shared" si="124"/>
        <v>7.726059676190089E-2</v>
      </c>
      <c r="M84" s="18">
        <f t="shared" si="124"/>
        <v>0.10017605321515832</v>
      </c>
      <c r="N84" s="18">
        <f t="shared" si="124"/>
        <v>0.11270055115677979</v>
      </c>
      <c r="Q84" s="1" t="s">
        <v>30</v>
      </c>
    </row>
    <row r="85" spans="1:17" ht="15.75" customHeight="1" x14ac:dyDescent="0.3">
      <c r="A85" s="20" t="s">
        <v>8</v>
      </c>
      <c r="B85" s="6">
        <f>Historicals!B118</f>
        <v>2016</v>
      </c>
      <c r="C85" s="6">
        <f>Historicals!C118</f>
        <v>2599</v>
      </c>
      <c r="D85" s="6">
        <f>Historicals!D118</f>
        <v>2920</v>
      </c>
      <c r="E85" s="6">
        <f>Historicals!E118</f>
        <v>3496</v>
      </c>
      <c r="F85" s="6">
        <f>Historicals!F118</f>
        <v>4262</v>
      </c>
      <c r="G85" s="6">
        <f>Historicals!G118</f>
        <v>4635</v>
      </c>
      <c r="H85" s="6">
        <f>Historicals!H118</f>
        <v>5748</v>
      </c>
      <c r="I85" s="6">
        <f>Historicals!I118</f>
        <v>5416</v>
      </c>
      <c r="J85" s="6">
        <f t="shared" ref="J85:N85" si="125">+I85*(1+J86)</f>
        <v>5524.32</v>
      </c>
      <c r="K85" s="6">
        <f t="shared" si="125"/>
        <v>5750.8171199999997</v>
      </c>
      <c r="L85" s="6">
        <f t="shared" si="125"/>
        <v>6245.3873923199999</v>
      </c>
      <c r="M85" s="6">
        <f t="shared" si="125"/>
        <v>6951.1161676521597</v>
      </c>
      <c r="N85" s="6">
        <f t="shared" si="125"/>
        <v>7792.2012239380711</v>
      </c>
    </row>
    <row r="86" spans="1:17" ht="15.75" customHeight="1" x14ac:dyDescent="0.3">
      <c r="A86" s="17" t="s">
        <v>21</v>
      </c>
      <c r="B86" s="18" t="str">
        <f t="shared" ref="B86:I86" si="126">+IFERROR(B85/A85-1,"nm")</f>
        <v>nm</v>
      </c>
      <c r="C86" s="18">
        <f t="shared" si="126"/>
        <v>0.28918650793650791</v>
      </c>
      <c r="D86" s="18">
        <f t="shared" si="126"/>
        <v>0.12350904193920731</v>
      </c>
      <c r="E86" s="18">
        <f t="shared" si="126"/>
        <v>0.19726027397260282</v>
      </c>
      <c r="F86" s="18">
        <f t="shared" si="126"/>
        <v>0.21910755148741412</v>
      </c>
      <c r="G86" s="18">
        <f t="shared" si="126"/>
        <v>8.7517597372125833E-2</v>
      </c>
      <c r="H86" s="18">
        <f t="shared" si="126"/>
        <v>0.24012944983818763</v>
      </c>
      <c r="I86" s="18">
        <f t="shared" si="126"/>
        <v>-5.7759220598469052E-2</v>
      </c>
      <c r="J86" s="18">
        <f t="shared" ref="J86:N86" si="127">+J87+J88</f>
        <v>0.02</v>
      </c>
      <c r="K86" s="18">
        <f t="shared" si="127"/>
        <v>4.1000000000000002E-2</v>
      </c>
      <c r="L86" s="18">
        <f t="shared" si="127"/>
        <v>8.5999999999999993E-2</v>
      </c>
      <c r="M86" s="18">
        <f t="shared" si="127"/>
        <v>0.113</v>
      </c>
      <c r="N86" s="18">
        <f t="shared" si="127"/>
        <v>0.121</v>
      </c>
      <c r="Q86" s="1" t="s">
        <v>47</v>
      </c>
    </row>
    <row r="87" spans="1:17" ht="15.75" customHeight="1" x14ac:dyDescent="0.3">
      <c r="A87" s="17" t="s">
        <v>32</v>
      </c>
      <c r="B87" s="18">
        <f>Historicals!B190</f>
        <v>0.28000000000000003</v>
      </c>
      <c r="C87" s="18">
        <f>Historicals!C190</f>
        <v>0.33</v>
      </c>
      <c r="D87" s="18">
        <f>Historicals!D190</f>
        <v>0.18</v>
      </c>
      <c r="E87" s="18">
        <f>Historicals!E190</f>
        <v>0.16</v>
      </c>
      <c r="F87" s="18">
        <f>Historicals!F190</f>
        <v>0.25</v>
      </c>
      <c r="G87" s="18">
        <f>Historicals!G190</f>
        <v>0.12</v>
      </c>
      <c r="H87" s="18">
        <f>Historicals!H190</f>
        <v>0.19</v>
      </c>
      <c r="I87" s="18">
        <f>Historicals!I190</f>
        <v>-0.1</v>
      </c>
      <c r="J87" s="21">
        <v>0.02</v>
      </c>
      <c r="K87" s="21">
        <v>4.1000000000000002E-2</v>
      </c>
      <c r="L87" s="21">
        <v>8.5999999999999993E-2</v>
      </c>
      <c r="M87" s="21">
        <v>0.113</v>
      </c>
      <c r="N87" s="21">
        <v>0.121</v>
      </c>
    </row>
    <row r="88" spans="1:17" ht="15.75" customHeight="1" x14ac:dyDescent="0.3">
      <c r="A88" s="17" t="s">
        <v>33</v>
      </c>
      <c r="B88" s="18" t="str">
        <f t="shared" ref="B88:I88" si="128">+IFERROR(B86-B87,"nm")</f>
        <v>nm</v>
      </c>
      <c r="C88" s="18">
        <f t="shared" si="128"/>
        <v>-4.0813492063492107E-2</v>
      </c>
      <c r="D88" s="18">
        <f t="shared" si="128"/>
        <v>-5.6490958060792684E-2</v>
      </c>
      <c r="E88" s="18">
        <f t="shared" si="128"/>
        <v>3.7260273972602814E-2</v>
      </c>
      <c r="F88" s="18">
        <f t="shared" si="128"/>
        <v>-3.0892448512585879E-2</v>
      </c>
      <c r="G88" s="18">
        <f t="shared" si="128"/>
        <v>-3.2482402627874163E-2</v>
      </c>
      <c r="H88" s="18">
        <f t="shared" si="128"/>
        <v>5.0129449838187623E-2</v>
      </c>
      <c r="I88" s="18">
        <f t="shared" si="128"/>
        <v>4.2240779401530953E-2</v>
      </c>
      <c r="J88" s="21">
        <v>0</v>
      </c>
      <c r="K88" s="21">
        <v>0</v>
      </c>
      <c r="L88" s="21">
        <v>0</v>
      </c>
      <c r="M88" s="21">
        <v>0</v>
      </c>
      <c r="N88" s="21">
        <v>0</v>
      </c>
    </row>
    <row r="89" spans="1:17" ht="15.75" customHeight="1" x14ac:dyDescent="0.3">
      <c r="A89" s="20" t="s">
        <v>9</v>
      </c>
      <c r="B89" s="6">
        <f>Historicals!B119</f>
        <v>925</v>
      </c>
      <c r="C89" s="6">
        <f>Historicals!C119</f>
        <v>1055</v>
      </c>
      <c r="D89" s="6">
        <f>Historicals!D119</f>
        <v>1188</v>
      </c>
      <c r="E89" s="6">
        <f>Historicals!E119</f>
        <v>1508</v>
      </c>
      <c r="F89" s="6">
        <f>Historicals!F119</f>
        <v>1808</v>
      </c>
      <c r="G89" s="6">
        <f>Historicals!G119</f>
        <v>1896</v>
      </c>
      <c r="H89" s="6">
        <f>Historicals!H119</f>
        <v>2347</v>
      </c>
      <c r="I89" s="6">
        <f>Historicals!I119</f>
        <v>1938</v>
      </c>
      <c r="J89" s="6">
        <f t="shared" ref="J89:N89" si="129">+I89*(1+J90)</f>
        <v>1957.38</v>
      </c>
      <c r="K89" s="6">
        <f t="shared" si="129"/>
        <v>2020.0161600000001</v>
      </c>
      <c r="L89" s="6">
        <f t="shared" si="129"/>
        <v>2129.0970326400002</v>
      </c>
      <c r="M89" s="6">
        <f t="shared" si="129"/>
        <v>2269.6174367942403</v>
      </c>
      <c r="N89" s="6">
        <f t="shared" si="129"/>
        <v>2476.1526235425163</v>
      </c>
    </row>
    <row r="90" spans="1:17" ht="15.75" customHeight="1" x14ac:dyDescent="0.3">
      <c r="A90" s="17" t="s">
        <v>21</v>
      </c>
      <c r="B90" s="18" t="str">
        <f t="shared" ref="B90:I90" si="130">+IFERROR(B89/A89-1,"nm")</f>
        <v>nm</v>
      </c>
      <c r="C90" s="18">
        <f t="shared" si="130"/>
        <v>0.14054054054054044</v>
      </c>
      <c r="D90" s="18">
        <f t="shared" si="130"/>
        <v>0.12606635071090055</v>
      </c>
      <c r="E90" s="18">
        <f t="shared" si="130"/>
        <v>0.26936026936026947</v>
      </c>
      <c r="F90" s="18">
        <f t="shared" si="130"/>
        <v>0.19893899204244025</v>
      </c>
      <c r="G90" s="18">
        <f t="shared" si="130"/>
        <v>4.8672566371681381E-2</v>
      </c>
      <c r="H90" s="18">
        <f t="shared" si="130"/>
        <v>0.2378691983122363</v>
      </c>
      <c r="I90" s="18">
        <f t="shared" si="130"/>
        <v>-0.17426501917341286</v>
      </c>
      <c r="J90" s="18">
        <f t="shared" ref="J90:N90" si="131">+J91+J92</f>
        <v>0.01</v>
      </c>
      <c r="K90" s="18">
        <f t="shared" si="131"/>
        <v>3.2000000000000001E-2</v>
      </c>
      <c r="L90" s="18">
        <f t="shared" si="131"/>
        <v>5.3999999999999999E-2</v>
      </c>
      <c r="M90" s="18">
        <f t="shared" si="131"/>
        <v>6.6000000000000003E-2</v>
      </c>
      <c r="N90" s="18">
        <f t="shared" si="131"/>
        <v>9.0999999999999998E-2</v>
      </c>
      <c r="Q90" s="1" t="s">
        <v>47</v>
      </c>
    </row>
    <row r="91" spans="1:17" ht="15.75" customHeight="1" x14ac:dyDescent="0.3">
      <c r="A91" s="17" t="s">
        <v>32</v>
      </c>
      <c r="B91" s="18">
        <f>Historicals!B191</f>
        <v>7.0000000000000007E-2</v>
      </c>
      <c r="C91" s="18">
        <f>Historicals!C191</f>
        <v>0.17</v>
      </c>
      <c r="D91" s="18">
        <f>Historicals!D191</f>
        <v>0.18</v>
      </c>
      <c r="E91" s="18">
        <f>Historicals!E191</f>
        <v>0.23</v>
      </c>
      <c r="F91" s="18">
        <f>Historicals!F191</f>
        <v>0.23</v>
      </c>
      <c r="G91" s="18">
        <f>Historicals!G191</f>
        <v>0.08</v>
      </c>
      <c r="H91" s="18">
        <f>Historicals!H191</f>
        <v>0.19</v>
      </c>
      <c r="I91" s="18">
        <f>Historicals!I191</f>
        <v>-0.21</v>
      </c>
      <c r="J91" s="21">
        <v>0.01</v>
      </c>
      <c r="K91" s="21">
        <v>3.2000000000000001E-2</v>
      </c>
      <c r="L91" s="21">
        <v>5.3999999999999999E-2</v>
      </c>
      <c r="M91" s="21">
        <v>6.6000000000000003E-2</v>
      </c>
      <c r="N91" s="21">
        <v>9.0999999999999998E-2</v>
      </c>
    </row>
    <row r="92" spans="1:17" ht="15.75" customHeight="1" x14ac:dyDescent="0.3">
      <c r="A92" s="17" t="s">
        <v>33</v>
      </c>
      <c r="B92" s="18" t="str">
        <f t="shared" ref="B92:I92" si="132">+IFERROR(B90-B91,"nm")</f>
        <v>nm</v>
      </c>
      <c r="C92" s="18">
        <f t="shared" si="132"/>
        <v>-2.9459459459459575E-2</v>
      </c>
      <c r="D92" s="18">
        <f t="shared" si="132"/>
        <v>-5.3933649289099439E-2</v>
      </c>
      <c r="E92" s="18">
        <f t="shared" si="132"/>
        <v>3.9360269360269456E-2</v>
      </c>
      <c r="F92" s="18">
        <f t="shared" si="132"/>
        <v>-3.1061007957559755E-2</v>
      </c>
      <c r="G92" s="18">
        <f t="shared" si="132"/>
        <v>-3.1327433628318621E-2</v>
      </c>
      <c r="H92" s="18">
        <f t="shared" si="132"/>
        <v>4.7869198312236294E-2</v>
      </c>
      <c r="I92" s="18">
        <f t="shared" si="132"/>
        <v>3.5734980826587132E-2</v>
      </c>
      <c r="J92" s="21">
        <v>0</v>
      </c>
      <c r="K92" s="21">
        <v>0</v>
      </c>
      <c r="L92" s="21">
        <v>0</v>
      </c>
      <c r="M92" s="21">
        <v>0</v>
      </c>
      <c r="N92" s="21">
        <v>0</v>
      </c>
    </row>
    <row r="93" spans="1:17" ht="15.75" customHeight="1" x14ac:dyDescent="0.3">
      <c r="A93" s="20" t="s">
        <v>10</v>
      </c>
      <c r="B93" s="6">
        <f>Historicals!B120</f>
        <v>126</v>
      </c>
      <c r="C93" s="6">
        <f>Historicals!C120</f>
        <v>131</v>
      </c>
      <c r="D93" s="6">
        <f>Historicals!D120</f>
        <v>129</v>
      </c>
      <c r="E93" s="6">
        <f>Historicals!E120</f>
        <v>130</v>
      </c>
      <c r="F93" s="6">
        <f>Historicals!F120</f>
        <v>138</v>
      </c>
      <c r="G93" s="6">
        <f>Historicals!G120</f>
        <v>148</v>
      </c>
      <c r="H93" s="6">
        <f>Historicals!H120</f>
        <v>195</v>
      </c>
      <c r="I93" s="6">
        <f>Historicals!I120</f>
        <v>193</v>
      </c>
      <c r="J93" s="6">
        <f t="shared" ref="J93:N93" si="133">+I93*(1+J94)</f>
        <v>202.65</v>
      </c>
      <c r="K93" s="6">
        <f t="shared" si="133"/>
        <v>214.40370000000001</v>
      </c>
      <c r="L93" s="6">
        <f t="shared" si="133"/>
        <v>227.69672940000004</v>
      </c>
      <c r="M93" s="6">
        <f t="shared" si="133"/>
        <v>243.18010699920006</v>
      </c>
      <c r="N93" s="6">
        <f t="shared" si="133"/>
        <v>262.1481553451377</v>
      </c>
    </row>
    <row r="94" spans="1:17" ht="15.75" customHeight="1" x14ac:dyDescent="0.3">
      <c r="A94" s="17" t="s">
        <v>21</v>
      </c>
      <c r="B94" s="18" t="str">
        <f t="shared" ref="B94:I94" si="134">+IFERROR(B93/A93-1,"nm")</f>
        <v>nm</v>
      </c>
      <c r="C94" s="18">
        <f t="shared" si="134"/>
        <v>3.9682539682539764E-2</v>
      </c>
      <c r="D94" s="18">
        <f t="shared" si="134"/>
        <v>-1.5267175572519109E-2</v>
      </c>
      <c r="E94" s="18">
        <f t="shared" si="134"/>
        <v>7.7519379844961378E-3</v>
      </c>
      <c r="F94" s="18">
        <f t="shared" si="134"/>
        <v>6.1538461538461542E-2</v>
      </c>
      <c r="G94" s="18">
        <f t="shared" si="134"/>
        <v>7.2463768115942129E-2</v>
      </c>
      <c r="H94" s="18">
        <f t="shared" si="134"/>
        <v>0.31756756756756754</v>
      </c>
      <c r="I94" s="18">
        <f t="shared" si="134"/>
        <v>-1.025641025641022E-2</v>
      </c>
      <c r="J94" s="18">
        <f t="shared" ref="J94:N94" si="135">+J95+J96</f>
        <v>0.05</v>
      </c>
      <c r="K94" s="18">
        <f t="shared" si="135"/>
        <v>5.8000000000000003E-2</v>
      </c>
      <c r="L94" s="18">
        <f t="shared" si="135"/>
        <v>6.2E-2</v>
      </c>
      <c r="M94" s="18">
        <f t="shared" si="135"/>
        <v>6.8000000000000005E-2</v>
      </c>
      <c r="N94" s="18">
        <f t="shared" si="135"/>
        <v>7.8E-2</v>
      </c>
      <c r="Q94" s="1" t="s">
        <v>47</v>
      </c>
    </row>
    <row r="95" spans="1:17" ht="15.75" customHeight="1" x14ac:dyDescent="0.3">
      <c r="A95" s="17" t="s">
        <v>32</v>
      </c>
      <c r="B95" s="18">
        <f>Historicals!B192</f>
        <v>0.01</v>
      </c>
      <c r="C95" s="18">
        <f>Historicals!C192</f>
        <v>7.0000000000000007E-2</v>
      </c>
      <c r="D95" s="18">
        <f>Historicals!D192</f>
        <v>0.03</v>
      </c>
      <c r="E95" s="18">
        <f>Historicals!E192</f>
        <v>-0.01</v>
      </c>
      <c r="F95" s="18">
        <f>Historicals!F192</f>
        <v>0.08</v>
      </c>
      <c r="G95" s="18">
        <f>Historicals!G192</f>
        <v>0.11</v>
      </c>
      <c r="H95" s="18">
        <f>Historicals!H192</f>
        <v>0.26</v>
      </c>
      <c r="I95" s="18">
        <f>Historicals!I192</f>
        <v>-0.06</v>
      </c>
      <c r="J95" s="21">
        <v>0.05</v>
      </c>
      <c r="K95" s="21">
        <v>5.8000000000000003E-2</v>
      </c>
      <c r="L95" s="21">
        <v>6.2E-2</v>
      </c>
      <c r="M95" s="21">
        <v>6.8000000000000005E-2</v>
      </c>
      <c r="N95" s="21">
        <v>7.8E-2</v>
      </c>
    </row>
    <row r="96" spans="1:17" ht="15.75" customHeight="1" x14ac:dyDescent="0.3">
      <c r="A96" s="17" t="s">
        <v>33</v>
      </c>
      <c r="B96" s="18" t="str">
        <f t="shared" ref="B96:I96" si="136">+IFERROR(B94-B95,"nm")</f>
        <v>nm</v>
      </c>
      <c r="C96" s="18">
        <f t="shared" si="136"/>
        <v>-3.0317460317460243E-2</v>
      </c>
      <c r="D96" s="18">
        <f t="shared" si="136"/>
        <v>-4.5267175572519108E-2</v>
      </c>
      <c r="E96" s="18">
        <f t="shared" si="136"/>
        <v>1.775193798449614E-2</v>
      </c>
      <c r="F96" s="18">
        <f t="shared" si="136"/>
        <v>-1.846153846153846E-2</v>
      </c>
      <c r="G96" s="18">
        <f t="shared" si="136"/>
        <v>-3.7536231884057872E-2</v>
      </c>
      <c r="H96" s="18">
        <f t="shared" si="136"/>
        <v>5.7567567567567535E-2</v>
      </c>
      <c r="I96" s="18">
        <f t="shared" si="136"/>
        <v>4.9743589743589778E-2</v>
      </c>
      <c r="J96" s="21">
        <v>0</v>
      </c>
      <c r="K96" s="21">
        <v>0</v>
      </c>
      <c r="L96" s="21">
        <v>0</v>
      </c>
      <c r="M96" s="21">
        <v>0</v>
      </c>
      <c r="N96" s="21">
        <v>0</v>
      </c>
    </row>
    <row r="97" spans="1:17" ht="15.75" customHeight="1" x14ac:dyDescent="0.3">
      <c r="A97" s="7" t="s">
        <v>22</v>
      </c>
      <c r="B97" s="7">
        <f t="shared" ref="B97:I97" si="137">B100+B104</f>
        <v>1039</v>
      </c>
      <c r="C97" s="7">
        <f t="shared" si="137"/>
        <v>1420</v>
      </c>
      <c r="D97" s="7">
        <f t="shared" si="137"/>
        <v>1561</v>
      </c>
      <c r="E97" s="7">
        <f t="shared" si="137"/>
        <v>1863</v>
      </c>
      <c r="F97" s="7">
        <f t="shared" si="137"/>
        <v>2426</v>
      </c>
      <c r="G97" s="7">
        <f t="shared" si="137"/>
        <v>2534</v>
      </c>
      <c r="H97" s="7">
        <f t="shared" si="137"/>
        <v>3289</v>
      </c>
      <c r="I97" s="7">
        <f t="shared" si="137"/>
        <v>2406</v>
      </c>
      <c r="J97" s="7">
        <f t="shared" ref="J97:N97" si="138">J99*J83</f>
        <v>2443.6232999999997</v>
      </c>
      <c r="K97" s="7">
        <f t="shared" si="138"/>
        <v>2651.0986773600002</v>
      </c>
      <c r="L97" s="7">
        <f t="shared" si="138"/>
        <v>2924.7415924823999</v>
      </c>
      <c r="M97" s="7">
        <f t="shared" si="138"/>
        <v>3179.8750070457213</v>
      </c>
      <c r="N97" s="7">
        <f t="shared" si="138"/>
        <v>3685.675700989003</v>
      </c>
    </row>
    <row r="98" spans="1:17" ht="15.75" customHeight="1" x14ac:dyDescent="0.3">
      <c r="A98" s="17" t="s">
        <v>21</v>
      </c>
      <c r="B98" s="18" t="str">
        <f t="shared" ref="B98:I98" si="139">+IFERROR(B97/A97-1,"nm")</f>
        <v>nm</v>
      </c>
      <c r="C98" s="18">
        <f t="shared" si="139"/>
        <v>0.36669874879692022</v>
      </c>
      <c r="D98" s="18">
        <f t="shared" si="139"/>
        <v>9.9295774647887303E-2</v>
      </c>
      <c r="E98" s="18">
        <f t="shared" si="139"/>
        <v>0.19346572709801402</v>
      </c>
      <c r="F98" s="18">
        <f t="shared" si="139"/>
        <v>0.3022007514761138</v>
      </c>
      <c r="G98" s="18">
        <f t="shared" si="139"/>
        <v>4.4517724649629109E-2</v>
      </c>
      <c r="H98" s="18">
        <f t="shared" si="139"/>
        <v>0.29794790844514596</v>
      </c>
      <c r="I98" s="18">
        <f t="shared" si="139"/>
        <v>-0.26847065977500761</v>
      </c>
      <c r="J98" s="18">
        <f t="shared" ref="J98:N98" si="140">(J97-I97)/I97</f>
        <v>1.5637281795511115E-2</v>
      </c>
      <c r="K98" s="18">
        <f t="shared" si="140"/>
        <v>8.4904812194252902E-2</v>
      </c>
      <c r="L98" s="18">
        <f t="shared" si="140"/>
        <v>0.10321868343086234</v>
      </c>
      <c r="M98" s="18">
        <f t="shared" si="140"/>
        <v>8.7232805530274099E-2</v>
      </c>
      <c r="N98" s="18">
        <f t="shared" si="140"/>
        <v>0.15906307412164553</v>
      </c>
    </row>
    <row r="99" spans="1:17" ht="15.75" customHeight="1" x14ac:dyDescent="0.3">
      <c r="A99" s="17" t="s">
        <v>23</v>
      </c>
      <c r="B99" s="18">
        <f t="shared" ref="B99:I99" si="141">+IFERROR(B97/B$83,"nm")</f>
        <v>0.33876752526899251</v>
      </c>
      <c r="C99" s="18">
        <f t="shared" si="141"/>
        <v>0.37516512549537651</v>
      </c>
      <c r="D99" s="18">
        <f t="shared" si="141"/>
        <v>0.36842105263157893</v>
      </c>
      <c r="E99" s="18">
        <f t="shared" si="141"/>
        <v>0.36287495130502534</v>
      </c>
      <c r="F99" s="18">
        <f t="shared" si="141"/>
        <v>0.3907860824742268</v>
      </c>
      <c r="G99" s="18">
        <f t="shared" si="141"/>
        <v>0.37939811349004343</v>
      </c>
      <c r="H99" s="18">
        <f t="shared" si="141"/>
        <v>0.39674306393244874</v>
      </c>
      <c r="I99" s="18">
        <f t="shared" si="141"/>
        <v>0.31880217304889358</v>
      </c>
      <c r="J99" s="21">
        <v>0.318</v>
      </c>
      <c r="K99" s="21">
        <v>0.33200000000000002</v>
      </c>
      <c r="L99" s="21">
        <v>0.34</v>
      </c>
      <c r="M99" s="21">
        <v>0.33600000000000002</v>
      </c>
      <c r="N99" s="21">
        <v>0.35</v>
      </c>
      <c r="O99" s="1"/>
      <c r="P99" s="1" t="s">
        <v>48</v>
      </c>
    </row>
    <row r="100" spans="1:17" ht="15.75" customHeight="1" x14ac:dyDescent="0.3">
      <c r="A100" s="7" t="s">
        <v>24</v>
      </c>
      <c r="B100" s="7">
        <f>Historicals!B171</f>
        <v>46</v>
      </c>
      <c r="C100" s="7">
        <f>Historicals!C171</f>
        <v>48</v>
      </c>
      <c r="D100" s="7">
        <f>Historicals!D171</f>
        <v>54</v>
      </c>
      <c r="E100" s="7">
        <f>Historicals!E171</f>
        <v>56</v>
      </c>
      <c r="F100" s="7">
        <f>Historicals!F171</f>
        <v>50</v>
      </c>
      <c r="G100" s="7">
        <f>Historicals!G171</f>
        <v>44</v>
      </c>
      <c r="H100" s="7">
        <f>Historicals!H171</f>
        <v>46</v>
      </c>
      <c r="I100" s="7">
        <f>Historicals!I171</f>
        <v>41</v>
      </c>
      <c r="J100" s="7">
        <f>J103*J110</f>
        <v>48.349235899999996</v>
      </c>
      <c r="K100" s="7">
        <f t="shared" ref="K100:N100" si="142">K103*K110</f>
        <v>55.817381400339997</v>
      </c>
      <c r="L100" s="7">
        <f t="shared" si="142"/>
        <v>63.196145391632399</v>
      </c>
      <c r="M100" s="7">
        <f t="shared" si="142"/>
        <v>69.969437799935903</v>
      </c>
      <c r="N100" s="7">
        <f t="shared" si="142"/>
        <v>76.929624842182264</v>
      </c>
    </row>
    <row r="101" spans="1:17" ht="15.75" customHeight="1" x14ac:dyDescent="0.3">
      <c r="A101" s="17" t="s">
        <v>21</v>
      </c>
      <c r="B101" s="18" t="str">
        <f t="shared" ref="B101:I101" si="143">+IFERROR(B100/A100-1,"nm")</f>
        <v>nm</v>
      </c>
      <c r="C101" s="18">
        <f t="shared" si="143"/>
        <v>4.3478260869565188E-2</v>
      </c>
      <c r="D101" s="18">
        <f t="shared" si="143"/>
        <v>0.125</v>
      </c>
      <c r="E101" s="18">
        <f t="shared" si="143"/>
        <v>3.7037037037036979E-2</v>
      </c>
      <c r="F101" s="18">
        <f t="shared" si="143"/>
        <v>-0.1071428571428571</v>
      </c>
      <c r="G101" s="18">
        <f t="shared" si="143"/>
        <v>-0.12</v>
      </c>
      <c r="H101" s="18">
        <f t="shared" si="143"/>
        <v>4.5454545454545414E-2</v>
      </c>
      <c r="I101" s="18">
        <f t="shared" si="143"/>
        <v>-0.10869565217391308</v>
      </c>
      <c r="J101" s="18">
        <f>(J100-I100)/(I100)</f>
        <v>0.17924965609756088</v>
      </c>
      <c r="K101" s="18">
        <f t="shared" ref="K101:N101" si="144">(K100-J100)/(J100)</f>
        <v>0.15446253412952077</v>
      </c>
      <c r="L101" s="18">
        <f t="shared" si="144"/>
        <v>0.13219473587213923</v>
      </c>
      <c r="M101" s="18">
        <f t="shared" si="144"/>
        <v>0.1071788851413133</v>
      </c>
      <c r="N101" s="18">
        <f t="shared" si="144"/>
        <v>9.9474674387804454E-2</v>
      </c>
      <c r="Q101" s="1" t="s">
        <v>49</v>
      </c>
    </row>
    <row r="102" spans="1:17" ht="15.75" customHeight="1" x14ac:dyDescent="0.3">
      <c r="A102" s="17" t="s">
        <v>25</v>
      </c>
      <c r="B102" s="18">
        <f t="shared" ref="B102:N102" si="145">+IFERROR(B100/B$83,"nm")</f>
        <v>1.4998369742419302E-2</v>
      </c>
      <c r="C102" s="18">
        <f t="shared" si="145"/>
        <v>1.2681638044914135E-2</v>
      </c>
      <c r="D102" s="18">
        <f t="shared" si="145"/>
        <v>1.2744866650932263E-2</v>
      </c>
      <c r="E102" s="18">
        <f t="shared" si="145"/>
        <v>1.090767432800935E-2</v>
      </c>
      <c r="F102" s="18">
        <f t="shared" si="145"/>
        <v>8.0541237113402053E-3</v>
      </c>
      <c r="G102" s="18">
        <f t="shared" si="145"/>
        <v>6.5878125467884411E-3</v>
      </c>
      <c r="H102" s="18">
        <f t="shared" si="145"/>
        <v>5.5488540410132689E-3</v>
      </c>
      <c r="I102" s="18">
        <f t="shared" si="145"/>
        <v>5.4326222340002651E-3</v>
      </c>
      <c r="J102" s="18">
        <f t="shared" si="145"/>
        <v>6.2919096475303705E-3</v>
      </c>
      <c r="K102" s="18">
        <f t="shared" si="145"/>
        <v>6.9900719966284582E-3</v>
      </c>
      <c r="L102" s="18">
        <f t="shared" si="145"/>
        <v>7.3465257540643106E-3</v>
      </c>
      <c r="M102" s="18">
        <f t="shared" si="145"/>
        <v>7.3932878017807045E-3</v>
      </c>
      <c r="N102" s="18">
        <f t="shared" si="145"/>
        <v>7.3054090699132095E-3</v>
      </c>
    </row>
    <row r="103" spans="1:17" ht="15.75" customHeight="1" x14ac:dyDescent="0.3">
      <c r="A103" s="17" t="s">
        <v>38</v>
      </c>
      <c r="B103" s="18">
        <f t="shared" ref="B103:I103" si="146">+IFERROR(B100/B110,"nm")</f>
        <v>0.18110236220472442</v>
      </c>
      <c r="C103" s="18">
        <f t="shared" si="146"/>
        <v>0.20512820512820512</v>
      </c>
      <c r="D103" s="18">
        <f t="shared" si="146"/>
        <v>0.24</v>
      </c>
      <c r="E103" s="18">
        <f t="shared" si="146"/>
        <v>0.21875</v>
      </c>
      <c r="F103" s="18">
        <f t="shared" si="146"/>
        <v>0.2109704641350211</v>
      </c>
      <c r="G103" s="18">
        <f t="shared" si="146"/>
        <v>0.20560747663551401</v>
      </c>
      <c r="H103" s="18">
        <f t="shared" si="146"/>
        <v>0.15972222222222221</v>
      </c>
      <c r="I103" s="18">
        <f t="shared" si="146"/>
        <v>0.13531353135313531</v>
      </c>
      <c r="J103" s="18">
        <v>0.14599999999999999</v>
      </c>
      <c r="K103" s="18">
        <v>0.161</v>
      </c>
      <c r="L103" s="18">
        <v>0.18</v>
      </c>
      <c r="M103" s="18">
        <v>0.20300000000000001</v>
      </c>
      <c r="N103" s="18">
        <v>0.23499999999999999</v>
      </c>
    </row>
    <row r="104" spans="1:17" ht="15.75" customHeight="1" x14ac:dyDescent="0.3">
      <c r="A104" s="7" t="s">
        <v>26</v>
      </c>
      <c r="B104" s="7">
        <f>Historicals!B138</f>
        <v>993</v>
      </c>
      <c r="C104" s="7">
        <f>Historicals!C138</f>
        <v>1372</v>
      </c>
      <c r="D104" s="7">
        <f>Historicals!D138</f>
        <v>1507</v>
      </c>
      <c r="E104" s="7">
        <f>Historicals!E138</f>
        <v>1807</v>
      </c>
      <c r="F104" s="7">
        <f>Historicals!F138</f>
        <v>2376</v>
      </c>
      <c r="G104" s="7">
        <f>Historicals!G138</f>
        <v>2490</v>
      </c>
      <c r="H104" s="7">
        <f>Historicals!H138</f>
        <v>3243</v>
      </c>
      <c r="I104" s="7">
        <f>Historicals!I138</f>
        <v>2365</v>
      </c>
      <c r="J104" s="7">
        <f>J97-J100</f>
        <v>2395.2740640999996</v>
      </c>
      <c r="K104" s="7">
        <f t="shared" ref="K104:N104" si="147">K97-K100</f>
        <v>2595.2812959596604</v>
      </c>
      <c r="L104" s="7">
        <f t="shared" si="147"/>
        <v>2861.5454470907675</v>
      </c>
      <c r="M104" s="7">
        <f t="shared" si="147"/>
        <v>3109.9055692457855</v>
      </c>
      <c r="N104" s="7">
        <f t="shared" si="147"/>
        <v>3608.7460761468205</v>
      </c>
    </row>
    <row r="105" spans="1:17" ht="15.75" customHeight="1" x14ac:dyDescent="0.3">
      <c r="A105" s="17" t="s">
        <v>21</v>
      </c>
      <c r="B105" s="18" t="str">
        <f t="shared" ref="B105:I105" si="148">+IFERROR(B104/A104-1,"nm")</f>
        <v>nm</v>
      </c>
      <c r="C105" s="18">
        <f t="shared" si="148"/>
        <v>0.38167170191339372</v>
      </c>
      <c r="D105" s="18">
        <f t="shared" si="148"/>
        <v>9.8396501457725938E-2</v>
      </c>
      <c r="E105" s="18">
        <f t="shared" si="148"/>
        <v>0.19907100199071004</v>
      </c>
      <c r="F105" s="18">
        <f t="shared" si="148"/>
        <v>0.31488655229662421</v>
      </c>
      <c r="G105" s="18">
        <f t="shared" si="148"/>
        <v>4.7979797979798011E-2</v>
      </c>
      <c r="H105" s="18">
        <f t="shared" si="148"/>
        <v>0.30240963855421676</v>
      </c>
      <c r="I105" s="18">
        <f t="shared" si="148"/>
        <v>-0.27073697193956214</v>
      </c>
      <c r="J105" s="18">
        <f t="shared" ref="J105" si="149">+IFERROR(J104/I104-1,"nm")</f>
        <v>1.2800872769555882E-2</v>
      </c>
      <c r="K105" s="18">
        <f t="shared" ref="K105" si="150">+IFERROR(K104/J104-1,"nm")</f>
        <v>8.350077131353717E-2</v>
      </c>
      <c r="L105" s="18">
        <f t="shared" ref="L105" si="151">+IFERROR(L104/K104-1,"nm")</f>
        <v>0.102595488028842</v>
      </c>
      <c r="M105" s="18">
        <f t="shared" ref="M105" si="152">+IFERROR(M104/L104-1,"nm")</f>
        <v>8.6792303930562031E-2</v>
      </c>
      <c r="N105" s="18">
        <f t="shared" ref="N105" si="153">+IFERROR(N104/M104-1,"nm")</f>
        <v>0.16040374725011786</v>
      </c>
      <c r="Q105" s="1" t="s">
        <v>30</v>
      </c>
    </row>
    <row r="106" spans="1:17" ht="15.75" customHeight="1" x14ac:dyDescent="0.3">
      <c r="A106" s="17" t="s">
        <v>23</v>
      </c>
      <c r="B106" s="18">
        <f t="shared" ref="B106:N106" si="154">+IFERROR(B104/B$83,"nm")</f>
        <v>0.3237691555265732</v>
      </c>
      <c r="C106" s="18">
        <f t="shared" si="154"/>
        <v>0.36248348745046233</v>
      </c>
      <c r="D106" s="18">
        <f t="shared" si="154"/>
        <v>0.35567618598064671</v>
      </c>
      <c r="E106" s="18">
        <f t="shared" si="154"/>
        <v>0.35196727697701596</v>
      </c>
      <c r="F106" s="18">
        <f t="shared" si="154"/>
        <v>0.38273195876288657</v>
      </c>
      <c r="G106" s="18">
        <f t="shared" si="154"/>
        <v>0.37281030094325496</v>
      </c>
      <c r="H106" s="18">
        <f t="shared" si="154"/>
        <v>0.39119420989143544</v>
      </c>
      <c r="I106" s="18">
        <f t="shared" si="154"/>
        <v>0.31336955081489332</v>
      </c>
      <c r="J106" s="18">
        <f t="shared" si="154"/>
        <v>0.3117080903524696</v>
      </c>
      <c r="K106" s="18">
        <f t="shared" si="154"/>
        <v>0.32500992800337158</v>
      </c>
      <c r="L106" s="18">
        <f t="shared" si="154"/>
        <v>0.33265347424593572</v>
      </c>
      <c r="M106" s="18">
        <f t="shared" si="154"/>
        <v>0.3286067121982193</v>
      </c>
      <c r="N106" s="18">
        <f t="shared" si="154"/>
        <v>0.34269459093008675</v>
      </c>
    </row>
    <row r="107" spans="1:17" ht="15.75" customHeight="1" x14ac:dyDescent="0.3">
      <c r="A107" s="7" t="s">
        <v>27</v>
      </c>
      <c r="B107" s="7">
        <f>Historicals!B160</f>
        <v>69</v>
      </c>
      <c r="C107" s="7">
        <f>Historicals!C160</f>
        <v>44</v>
      </c>
      <c r="D107" s="7">
        <f>Historicals!D160</f>
        <v>51</v>
      </c>
      <c r="E107" s="7">
        <f>Historicals!E160</f>
        <v>76</v>
      </c>
      <c r="F107" s="7">
        <f>Historicals!F160</f>
        <v>49</v>
      </c>
      <c r="G107" s="7">
        <f>Historicals!G160</f>
        <v>28</v>
      </c>
      <c r="H107" s="7">
        <f>Historicals!H160</f>
        <v>94</v>
      </c>
      <c r="I107" s="7">
        <f>Historicals!I160</f>
        <v>78</v>
      </c>
      <c r="J107" s="7">
        <f>J109*J83</f>
        <v>69.159149999999997</v>
      </c>
      <c r="K107" s="7">
        <f t="shared" ref="K107:N107" si="155">K109*K83</f>
        <v>63.881895839999999</v>
      </c>
      <c r="L107" s="7">
        <f t="shared" si="155"/>
        <v>60.215268080519998</v>
      </c>
      <c r="M107" s="7">
        <f t="shared" si="155"/>
        <v>56.783482268673595</v>
      </c>
      <c r="N107" s="7">
        <f t="shared" si="155"/>
        <v>52.652510014128623</v>
      </c>
    </row>
    <row r="108" spans="1:17" ht="15.75" customHeight="1" x14ac:dyDescent="0.3">
      <c r="A108" s="17" t="s">
        <v>21</v>
      </c>
      <c r="B108" s="18" t="str">
        <f t="shared" ref="B108:I108" si="156">+IFERROR(B107/A107-1,"nm")</f>
        <v>nm</v>
      </c>
      <c r="C108" s="18">
        <f t="shared" si="156"/>
        <v>-0.3623188405797102</v>
      </c>
      <c r="D108" s="18">
        <f t="shared" si="156"/>
        <v>0.15909090909090917</v>
      </c>
      <c r="E108" s="18">
        <f t="shared" si="156"/>
        <v>0.49019607843137258</v>
      </c>
      <c r="F108" s="18">
        <f t="shared" si="156"/>
        <v>-0.35526315789473684</v>
      </c>
      <c r="G108" s="18">
        <f t="shared" si="156"/>
        <v>-0.4285714285714286</v>
      </c>
      <c r="H108" s="18">
        <f t="shared" si="156"/>
        <v>2.3571428571428572</v>
      </c>
      <c r="I108" s="18">
        <f t="shared" si="156"/>
        <v>-0.17021276595744683</v>
      </c>
      <c r="J108" s="18">
        <f>(J107-I107)/I107</f>
        <v>-0.11334423076923081</v>
      </c>
      <c r="K108" s="18">
        <f t="shared" ref="K108:N108" si="157">(K107-J107)/J107</f>
        <v>-7.6305943031399301E-2</v>
      </c>
      <c r="L108" s="18">
        <f t="shared" si="157"/>
        <v>-5.7396977833336651E-2</v>
      </c>
      <c r="M108" s="18">
        <f t="shared" si="157"/>
        <v>-5.6991954387007146E-2</v>
      </c>
      <c r="N108" s="18">
        <f t="shared" si="157"/>
        <v>-7.2749540702683413E-2</v>
      </c>
      <c r="Q108" s="1" t="s">
        <v>50</v>
      </c>
    </row>
    <row r="109" spans="1:17" ht="15.75" customHeight="1" x14ac:dyDescent="0.3">
      <c r="A109" s="17" t="s">
        <v>25</v>
      </c>
      <c r="B109" s="18">
        <f t="shared" ref="B109:I109" si="158">+IFERROR(B107/B$83,"nm")</f>
        <v>2.2497554613628953E-2</v>
      </c>
      <c r="C109" s="18">
        <f t="shared" si="158"/>
        <v>1.1624834874504624E-2</v>
      </c>
      <c r="D109" s="18">
        <f t="shared" si="158"/>
        <v>1.2036818503658248E-2</v>
      </c>
      <c r="E109" s="18">
        <f t="shared" si="158"/>
        <v>1.4803272302298403E-2</v>
      </c>
      <c r="F109" s="18">
        <f t="shared" si="158"/>
        <v>7.8930412371134018E-3</v>
      </c>
      <c r="G109" s="18">
        <f t="shared" si="158"/>
        <v>4.1922443479562805E-3</v>
      </c>
      <c r="H109" s="18">
        <f t="shared" si="158"/>
        <v>1.1338962605548853E-2</v>
      </c>
      <c r="I109" s="18">
        <f t="shared" si="158"/>
        <v>1.0335232542732211E-2</v>
      </c>
      <c r="J109" s="18">
        <v>8.9999999999999993E-3</v>
      </c>
      <c r="K109" s="18">
        <v>8.0000000000000002E-3</v>
      </c>
      <c r="L109" s="18">
        <v>7.0000000000000001E-3</v>
      </c>
      <c r="M109" s="18">
        <v>6.0000000000000001E-3</v>
      </c>
      <c r="N109" s="18">
        <v>5.0000000000000001E-3</v>
      </c>
    </row>
    <row r="110" spans="1:17" ht="15.75" customHeight="1" x14ac:dyDescent="0.3">
      <c r="A110" s="7" t="s">
        <v>28</v>
      </c>
      <c r="B110" s="7">
        <f>Historicals!B149</f>
        <v>254</v>
      </c>
      <c r="C110" s="7">
        <f>Historicals!C149</f>
        <v>234</v>
      </c>
      <c r="D110" s="7">
        <f>Historicals!D149</f>
        <v>225</v>
      </c>
      <c r="E110" s="7">
        <f>Historicals!E149</f>
        <v>256</v>
      </c>
      <c r="F110" s="7">
        <f>Historicals!F149</f>
        <v>237</v>
      </c>
      <c r="G110" s="7">
        <f>Historicals!G149</f>
        <v>214</v>
      </c>
      <c r="H110" s="7">
        <f>Historicals!H149</f>
        <v>288</v>
      </c>
      <c r="I110" s="7">
        <f>Historicals!I149</f>
        <v>303</v>
      </c>
      <c r="J110" s="7">
        <f>I110-I100+J107</f>
        <v>331.15915000000001</v>
      </c>
      <c r="K110" s="7">
        <f t="shared" ref="K110:N110" si="159">J110-J100+K107</f>
        <v>346.69180993999998</v>
      </c>
      <c r="L110" s="7">
        <f t="shared" si="159"/>
        <v>351.08969662018001</v>
      </c>
      <c r="M110" s="7">
        <f t="shared" si="159"/>
        <v>344.6770334972212</v>
      </c>
      <c r="N110" s="7">
        <f t="shared" si="159"/>
        <v>327.36010571141389</v>
      </c>
    </row>
    <row r="111" spans="1:17" ht="15.75" customHeight="1" x14ac:dyDescent="0.3">
      <c r="A111" s="17" t="s">
        <v>21</v>
      </c>
      <c r="B111" s="18" t="str">
        <f t="shared" ref="B111:I111" si="160">+IFERROR(B110/A110-1,"nm")</f>
        <v>nm</v>
      </c>
      <c r="C111" s="18">
        <f t="shared" si="160"/>
        <v>-7.8740157480314932E-2</v>
      </c>
      <c r="D111" s="18">
        <f t="shared" si="160"/>
        <v>-3.8461538461538436E-2</v>
      </c>
      <c r="E111" s="18">
        <f t="shared" si="160"/>
        <v>0.13777777777777778</v>
      </c>
      <c r="F111" s="18">
        <f t="shared" si="160"/>
        <v>-7.421875E-2</v>
      </c>
      <c r="G111" s="18">
        <f t="shared" si="160"/>
        <v>-9.7046413502109741E-2</v>
      </c>
      <c r="H111" s="18">
        <f t="shared" si="160"/>
        <v>0.34579439252336441</v>
      </c>
      <c r="I111" s="18">
        <f t="shared" si="160"/>
        <v>5.2083333333333259E-2</v>
      </c>
      <c r="J111" s="18">
        <f t="shared" ref="J111" si="161">+IFERROR(J110/I110-1,"nm")</f>
        <v>9.2934488448844998E-2</v>
      </c>
      <c r="K111" s="18">
        <f t="shared" ref="K111" si="162">+IFERROR(K110/J110-1,"nm")</f>
        <v>4.6903912937329206E-2</v>
      </c>
      <c r="L111" s="18">
        <f t="shared" ref="L111" si="163">+IFERROR(L110/K110-1,"nm")</f>
        <v>1.2685291530080134E-2</v>
      </c>
      <c r="M111" s="18">
        <f t="shared" ref="M111" si="164">+IFERROR(M110/L110-1,"nm")</f>
        <v>-1.8265027953515367E-2</v>
      </c>
      <c r="N111" s="18">
        <f t="shared" ref="N111" si="165">+IFERROR(N110/M110-1,"nm")</f>
        <v>-5.0241025954364638E-2</v>
      </c>
      <c r="Q111" s="1" t="s">
        <v>51</v>
      </c>
    </row>
    <row r="112" spans="1:17" ht="15.75" customHeight="1" x14ac:dyDescent="0.3">
      <c r="A112" s="17" t="s">
        <v>25</v>
      </c>
      <c r="B112" s="18">
        <f t="shared" ref="B112:N112" si="166">+IFERROR(B110/B$83,"nm")</f>
        <v>8.2817085099445714E-2</v>
      </c>
      <c r="C112" s="18">
        <f t="shared" si="166"/>
        <v>6.1822985468956405E-2</v>
      </c>
      <c r="D112" s="18">
        <f t="shared" si="166"/>
        <v>5.31036110455511E-2</v>
      </c>
      <c r="E112" s="18">
        <f t="shared" si="166"/>
        <v>4.9863654070899883E-2</v>
      </c>
      <c r="F112" s="18">
        <f t="shared" si="166"/>
        <v>3.817654639175258E-2</v>
      </c>
      <c r="G112" s="18">
        <f t="shared" si="166"/>
        <v>3.2040724659380147E-2</v>
      </c>
      <c r="H112" s="18">
        <f t="shared" si="166"/>
        <v>3.4740651387213509E-2</v>
      </c>
      <c r="I112" s="18">
        <f t="shared" si="166"/>
        <v>4.0148403339075128E-2</v>
      </c>
      <c r="J112" s="18">
        <f t="shared" si="166"/>
        <v>4.3095271558427198E-2</v>
      </c>
      <c r="K112" s="18">
        <f t="shared" si="166"/>
        <v>4.341659625235067E-2</v>
      </c>
      <c r="L112" s="18">
        <f t="shared" si="166"/>
        <v>4.0814031967023948E-2</v>
      </c>
      <c r="M112" s="18">
        <f t="shared" si="166"/>
        <v>3.642013695458475E-2</v>
      </c>
      <c r="N112" s="18">
        <f t="shared" si="166"/>
        <v>3.1086847106013657E-2</v>
      </c>
    </row>
    <row r="113" spans="1:17" ht="15.75" customHeight="1" x14ac:dyDescent="0.3">
      <c r="A113" s="19" t="s">
        <v>13</v>
      </c>
      <c r="B113" s="19"/>
      <c r="C113" s="19"/>
      <c r="D113" s="19"/>
      <c r="E113" s="19"/>
      <c r="F113" s="19"/>
      <c r="G113" s="19"/>
      <c r="H113" s="19"/>
      <c r="I113" s="19"/>
      <c r="J113" s="15"/>
      <c r="K113" s="15"/>
      <c r="L113" s="15"/>
      <c r="M113" s="15"/>
      <c r="N113" s="15"/>
    </row>
    <row r="114" spans="1:17" ht="15.75" customHeight="1" x14ac:dyDescent="0.3">
      <c r="A114" s="7" t="s">
        <v>29</v>
      </c>
      <c r="B114" s="7">
        <f>Historicals!B121</f>
        <v>4653</v>
      </c>
      <c r="C114" s="7">
        <f>Historicals!C121</f>
        <v>4570</v>
      </c>
      <c r="D114" s="7">
        <f>Historicals!D121</f>
        <v>4737</v>
      </c>
      <c r="E114" s="7">
        <f>Historicals!E121</f>
        <v>5166</v>
      </c>
      <c r="F114" s="7">
        <f>Historicals!F121</f>
        <v>5254</v>
      </c>
      <c r="G114" s="7">
        <f>Historicals!G121</f>
        <v>5028</v>
      </c>
      <c r="H114" s="7">
        <f>Historicals!H121</f>
        <v>5343</v>
      </c>
      <c r="I114" s="7">
        <f>Historicals!I121</f>
        <v>5955</v>
      </c>
      <c r="J114" s="7">
        <f>I114*(1+J115)</f>
        <v>6986.7208094740063</v>
      </c>
      <c r="K114" s="7">
        <f t="shared" ref="K114:N114" si="167">+SUM(K116+K120+K124)</f>
        <v>6785.3317599999991</v>
      </c>
      <c r="L114" s="7">
        <f t="shared" si="167"/>
        <v>7350.9999620199997</v>
      </c>
      <c r="M114" s="7">
        <f t="shared" si="167"/>
        <v>7999.3416300478593</v>
      </c>
      <c r="N114" s="7">
        <f t="shared" si="167"/>
        <v>8694.568229014827</v>
      </c>
    </row>
    <row r="115" spans="1:17" ht="15.75" customHeight="1" x14ac:dyDescent="0.3">
      <c r="A115" s="17" t="s">
        <v>21</v>
      </c>
      <c r="B115" s="18" t="str">
        <f t="shared" ref="B115:I115" si="168">+IFERROR(B114/A114-1,"nm")</f>
        <v>nm</v>
      </c>
      <c r="C115" s="18">
        <f t="shared" si="168"/>
        <v>-1.783795400816679E-2</v>
      </c>
      <c r="D115" s="18">
        <f t="shared" si="168"/>
        <v>3.6542669584245013E-2</v>
      </c>
      <c r="E115" s="18">
        <f t="shared" si="168"/>
        <v>9.0563647878403986E-2</v>
      </c>
      <c r="F115" s="18">
        <f t="shared" si="168"/>
        <v>1.7034456058846237E-2</v>
      </c>
      <c r="G115" s="18">
        <f t="shared" si="168"/>
        <v>-4.3014845831747195E-2</v>
      </c>
      <c r="H115" s="18">
        <f t="shared" si="168"/>
        <v>6.2649164677804237E-2</v>
      </c>
      <c r="I115" s="18">
        <f t="shared" si="168"/>
        <v>0.11454239191465465</v>
      </c>
      <c r="J115" s="18">
        <f>((1.16*1.34*1.15*1.06)^0.25)-1</f>
        <v>0.17325286473115131</v>
      </c>
      <c r="K115" s="18">
        <f t="shared" ref="K115:N115" si="169">+IFERROR(K114/J114-1,"nm")</f>
        <v>-2.8824545157282278E-2</v>
      </c>
      <c r="L115" s="18">
        <f t="shared" si="169"/>
        <v>8.3366329315635479E-2</v>
      </c>
      <c r="M115" s="18">
        <f t="shared" si="169"/>
        <v>8.8197751513754641E-2</v>
      </c>
      <c r="N115" s="18">
        <f t="shared" si="169"/>
        <v>8.6910477276716636E-2</v>
      </c>
      <c r="Q115" s="1" t="s">
        <v>30</v>
      </c>
    </row>
    <row r="116" spans="1:17" ht="15.75" customHeight="1" x14ac:dyDescent="0.3">
      <c r="A116" s="20" t="s">
        <v>8</v>
      </c>
      <c r="B116" s="6">
        <f>Historicals!B122</f>
        <v>3093</v>
      </c>
      <c r="C116" s="6">
        <f>Historicals!C122</f>
        <v>3106</v>
      </c>
      <c r="D116" s="6">
        <f>Historicals!D122</f>
        <v>3285</v>
      </c>
      <c r="E116" s="6">
        <f>Historicals!E122</f>
        <v>3575</v>
      </c>
      <c r="F116" s="6">
        <f>Historicals!F122</f>
        <v>3622</v>
      </c>
      <c r="G116" s="6">
        <f>Historicals!G122</f>
        <v>3449</v>
      </c>
      <c r="H116" s="6">
        <f>Historicals!H122</f>
        <v>3659</v>
      </c>
      <c r="I116" s="6">
        <f>Historicals!I122</f>
        <v>4111</v>
      </c>
      <c r="J116" s="6">
        <f t="shared" ref="J116:N116" si="170">+I116*(1+J117)</f>
        <v>4357.66</v>
      </c>
      <c r="K116" s="6">
        <f t="shared" si="170"/>
        <v>4710.6304599999994</v>
      </c>
      <c r="L116" s="6">
        <f t="shared" si="170"/>
        <v>5120.4553100199992</v>
      </c>
      <c r="M116" s="6">
        <f t="shared" si="170"/>
        <v>5596.6576538518593</v>
      </c>
      <c r="N116" s="6">
        <f t="shared" si="170"/>
        <v>6089.1635273908232</v>
      </c>
    </row>
    <row r="117" spans="1:17" ht="15.75" customHeight="1" x14ac:dyDescent="0.3">
      <c r="A117" s="17" t="s">
        <v>21</v>
      </c>
      <c r="B117" s="18" t="str">
        <f t="shared" ref="B117:I117" si="171">+IFERROR(B116/A116-1,"nm")</f>
        <v>nm</v>
      </c>
      <c r="C117" s="18">
        <f t="shared" si="171"/>
        <v>4.2030391205949424E-3</v>
      </c>
      <c r="D117" s="18">
        <f t="shared" si="171"/>
        <v>5.7630392788152074E-2</v>
      </c>
      <c r="E117" s="18">
        <f t="shared" si="171"/>
        <v>8.8280060882800715E-2</v>
      </c>
      <c r="F117" s="18">
        <f t="shared" si="171"/>
        <v>1.3146853146853044E-2</v>
      </c>
      <c r="G117" s="18">
        <f t="shared" si="171"/>
        <v>-4.7763666482606326E-2</v>
      </c>
      <c r="H117" s="18">
        <f t="shared" si="171"/>
        <v>6.0887213685126174E-2</v>
      </c>
      <c r="I117" s="18">
        <f t="shared" si="171"/>
        <v>0.12353101940420874</v>
      </c>
      <c r="J117" s="18">
        <f t="shared" ref="J117:N117" si="172">+J118+J119</f>
        <v>0.06</v>
      </c>
      <c r="K117" s="18">
        <f t="shared" si="172"/>
        <v>8.1000000000000003E-2</v>
      </c>
      <c r="L117" s="18">
        <f t="shared" si="172"/>
        <v>8.6999999999999994E-2</v>
      </c>
      <c r="M117" s="18">
        <f t="shared" si="172"/>
        <v>9.2999999999999999E-2</v>
      </c>
      <c r="N117" s="18">
        <f t="shared" si="172"/>
        <v>8.7999999999999995E-2</v>
      </c>
      <c r="Q117" s="1" t="s">
        <v>52</v>
      </c>
    </row>
    <row r="118" spans="1:17" ht="15.75" customHeight="1" x14ac:dyDescent="0.3">
      <c r="A118" s="17" t="s">
        <v>32</v>
      </c>
      <c r="B118" s="18">
        <f>Historicals!B194</f>
        <v>0.32</v>
      </c>
      <c r="C118" s="18">
        <f>Historicals!C194</f>
        <v>0.48</v>
      </c>
      <c r="D118" s="18">
        <f>Historicals!D194</f>
        <v>0.24</v>
      </c>
      <c r="E118" s="18">
        <f>Historicals!E194</f>
        <v>0.09</v>
      </c>
      <c r="F118" s="18">
        <f>Historicals!F194</f>
        <v>0.12</v>
      </c>
      <c r="G118" s="18">
        <f>Historicals!G194</f>
        <v>0</v>
      </c>
      <c r="H118" s="18">
        <f>Historicals!H194</f>
        <v>0.08</v>
      </c>
      <c r="I118" s="18">
        <f>Historicals!I194</f>
        <v>0.17</v>
      </c>
      <c r="J118" s="21">
        <v>0.06</v>
      </c>
      <c r="K118" s="21">
        <v>8.1000000000000003E-2</v>
      </c>
      <c r="L118" s="21">
        <v>8.6999999999999994E-2</v>
      </c>
      <c r="M118" s="21">
        <v>9.2999999999999999E-2</v>
      </c>
      <c r="N118" s="21">
        <v>8.7999999999999995E-2</v>
      </c>
    </row>
    <row r="119" spans="1:17" ht="15.75" customHeight="1" x14ac:dyDescent="0.3">
      <c r="A119" s="17" t="s">
        <v>33</v>
      </c>
      <c r="B119" s="18" t="str">
        <f t="shared" ref="B119:I119" si="173">+IFERROR(B117-B118,"nm")</f>
        <v>nm</v>
      </c>
      <c r="C119" s="18">
        <f t="shared" si="173"/>
        <v>-0.47579696087940504</v>
      </c>
      <c r="D119" s="18">
        <f t="shared" si="173"/>
        <v>-0.18236960721184792</v>
      </c>
      <c r="E119" s="18">
        <f t="shared" si="173"/>
        <v>-1.7199391171992817E-3</v>
      </c>
      <c r="F119" s="18">
        <f t="shared" si="173"/>
        <v>-0.10685314685314695</v>
      </c>
      <c r="G119" s="18">
        <f t="shared" si="173"/>
        <v>-4.7763666482606326E-2</v>
      </c>
      <c r="H119" s="18">
        <f t="shared" si="173"/>
        <v>-1.9112786314873828E-2</v>
      </c>
      <c r="I119" s="18">
        <f t="shared" si="173"/>
        <v>-4.646898059579127E-2</v>
      </c>
      <c r="J119" s="21">
        <v>0</v>
      </c>
      <c r="K119" s="21">
        <v>0</v>
      </c>
      <c r="L119" s="21">
        <v>0</v>
      </c>
      <c r="M119" s="21">
        <v>0</v>
      </c>
      <c r="N119" s="21">
        <v>0</v>
      </c>
    </row>
    <row r="120" spans="1:17" ht="15.75" customHeight="1" x14ac:dyDescent="0.3">
      <c r="A120" s="20" t="s">
        <v>9</v>
      </c>
      <c r="B120" s="6">
        <f>Historicals!B123</f>
        <v>1251</v>
      </c>
      <c r="C120" s="6">
        <f>Historicals!C123</f>
        <v>1175</v>
      </c>
      <c r="D120" s="6">
        <f>Historicals!D123</f>
        <v>1185</v>
      </c>
      <c r="E120" s="6">
        <f>Historicals!E123</f>
        <v>1347</v>
      </c>
      <c r="F120" s="6">
        <f>Historicals!F123</f>
        <v>1395</v>
      </c>
      <c r="G120" s="6">
        <f>Historicals!G123</f>
        <v>1365</v>
      </c>
      <c r="H120" s="6">
        <f>Historicals!H123</f>
        <v>1494</v>
      </c>
      <c r="I120" s="6">
        <f>Historicals!I123</f>
        <v>1610</v>
      </c>
      <c r="J120" s="6">
        <f t="shared" ref="J120:N120" si="174">+I120*(1+J121)</f>
        <v>1690.5</v>
      </c>
      <c r="K120" s="6">
        <f t="shared" si="174"/>
        <v>1793.6205</v>
      </c>
      <c r="L120" s="6">
        <f t="shared" si="174"/>
        <v>1922.7611760000002</v>
      </c>
      <c r="M120" s="6">
        <f t="shared" si="174"/>
        <v>2065.0455030240005</v>
      </c>
      <c r="N120" s="6">
        <f t="shared" si="174"/>
        <v>2232.3141887689444</v>
      </c>
    </row>
    <row r="121" spans="1:17" ht="15.75" customHeight="1" x14ac:dyDescent="0.3">
      <c r="A121" s="17" t="s">
        <v>21</v>
      </c>
      <c r="B121" s="18" t="str">
        <f t="shared" ref="B121:I121" si="175">+IFERROR(B120/A120-1,"nm")</f>
        <v>nm</v>
      </c>
      <c r="C121" s="18">
        <f t="shared" si="175"/>
        <v>-6.0751398880895313E-2</v>
      </c>
      <c r="D121" s="18">
        <f t="shared" si="175"/>
        <v>8.5106382978723527E-3</v>
      </c>
      <c r="E121" s="18">
        <f t="shared" si="175"/>
        <v>0.13670886075949373</v>
      </c>
      <c r="F121" s="18">
        <f t="shared" si="175"/>
        <v>3.563474387527843E-2</v>
      </c>
      <c r="G121" s="18">
        <f t="shared" si="175"/>
        <v>-2.1505376344086002E-2</v>
      </c>
      <c r="H121" s="18">
        <f t="shared" si="175"/>
        <v>9.4505494505494614E-2</v>
      </c>
      <c r="I121" s="18">
        <f t="shared" si="175"/>
        <v>7.7643908969210251E-2</v>
      </c>
      <c r="J121" s="18">
        <f t="shared" ref="J121:N121" si="176">+J122+J123</f>
        <v>0.05</v>
      </c>
      <c r="K121" s="18">
        <f t="shared" si="176"/>
        <v>6.0999999999999999E-2</v>
      </c>
      <c r="L121" s="18">
        <f t="shared" si="176"/>
        <v>7.1999999999999995E-2</v>
      </c>
      <c r="M121" s="18">
        <f t="shared" si="176"/>
        <v>7.3999999999999996E-2</v>
      </c>
      <c r="N121" s="18">
        <f t="shared" si="176"/>
        <v>8.1000000000000003E-2</v>
      </c>
      <c r="Q121" s="1" t="s">
        <v>52</v>
      </c>
    </row>
    <row r="122" spans="1:17" ht="15.75" customHeight="1" x14ac:dyDescent="0.3">
      <c r="A122" s="17" t="s">
        <v>32</v>
      </c>
      <c r="B122" s="18">
        <f>Historicals!B195</f>
        <v>-0.03</v>
      </c>
      <c r="C122" s="18">
        <f>Historicals!C195</f>
        <v>0.16</v>
      </c>
      <c r="D122" s="18">
        <f>Historicals!D195</f>
        <v>0.18</v>
      </c>
      <c r="E122" s="18">
        <f>Historicals!E195</f>
        <v>0.15</v>
      </c>
      <c r="F122" s="18">
        <f>Historicals!F195</f>
        <v>0.15</v>
      </c>
      <c r="G122" s="18">
        <f>Historicals!G195</f>
        <v>0.02</v>
      </c>
      <c r="H122" s="18">
        <f>Historicals!H195</f>
        <v>0.1</v>
      </c>
      <c r="I122" s="18">
        <f>Historicals!I195</f>
        <v>0.12</v>
      </c>
      <c r="J122" s="21">
        <v>0.05</v>
      </c>
      <c r="K122" s="21">
        <v>6.0999999999999999E-2</v>
      </c>
      <c r="L122" s="21">
        <v>7.1999999999999995E-2</v>
      </c>
      <c r="M122" s="21">
        <v>7.3999999999999996E-2</v>
      </c>
      <c r="N122" s="21">
        <v>8.1000000000000003E-2</v>
      </c>
    </row>
    <row r="123" spans="1:17" ht="15.75" customHeight="1" x14ac:dyDescent="0.3">
      <c r="A123" s="17" t="s">
        <v>33</v>
      </c>
      <c r="B123" s="18" t="str">
        <f t="shared" ref="B123:I123" si="177">+IFERROR(B121-B122,"nm")</f>
        <v>nm</v>
      </c>
      <c r="C123" s="18">
        <f t="shared" si="177"/>
        <v>-0.22075139888089532</v>
      </c>
      <c r="D123" s="18">
        <f t="shared" si="177"/>
        <v>-0.17148936170212764</v>
      </c>
      <c r="E123" s="18">
        <f t="shared" si="177"/>
        <v>-1.3291139240506261E-2</v>
      </c>
      <c r="F123" s="18">
        <f t="shared" si="177"/>
        <v>-0.11436525612472156</v>
      </c>
      <c r="G123" s="18">
        <f t="shared" si="177"/>
        <v>-4.1505376344086006E-2</v>
      </c>
      <c r="H123" s="18">
        <f t="shared" si="177"/>
        <v>-5.4945054945053917E-3</v>
      </c>
      <c r="I123" s="18">
        <f t="shared" si="177"/>
        <v>-4.2356091030789744E-2</v>
      </c>
      <c r="J123" s="21">
        <v>0</v>
      </c>
      <c r="K123" s="21">
        <v>0</v>
      </c>
      <c r="L123" s="21">
        <v>0</v>
      </c>
      <c r="M123" s="21">
        <v>0</v>
      </c>
      <c r="N123" s="21">
        <v>0</v>
      </c>
    </row>
    <row r="124" spans="1:17" ht="15.75" customHeight="1" x14ac:dyDescent="0.3">
      <c r="A124" s="20" t="s">
        <v>10</v>
      </c>
      <c r="B124" s="6">
        <f>Historicals!B124</f>
        <v>309</v>
      </c>
      <c r="C124" s="6">
        <f>Historicals!C124</f>
        <v>289</v>
      </c>
      <c r="D124" s="6">
        <f>Historicals!D124</f>
        <v>267</v>
      </c>
      <c r="E124" s="6">
        <f>Historicals!E124</f>
        <v>244</v>
      </c>
      <c r="F124" s="6">
        <f>Historicals!F124</f>
        <v>237</v>
      </c>
      <c r="G124" s="6">
        <f>Historicals!G124</f>
        <v>214</v>
      </c>
      <c r="H124" s="6">
        <f>Historicals!H124</f>
        <v>190</v>
      </c>
      <c r="I124" s="6">
        <f>Historicals!I124</f>
        <v>234</v>
      </c>
      <c r="J124" s="6">
        <f t="shared" ref="J124:N124" si="178">+I124*(1+J125)</f>
        <v>257.40000000000003</v>
      </c>
      <c r="K124" s="6">
        <f t="shared" si="178"/>
        <v>281.08080000000007</v>
      </c>
      <c r="L124" s="6">
        <f t="shared" si="178"/>
        <v>307.78347600000006</v>
      </c>
      <c r="M124" s="6">
        <f t="shared" si="178"/>
        <v>337.63847317200009</v>
      </c>
      <c r="N124" s="6">
        <f t="shared" si="178"/>
        <v>373.09051285506007</v>
      </c>
    </row>
    <row r="125" spans="1:17" ht="15.75" customHeight="1" x14ac:dyDescent="0.3">
      <c r="A125" s="17" t="s">
        <v>21</v>
      </c>
      <c r="B125" s="18" t="str">
        <f t="shared" ref="B125:I125" si="179">+IFERROR(B124/A124-1,"nm")</f>
        <v>nm</v>
      </c>
      <c r="C125" s="18">
        <f t="shared" si="179"/>
        <v>-6.4724919093851141E-2</v>
      </c>
      <c r="D125" s="18">
        <f t="shared" si="179"/>
        <v>-7.6124567474048388E-2</v>
      </c>
      <c r="E125" s="18">
        <f t="shared" si="179"/>
        <v>-8.6142322097378266E-2</v>
      </c>
      <c r="F125" s="18">
        <f t="shared" si="179"/>
        <v>-2.8688524590163911E-2</v>
      </c>
      <c r="G125" s="18">
        <f t="shared" si="179"/>
        <v>-9.7046413502109741E-2</v>
      </c>
      <c r="H125" s="18">
        <f t="shared" si="179"/>
        <v>-0.11214953271028039</v>
      </c>
      <c r="I125" s="18">
        <f t="shared" si="179"/>
        <v>0.23157894736842111</v>
      </c>
      <c r="J125" s="18">
        <f t="shared" ref="J125:N125" si="180">+J126+J127</f>
        <v>0.1</v>
      </c>
      <c r="K125" s="18">
        <f t="shared" si="180"/>
        <v>9.1999999999999998E-2</v>
      </c>
      <c r="L125" s="18">
        <f t="shared" si="180"/>
        <v>9.5000000000000001E-2</v>
      </c>
      <c r="M125" s="18">
        <f t="shared" si="180"/>
        <v>9.7000000000000003E-2</v>
      </c>
      <c r="N125" s="18">
        <f t="shared" si="180"/>
        <v>0.105</v>
      </c>
      <c r="Q125" s="1" t="s">
        <v>52</v>
      </c>
    </row>
    <row r="126" spans="1:17" ht="15.75" customHeight="1" x14ac:dyDescent="0.3">
      <c r="A126" s="17" t="s">
        <v>32</v>
      </c>
      <c r="B126" s="18">
        <f>Historicals!B196</f>
        <v>-0.01</v>
      </c>
      <c r="C126" s="18">
        <f>Historicals!C196</f>
        <v>0.14000000000000001</v>
      </c>
      <c r="D126" s="18">
        <f>Historicals!D196</f>
        <v>-0.04</v>
      </c>
      <c r="E126" s="18">
        <f>Historicals!E196</f>
        <v>-0.08</v>
      </c>
      <c r="F126" s="18">
        <f>Historicals!F196</f>
        <v>0.08</v>
      </c>
      <c r="G126" s="18">
        <f>Historicals!G196</f>
        <v>-0.04</v>
      </c>
      <c r="H126" s="18">
        <f>Historicals!H196</f>
        <v>-0.09</v>
      </c>
      <c r="I126" s="18">
        <f>Historicals!I196</f>
        <v>0.28000000000000003</v>
      </c>
      <c r="J126" s="21">
        <v>0.1</v>
      </c>
      <c r="K126" s="21">
        <v>9.1999999999999998E-2</v>
      </c>
      <c r="L126" s="21">
        <v>9.5000000000000001E-2</v>
      </c>
      <c r="M126" s="21">
        <v>9.7000000000000003E-2</v>
      </c>
      <c r="N126" s="21">
        <v>0.105</v>
      </c>
    </row>
    <row r="127" spans="1:17" ht="15.75" customHeight="1" x14ac:dyDescent="0.3">
      <c r="A127" s="17" t="s">
        <v>33</v>
      </c>
      <c r="B127" s="18" t="str">
        <f t="shared" ref="B127:I127" si="181">+IFERROR(B125-B126,"nm")</f>
        <v>nm</v>
      </c>
      <c r="C127" s="18">
        <f t="shared" si="181"/>
        <v>-0.20472491909385115</v>
      </c>
      <c r="D127" s="18">
        <f t="shared" si="181"/>
        <v>-3.6124567474048387E-2</v>
      </c>
      <c r="E127" s="18">
        <f t="shared" si="181"/>
        <v>-6.1423220973782638E-3</v>
      </c>
      <c r="F127" s="18">
        <f t="shared" si="181"/>
        <v>-0.10868852459016391</v>
      </c>
      <c r="G127" s="18">
        <f t="shared" si="181"/>
        <v>-5.704641350210974E-2</v>
      </c>
      <c r="H127" s="18">
        <f t="shared" si="181"/>
        <v>-2.214953271028039E-2</v>
      </c>
      <c r="I127" s="18">
        <f t="shared" si="181"/>
        <v>-4.842105263157892E-2</v>
      </c>
      <c r="J127" s="21">
        <v>0</v>
      </c>
      <c r="K127" s="21">
        <v>0</v>
      </c>
      <c r="L127" s="21">
        <v>0</v>
      </c>
      <c r="M127" s="21">
        <v>0</v>
      </c>
      <c r="N127" s="21">
        <v>0</v>
      </c>
    </row>
    <row r="128" spans="1:17" ht="15.75" customHeight="1" x14ac:dyDescent="0.3">
      <c r="A128" s="7" t="s">
        <v>22</v>
      </c>
      <c r="B128" s="7">
        <f t="shared" ref="B128:I128" si="182">B135+B131</f>
        <v>967</v>
      </c>
      <c r="C128" s="7">
        <f t="shared" si="182"/>
        <v>1045</v>
      </c>
      <c r="D128" s="7">
        <f t="shared" si="182"/>
        <v>1036</v>
      </c>
      <c r="E128" s="7">
        <f t="shared" si="182"/>
        <v>1244</v>
      </c>
      <c r="F128" s="7">
        <f t="shared" si="182"/>
        <v>1376</v>
      </c>
      <c r="G128" s="7">
        <f t="shared" si="182"/>
        <v>1230</v>
      </c>
      <c r="H128" s="7">
        <f t="shared" si="182"/>
        <v>1573</v>
      </c>
      <c r="I128" s="7">
        <f t="shared" si="182"/>
        <v>1938</v>
      </c>
      <c r="J128" s="7">
        <f t="shared" ref="J128:N128" si="183">J130*J114</f>
        <v>1985.6260540525127</v>
      </c>
      <c r="K128" s="7">
        <f t="shared" si="183"/>
        <v>1988.1022056799995</v>
      </c>
      <c r="L128" s="7">
        <f t="shared" si="183"/>
        <v>2208.2403885908079</v>
      </c>
      <c r="M128" s="7">
        <f t="shared" si="183"/>
        <v>2479.7959053148365</v>
      </c>
      <c r="N128" s="7">
        <f t="shared" si="183"/>
        <v>2695.3161509945962</v>
      </c>
    </row>
    <row r="129" spans="1:18" ht="15.75" customHeight="1" x14ac:dyDescent="0.3">
      <c r="A129" s="17" t="s">
        <v>21</v>
      </c>
      <c r="B129" s="18" t="str">
        <f t="shared" ref="B129:I129" si="184">+IFERROR(B128/A128-1,"nm")</f>
        <v>nm</v>
      </c>
      <c r="C129" s="18">
        <f t="shared" si="184"/>
        <v>8.0661840744570945E-2</v>
      </c>
      <c r="D129" s="18">
        <f t="shared" si="184"/>
        <v>-8.6124401913875159E-3</v>
      </c>
      <c r="E129" s="18">
        <f t="shared" si="184"/>
        <v>0.20077220077220082</v>
      </c>
      <c r="F129" s="18">
        <f t="shared" si="184"/>
        <v>0.10610932475884249</v>
      </c>
      <c r="G129" s="18">
        <f t="shared" si="184"/>
        <v>-0.10610465116279066</v>
      </c>
      <c r="H129" s="18">
        <f t="shared" si="184"/>
        <v>0.27886178861788613</v>
      </c>
      <c r="I129" s="18">
        <f t="shared" si="184"/>
        <v>0.23204068658614108</v>
      </c>
      <c r="J129" s="18">
        <f t="shared" ref="J129:N129" si="185">(J128-I128)/(I128)</f>
        <v>2.4574847292318215E-2</v>
      </c>
      <c r="K129" s="18">
        <f t="shared" si="185"/>
        <v>1.2470382438995523E-3</v>
      </c>
      <c r="L129" s="18">
        <f t="shared" si="185"/>
        <v>0.11072779974886328</v>
      </c>
      <c r="M129" s="18">
        <f t="shared" si="185"/>
        <v>0.12297371161539265</v>
      </c>
      <c r="N129" s="18">
        <f t="shared" si="185"/>
        <v>8.6910477276716483E-2</v>
      </c>
    </row>
    <row r="130" spans="1:18" ht="15.75" customHeight="1" x14ac:dyDescent="0.3">
      <c r="A130" s="17" t="s">
        <v>23</v>
      </c>
      <c r="B130" s="23">
        <f t="shared" ref="B130:I130" si="186">+IFERROR(B128/B$114,"nm")</f>
        <v>0.20782290995056951</v>
      </c>
      <c r="C130" s="23">
        <f t="shared" si="186"/>
        <v>0.2286652078774617</v>
      </c>
      <c r="D130" s="23">
        <f t="shared" si="186"/>
        <v>0.218703820983745</v>
      </c>
      <c r="E130" s="23">
        <f t="shared" si="186"/>
        <v>0.2408052651955091</v>
      </c>
      <c r="F130" s="23">
        <f t="shared" si="186"/>
        <v>0.26189569851541683</v>
      </c>
      <c r="G130" s="23">
        <f t="shared" si="186"/>
        <v>0.24463007159904535</v>
      </c>
      <c r="H130" s="23">
        <f t="shared" si="186"/>
        <v>0.2944038929440389</v>
      </c>
      <c r="I130" s="23">
        <f t="shared" si="186"/>
        <v>0.32544080604534004</v>
      </c>
      <c r="J130" s="23">
        <v>0.28420000000000001</v>
      </c>
      <c r="K130" s="23">
        <v>0.29299999999999998</v>
      </c>
      <c r="L130" s="23">
        <v>0.3004</v>
      </c>
      <c r="M130" s="23">
        <v>0.31</v>
      </c>
      <c r="N130" s="21">
        <f>+M130</f>
        <v>0.31</v>
      </c>
    </row>
    <row r="131" spans="1:18" ht="15.75" customHeight="1" x14ac:dyDescent="0.3">
      <c r="A131" s="7" t="s">
        <v>24</v>
      </c>
      <c r="B131" s="7">
        <f>Historicals!B172</f>
        <v>49</v>
      </c>
      <c r="C131" s="7">
        <f>Historicals!C172</f>
        <v>43</v>
      </c>
      <c r="D131" s="7">
        <f>Historicals!D172</f>
        <v>56</v>
      </c>
      <c r="E131" s="7">
        <f>Historicals!E172</f>
        <v>55</v>
      </c>
      <c r="F131" s="7">
        <f>Historicals!F172</f>
        <v>53</v>
      </c>
      <c r="G131" s="7">
        <f>Historicals!G172</f>
        <v>46</v>
      </c>
      <c r="H131" s="7">
        <f>Historicals!H172</f>
        <v>43</v>
      </c>
      <c r="I131" s="7">
        <f>Historicals!I172</f>
        <v>42</v>
      </c>
      <c r="J131" s="7">
        <f>J134*J141</f>
        <v>44.047746270796182</v>
      </c>
      <c r="K131" s="7">
        <f t="shared" ref="K131:N131" si="187">K134*K141</f>
        <v>46.956756930929359</v>
      </c>
      <c r="L131" s="7">
        <f t="shared" si="187"/>
        <v>51.210367306014945</v>
      </c>
      <c r="M131" s="7">
        <f t="shared" si="187"/>
        <v>55.18399298186597</v>
      </c>
      <c r="N131" s="7">
        <f t="shared" si="187"/>
        <v>60.346600663412481</v>
      </c>
    </row>
    <row r="132" spans="1:18" ht="15.75" customHeight="1" x14ac:dyDescent="0.3">
      <c r="A132" s="17" t="s">
        <v>21</v>
      </c>
      <c r="B132" s="18" t="str">
        <f t="shared" ref="B132:I132" si="188">+IFERROR(B131/A131-1,"nm")</f>
        <v>nm</v>
      </c>
      <c r="C132" s="18">
        <f t="shared" si="188"/>
        <v>-0.12244897959183676</v>
      </c>
      <c r="D132" s="18">
        <f t="shared" si="188"/>
        <v>0.30232558139534893</v>
      </c>
      <c r="E132" s="18">
        <f t="shared" si="188"/>
        <v>-1.7857142857142905E-2</v>
      </c>
      <c r="F132" s="18">
        <f t="shared" si="188"/>
        <v>-3.6363636363636376E-2</v>
      </c>
      <c r="G132" s="18">
        <f t="shared" si="188"/>
        <v>-0.13207547169811318</v>
      </c>
      <c r="H132" s="18">
        <f t="shared" si="188"/>
        <v>-6.5217391304347783E-2</v>
      </c>
      <c r="I132" s="18">
        <f t="shared" si="188"/>
        <v>-2.3255813953488413E-2</v>
      </c>
      <c r="J132" s="18">
        <f t="shared" ref="J132" si="189">+IFERROR(J131/I131-1,"nm")</f>
        <v>4.8755863590385307E-2</v>
      </c>
      <c r="K132" s="18">
        <f t="shared" ref="K132" si="190">+IFERROR(K131/J131-1,"nm")</f>
        <v>6.6042213425613117E-2</v>
      </c>
      <c r="L132" s="18">
        <f t="shared" ref="L132" si="191">+IFERROR(L131/K131-1,"nm")</f>
        <v>9.0585693158971692E-2</v>
      </c>
      <c r="M132" s="18">
        <f t="shared" ref="M132" si="192">+IFERROR(M131/L131-1,"nm")</f>
        <v>7.7594164714852587E-2</v>
      </c>
      <c r="N132" s="18">
        <f t="shared" ref="N132" si="193">+IFERROR(N131/M131-1,"nm")</f>
        <v>9.3552630075953269E-2</v>
      </c>
      <c r="Q132" s="1" t="s">
        <v>53</v>
      </c>
    </row>
    <row r="133" spans="1:18" ht="15.75" customHeight="1" x14ac:dyDescent="0.3">
      <c r="A133" s="17" t="s">
        <v>25</v>
      </c>
      <c r="B133" s="18">
        <f t="shared" ref="B133:N133" si="194">+IFERROR(B131/B$114,"nm")</f>
        <v>1.053084031807436E-2</v>
      </c>
      <c r="C133" s="18">
        <f t="shared" si="194"/>
        <v>9.4091903719912464E-3</v>
      </c>
      <c r="D133" s="18">
        <f t="shared" si="194"/>
        <v>1.1821828161283512E-2</v>
      </c>
      <c r="E133" s="18">
        <f t="shared" si="194"/>
        <v>1.064653503677894E-2</v>
      </c>
      <c r="F133" s="18">
        <f t="shared" si="194"/>
        <v>1.0087552341073468E-2</v>
      </c>
      <c r="G133" s="18">
        <f t="shared" si="194"/>
        <v>9.148766905330152E-3</v>
      </c>
      <c r="H133" s="18">
        <f t="shared" si="194"/>
        <v>8.0479131574022079E-3</v>
      </c>
      <c r="I133" s="18">
        <f t="shared" si="194"/>
        <v>7.0528967254408059E-3</v>
      </c>
      <c r="J133" s="18">
        <f t="shared" si="194"/>
        <v>6.3044949801153291E-3</v>
      </c>
      <c r="K133" s="18">
        <f t="shared" si="194"/>
        <v>6.9203332411456571E-3</v>
      </c>
      <c r="L133" s="18">
        <f t="shared" si="194"/>
        <v>6.9664491321725867E-3</v>
      </c>
      <c r="M133" s="18">
        <f t="shared" si="194"/>
        <v>6.8985668488740128E-3</v>
      </c>
      <c r="N133" s="18">
        <f t="shared" si="194"/>
        <v>6.9407242629977378E-3</v>
      </c>
    </row>
    <row r="134" spans="1:18" ht="15.75" customHeight="1" x14ac:dyDescent="0.3">
      <c r="A134" s="17" t="s">
        <v>38</v>
      </c>
      <c r="B134" s="18">
        <f t="shared" ref="B134:I134" si="195">+IFERROR(B131/B141,"nm")</f>
        <v>0.15909090909090909</v>
      </c>
      <c r="C134" s="18">
        <f t="shared" si="195"/>
        <v>0.12951807228915663</v>
      </c>
      <c r="D134" s="18">
        <f t="shared" si="195"/>
        <v>0.16326530612244897</v>
      </c>
      <c r="E134" s="18">
        <f t="shared" si="195"/>
        <v>0.16224188790560473</v>
      </c>
      <c r="F134" s="18">
        <f t="shared" si="195"/>
        <v>0.16257668711656442</v>
      </c>
      <c r="G134" s="18">
        <f t="shared" si="195"/>
        <v>0.1554054054054054</v>
      </c>
      <c r="H134" s="18">
        <f t="shared" si="195"/>
        <v>0.14144736842105263</v>
      </c>
      <c r="I134" s="18">
        <f t="shared" si="195"/>
        <v>0.15328467153284672</v>
      </c>
      <c r="J134" s="18">
        <v>0.153</v>
      </c>
      <c r="K134" s="18">
        <v>0.154</v>
      </c>
      <c r="L134" s="18">
        <v>0.158</v>
      </c>
      <c r="M134" s="18">
        <v>0.16</v>
      </c>
      <c r="N134" s="18">
        <v>0.16400000000000001</v>
      </c>
    </row>
    <row r="135" spans="1:18" ht="15.75" customHeight="1" x14ac:dyDescent="0.3">
      <c r="A135" s="7" t="s">
        <v>26</v>
      </c>
      <c r="B135" s="7">
        <f>Historicals!B139</f>
        <v>918</v>
      </c>
      <c r="C135" s="7">
        <f>Historicals!C139</f>
        <v>1002</v>
      </c>
      <c r="D135" s="7">
        <f>Historicals!D139</f>
        <v>980</v>
      </c>
      <c r="E135" s="7">
        <f>Historicals!E139</f>
        <v>1189</v>
      </c>
      <c r="F135" s="7">
        <f>Historicals!F139</f>
        <v>1323</v>
      </c>
      <c r="G135" s="7">
        <f>Historicals!G139</f>
        <v>1184</v>
      </c>
      <c r="H135" s="7">
        <f>Historicals!H139</f>
        <v>1530</v>
      </c>
      <c r="I135" s="7">
        <f>Historicals!I139</f>
        <v>1896</v>
      </c>
      <c r="J135" s="7">
        <f>J128-J131</f>
        <v>1941.5783077817166</v>
      </c>
      <c r="K135" s="7">
        <f t="shared" ref="K135:N135" si="196">K128-K131</f>
        <v>1941.1454487490703</v>
      </c>
      <c r="L135" s="7">
        <f t="shared" si="196"/>
        <v>2157.0300212847928</v>
      </c>
      <c r="M135" s="7">
        <f t="shared" si="196"/>
        <v>2424.6119123329704</v>
      </c>
      <c r="N135" s="7">
        <f t="shared" si="196"/>
        <v>2634.9695503311837</v>
      </c>
    </row>
    <row r="136" spans="1:18" ht="15.75" customHeight="1" x14ac:dyDescent="0.3">
      <c r="A136" s="17" t="s">
        <v>21</v>
      </c>
      <c r="B136" s="18" t="str">
        <f t="shared" ref="B136:I136" si="197">+IFERROR(B135/A135-1,"nm")</f>
        <v>nm</v>
      </c>
      <c r="C136" s="18">
        <f t="shared" si="197"/>
        <v>9.1503267973856106E-2</v>
      </c>
      <c r="D136" s="18">
        <f t="shared" si="197"/>
        <v>-2.1956087824351322E-2</v>
      </c>
      <c r="E136" s="18">
        <f t="shared" si="197"/>
        <v>0.21326530612244898</v>
      </c>
      <c r="F136" s="18">
        <f t="shared" si="197"/>
        <v>0.11269974768713209</v>
      </c>
      <c r="G136" s="18">
        <f t="shared" si="197"/>
        <v>-0.1050642479213908</v>
      </c>
      <c r="H136" s="18">
        <f t="shared" si="197"/>
        <v>0.29222972972972983</v>
      </c>
      <c r="I136" s="18">
        <f t="shared" si="197"/>
        <v>0.23921568627450984</v>
      </c>
      <c r="J136" s="18">
        <f t="shared" ref="J136" si="198">+IFERROR(J135/I135-1,"nm")</f>
        <v>2.4039191867994081E-2</v>
      </c>
      <c r="K136" s="18">
        <f t="shared" ref="K136" si="199">+IFERROR(K135/J135-1,"nm")</f>
        <v>-2.2294183598536854E-4</v>
      </c>
      <c r="L136" s="18">
        <f t="shared" ref="L136" si="200">+IFERROR(L135/K135-1,"nm")</f>
        <v>0.11121504196135579</v>
      </c>
      <c r="M136" s="18">
        <f t="shared" ref="M136" si="201">+IFERROR(M135/L135-1,"nm")</f>
        <v>0.12405107411940319</v>
      </c>
      <c r="N136" s="18">
        <f t="shared" ref="N136" si="202">+IFERROR(N135/M135-1,"nm")</f>
        <v>8.6759302356065104E-2</v>
      </c>
      <c r="Q136" s="1" t="s">
        <v>30</v>
      </c>
    </row>
    <row r="137" spans="1:18" ht="15.75" customHeight="1" x14ac:dyDescent="0.3">
      <c r="A137" s="17" t="s">
        <v>23</v>
      </c>
      <c r="B137" s="18">
        <f t="shared" ref="B137:N137" si="203">+IFERROR(B135/B114,"nm")</f>
        <v>0.19729206963249515</v>
      </c>
      <c r="C137" s="18">
        <f t="shared" si="203"/>
        <v>0.21925601750547047</v>
      </c>
      <c r="D137" s="18">
        <f t="shared" si="203"/>
        <v>0.20688199282246147</v>
      </c>
      <c r="E137" s="18">
        <f t="shared" si="203"/>
        <v>0.23015873015873015</v>
      </c>
      <c r="F137" s="18">
        <f t="shared" si="203"/>
        <v>0.25180814617434338</v>
      </c>
      <c r="G137" s="18">
        <f t="shared" si="203"/>
        <v>0.2354813046937152</v>
      </c>
      <c r="H137" s="18">
        <f t="shared" si="203"/>
        <v>0.28635597978663674</v>
      </c>
      <c r="I137" s="18">
        <f t="shared" si="203"/>
        <v>0.31838790931989924</v>
      </c>
      <c r="J137" s="18">
        <f t="shared" si="203"/>
        <v>0.27789550501988469</v>
      </c>
      <c r="K137" s="18">
        <f t="shared" si="203"/>
        <v>0.28607966675885432</v>
      </c>
      <c r="L137" s="18">
        <f t="shared" si="203"/>
        <v>0.29343355086782741</v>
      </c>
      <c r="M137" s="18">
        <f t="shared" si="203"/>
        <v>0.30310143315112598</v>
      </c>
      <c r="N137" s="18">
        <f t="shared" si="203"/>
        <v>0.30305927573700225</v>
      </c>
    </row>
    <row r="138" spans="1:18" ht="15.75" customHeight="1" x14ac:dyDescent="0.3">
      <c r="A138" s="7" t="s">
        <v>27</v>
      </c>
      <c r="B138" s="7">
        <f>Historicals!B161</f>
        <v>52</v>
      </c>
      <c r="C138" s="7">
        <f>Historicals!C161</f>
        <v>64</v>
      </c>
      <c r="D138" s="7">
        <f>Historicals!D161</f>
        <v>60</v>
      </c>
      <c r="E138" s="7">
        <f>Historicals!E161</f>
        <v>49</v>
      </c>
      <c r="F138" s="7">
        <f>Historicals!F161</f>
        <v>47</v>
      </c>
      <c r="G138" s="7">
        <f>Historicals!G161</f>
        <v>41</v>
      </c>
      <c r="H138" s="7">
        <f>Historicals!H161</f>
        <v>54</v>
      </c>
      <c r="I138" s="7">
        <f>Historicals!I161</f>
        <v>56</v>
      </c>
      <c r="J138" s="7">
        <f>J140*J114</f>
        <v>55.893766475792049</v>
      </c>
      <c r="K138" s="7">
        <f t="shared" ref="K138:N138" si="204">K140*K114</f>
        <v>61.067985839999984</v>
      </c>
      <c r="L138" s="7">
        <f t="shared" si="204"/>
        <v>66.158999658179994</v>
      </c>
      <c r="M138" s="7">
        <f t="shared" si="204"/>
        <v>71.994074670430734</v>
      </c>
      <c r="N138" s="7">
        <f t="shared" si="204"/>
        <v>78.251114061133435</v>
      </c>
    </row>
    <row r="139" spans="1:18" ht="15.75" customHeight="1" x14ac:dyDescent="0.3">
      <c r="A139" s="17" t="s">
        <v>21</v>
      </c>
      <c r="B139" s="18" t="str">
        <f t="shared" ref="B139:I139" si="205">+IFERROR(B138/A138-1,"nm")</f>
        <v>nm</v>
      </c>
      <c r="C139" s="18">
        <f t="shared" si="205"/>
        <v>0.23076923076923084</v>
      </c>
      <c r="D139" s="18">
        <f t="shared" si="205"/>
        <v>-6.25E-2</v>
      </c>
      <c r="E139" s="18">
        <f t="shared" si="205"/>
        <v>-0.18333333333333335</v>
      </c>
      <c r="F139" s="18">
        <f t="shared" si="205"/>
        <v>-4.081632653061229E-2</v>
      </c>
      <c r="G139" s="18">
        <f t="shared" si="205"/>
        <v>-0.12765957446808507</v>
      </c>
      <c r="H139" s="18">
        <f t="shared" si="205"/>
        <v>0.31707317073170738</v>
      </c>
      <c r="I139" s="18">
        <f t="shared" si="205"/>
        <v>3.7037037037036979E-2</v>
      </c>
      <c r="J139" s="18">
        <f t="shared" ref="J139" si="206">+IFERROR(J138/I138-1,"nm")</f>
        <v>-1.8970272179991143E-3</v>
      </c>
      <c r="K139" s="18">
        <f t="shared" ref="K139" si="207">+IFERROR(K138/J138-1,"nm")</f>
        <v>9.2572386698057452E-2</v>
      </c>
      <c r="L139" s="18">
        <f t="shared" ref="L139" si="208">+IFERROR(L138/K138-1,"nm")</f>
        <v>8.3366329315635479E-2</v>
      </c>
      <c r="M139" s="18">
        <f t="shared" ref="M139" si="209">+IFERROR(M138/L138-1,"nm")</f>
        <v>8.8197751513754641E-2</v>
      </c>
      <c r="N139" s="18">
        <f t="shared" ref="N139" si="210">+IFERROR(N138/M138-1,"nm")</f>
        <v>8.6910477276716414E-2</v>
      </c>
      <c r="Q139" s="1" t="s">
        <v>54</v>
      </c>
      <c r="R139" s="1" t="s">
        <v>55</v>
      </c>
    </row>
    <row r="140" spans="1:18" ht="15.75" customHeight="1" x14ac:dyDescent="0.3">
      <c r="A140" s="17" t="s">
        <v>25</v>
      </c>
      <c r="B140" s="18">
        <f t="shared" ref="B140:I140" si="211">+IFERROR(B138/B$114,"nm")</f>
        <v>1.117558564367075E-2</v>
      </c>
      <c r="C140" s="18">
        <f t="shared" si="211"/>
        <v>1.400437636761488E-2</v>
      </c>
      <c r="D140" s="18">
        <f t="shared" si="211"/>
        <v>1.266624445851805E-2</v>
      </c>
      <c r="E140" s="18">
        <f t="shared" si="211"/>
        <v>9.485094850948509E-3</v>
      </c>
      <c r="F140" s="18">
        <f t="shared" si="211"/>
        <v>8.9455652835934533E-3</v>
      </c>
      <c r="G140" s="18">
        <f t="shared" si="211"/>
        <v>8.1543357199681775E-3</v>
      </c>
      <c r="H140" s="18">
        <f t="shared" si="211"/>
        <v>1.0106681639528355E-2</v>
      </c>
      <c r="I140" s="18">
        <f t="shared" si="211"/>
        <v>9.4038623005877411E-3</v>
      </c>
      <c r="J140" s="18">
        <v>8.0000000000000002E-3</v>
      </c>
      <c r="K140" s="18">
        <v>8.9999999999999993E-3</v>
      </c>
      <c r="L140" s="18">
        <v>8.9999999999999993E-3</v>
      </c>
      <c r="M140" s="18">
        <v>8.9999999999999993E-3</v>
      </c>
      <c r="N140" s="18">
        <v>8.9999999999999993E-3</v>
      </c>
    </row>
    <row r="141" spans="1:18" ht="15.75" customHeight="1" x14ac:dyDescent="0.3">
      <c r="A141" s="7" t="s">
        <v>28</v>
      </c>
      <c r="B141" s="7">
        <f>Historicals!B150</f>
        <v>308</v>
      </c>
      <c r="C141" s="7">
        <f>Historicals!C150</f>
        <v>332</v>
      </c>
      <c r="D141" s="7">
        <f>Historicals!D150</f>
        <v>343</v>
      </c>
      <c r="E141" s="7">
        <f>Historicals!E150</f>
        <v>339</v>
      </c>
      <c r="F141" s="7">
        <f>Historicals!F150</f>
        <v>326</v>
      </c>
      <c r="G141" s="7">
        <f>Historicals!G150</f>
        <v>296</v>
      </c>
      <c r="H141" s="7">
        <f>Historicals!H150</f>
        <v>304</v>
      </c>
      <c r="I141" s="7">
        <f>Historicals!I150</f>
        <v>274</v>
      </c>
      <c r="J141" s="7">
        <f>I141-I131+J138</f>
        <v>287.89376647579206</v>
      </c>
      <c r="K141" s="7">
        <f t="shared" ref="K141:N141" si="212">J141-J131+K138</f>
        <v>304.91400604499586</v>
      </c>
      <c r="L141" s="7">
        <f t="shared" si="212"/>
        <v>324.11624877224648</v>
      </c>
      <c r="M141" s="7">
        <f t="shared" si="212"/>
        <v>344.8999561366623</v>
      </c>
      <c r="N141" s="7">
        <f t="shared" si="212"/>
        <v>367.96707721592975</v>
      </c>
    </row>
    <row r="142" spans="1:18" ht="15.75" customHeight="1" x14ac:dyDescent="0.3">
      <c r="A142" s="17" t="s">
        <v>21</v>
      </c>
      <c r="B142" s="18" t="str">
        <f t="shared" ref="B142:I142" si="213">+IFERROR(B141/A141-1,"nm")</f>
        <v>nm</v>
      </c>
      <c r="C142" s="18">
        <f t="shared" si="213"/>
        <v>7.7922077922077948E-2</v>
      </c>
      <c r="D142" s="18">
        <f t="shared" si="213"/>
        <v>3.3132530120481896E-2</v>
      </c>
      <c r="E142" s="18">
        <f t="shared" si="213"/>
        <v>-1.1661807580174877E-2</v>
      </c>
      <c r="F142" s="18">
        <f t="shared" si="213"/>
        <v>-3.8348082595870192E-2</v>
      </c>
      <c r="G142" s="18">
        <f t="shared" si="213"/>
        <v>-9.2024539877300637E-2</v>
      </c>
      <c r="H142" s="18">
        <f t="shared" si="213"/>
        <v>2.7027027027026973E-2</v>
      </c>
      <c r="I142" s="18">
        <f t="shared" si="213"/>
        <v>-9.8684210526315819E-2</v>
      </c>
      <c r="J142" s="18">
        <f t="shared" ref="J142" si="214">+IFERROR(J141/I141-1,"nm")</f>
        <v>5.0707176918949104E-2</v>
      </c>
      <c r="K142" s="18">
        <f t="shared" ref="K142" si="215">+IFERROR(K141/J141-1,"nm")</f>
        <v>5.9119861390381834E-2</v>
      </c>
      <c r="L142" s="18">
        <f t="shared" ref="L142" si="216">+IFERROR(L141/K141-1,"nm")</f>
        <v>6.2975928775200085E-2</v>
      </c>
      <c r="M142" s="18">
        <f t="shared" ref="M142" si="217">+IFERROR(M141/L141-1,"nm")</f>
        <v>6.4124237655916794E-2</v>
      </c>
      <c r="N142" s="18">
        <f t="shared" ref="N142" si="218">+IFERROR(N141/M141-1,"nm")</f>
        <v>6.6880614708247244E-2</v>
      </c>
      <c r="Q142" s="1" t="s">
        <v>56</v>
      </c>
    </row>
    <row r="143" spans="1:18" ht="15.75" customHeight="1" x14ac:dyDescent="0.3">
      <c r="A143" s="17" t="s">
        <v>25</v>
      </c>
      <c r="B143" s="18">
        <f t="shared" ref="B143:J143" si="219">+IFERROR(B141/B$114,"nm")</f>
        <v>6.6193853427895979E-2</v>
      </c>
      <c r="C143" s="18">
        <f t="shared" si="219"/>
        <v>7.264770240700219E-2</v>
      </c>
      <c r="D143" s="18">
        <f t="shared" si="219"/>
        <v>7.2408697487861509E-2</v>
      </c>
      <c r="E143" s="18">
        <f t="shared" si="219"/>
        <v>6.5621370499419282E-2</v>
      </c>
      <c r="F143" s="18">
        <f t="shared" si="219"/>
        <v>6.2047963456414161E-2</v>
      </c>
      <c r="G143" s="18">
        <f t="shared" si="219"/>
        <v>5.88703261734288E-2</v>
      </c>
      <c r="H143" s="18">
        <f t="shared" si="219"/>
        <v>5.6896874415122589E-2</v>
      </c>
      <c r="I143" s="18">
        <f t="shared" si="219"/>
        <v>4.6011754827875735E-2</v>
      </c>
      <c r="J143" s="18">
        <f t="shared" si="219"/>
        <v>4.1205849543237451E-2</v>
      </c>
      <c r="K143" s="18">
        <f>K141/K114</f>
        <v>4.4937228838608165E-2</v>
      </c>
      <c r="L143" s="18">
        <f t="shared" ref="L143:N143" si="220">+IFERROR(L141/L$114,"nm")</f>
        <v>4.4091450203623969E-2</v>
      </c>
      <c r="M143" s="18">
        <f t="shared" si="220"/>
        <v>4.3116042805462579E-2</v>
      </c>
      <c r="N143" s="18">
        <f t="shared" si="220"/>
        <v>4.2321489408522789E-2</v>
      </c>
    </row>
    <row r="144" spans="1:18" ht="15.75" customHeight="1" x14ac:dyDescent="0.3">
      <c r="A144" s="19" t="s">
        <v>14</v>
      </c>
      <c r="B144" s="19"/>
      <c r="C144" s="19"/>
      <c r="D144" s="19"/>
      <c r="E144" s="19"/>
      <c r="F144" s="19"/>
      <c r="G144" s="19"/>
      <c r="H144" s="19"/>
      <c r="I144" s="19"/>
      <c r="J144" s="15"/>
      <c r="K144" s="15"/>
      <c r="L144" s="15"/>
      <c r="M144" s="15"/>
      <c r="N144" s="15"/>
    </row>
    <row r="145" spans="1:17" ht="15.75" customHeight="1" x14ac:dyDescent="0.3">
      <c r="A145" s="7" t="s">
        <v>29</v>
      </c>
      <c r="B145" s="7">
        <f>Historicals!B125</f>
        <v>115</v>
      </c>
      <c r="C145" s="7">
        <f>Historicals!C125</f>
        <v>73</v>
      </c>
      <c r="D145" s="7">
        <f>Historicals!D125</f>
        <v>73</v>
      </c>
      <c r="E145" s="7">
        <f>Historicals!E125</f>
        <v>88</v>
      </c>
      <c r="F145" s="7">
        <f>Historicals!F125</f>
        <v>42</v>
      </c>
      <c r="G145" s="7">
        <f>Historicals!G125</f>
        <v>30</v>
      </c>
      <c r="H145" s="7">
        <f>Historicals!H125</f>
        <v>25</v>
      </c>
      <c r="I145" s="7">
        <f>Historicals!I125</f>
        <v>102</v>
      </c>
      <c r="J145" s="7">
        <f t="shared" ref="J145:N145" si="221">I145*(1+J146)</f>
        <v>127.5</v>
      </c>
      <c r="K145" s="7">
        <f t="shared" si="221"/>
        <v>133.23749999999998</v>
      </c>
      <c r="L145" s="7">
        <f t="shared" si="221"/>
        <v>144.29621249999997</v>
      </c>
      <c r="M145" s="7">
        <f t="shared" si="221"/>
        <v>155.26272464999997</v>
      </c>
      <c r="N145" s="7">
        <f t="shared" si="221"/>
        <v>164.26796267969996</v>
      </c>
    </row>
    <row r="146" spans="1:17" ht="15.75" customHeight="1" x14ac:dyDescent="0.3">
      <c r="A146" s="17" t="s">
        <v>21</v>
      </c>
      <c r="B146" s="18" t="str">
        <f t="shared" ref="B146:I146" si="222">+IFERROR(B145/A145-1,"nm")</f>
        <v>nm</v>
      </c>
      <c r="C146" s="18">
        <f t="shared" si="222"/>
        <v>-0.36521739130434783</v>
      </c>
      <c r="D146" s="18">
        <f t="shared" si="222"/>
        <v>0</v>
      </c>
      <c r="E146" s="18">
        <f t="shared" si="222"/>
        <v>0.20547945205479445</v>
      </c>
      <c r="F146" s="18">
        <f t="shared" si="222"/>
        <v>-0.52272727272727271</v>
      </c>
      <c r="G146" s="18">
        <f t="shared" si="222"/>
        <v>-0.2857142857142857</v>
      </c>
      <c r="H146" s="18">
        <f t="shared" si="222"/>
        <v>-0.16666666666666663</v>
      </c>
      <c r="I146" s="18">
        <f t="shared" si="222"/>
        <v>3.08</v>
      </c>
      <c r="J146" s="18">
        <f>0.25</f>
        <v>0.25</v>
      </c>
      <c r="K146" s="18">
        <v>4.4999999999999998E-2</v>
      </c>
      <c r="L146" s="18">
        <v>8.3000000000000004E-2</v>
      </c>
      <c r="M146" s="18">
        <v>7.5999999999999998E-2</v>
      </c>
      <c r="N146" s="18">
        <v>5.8000000000000003E-2</v>
      </c>
      <c r="Q146" s="1" t="s">
        <v>57</v>
      </c>
    </row>
    <row r="147" spans="1:17" ht="15.75" customHeight="1" x14ac:dyDescent="0.3">
      <c r="A147" s="7" t="s">
        <v>22</v>
      </c>
      <c r="B147" s="7">
        <f t="shared" ref="B147:I147" si="223">B150+B154</f>
        <v>-2053</v>
      </c>
      <c r="C147" s="7">
        <f t="shared" si="223"/>
        <v>-2366</v>
      </c>
      <c r="D147" s="7">
        <f t="shared" si="223"/>
        <v>-2444</v>
      </c>
      <c r="E147" s="7">
        <f t="shared" si="223"/>
        <v>-2441</v>
      </c>
      <c r="F147" s="7">
        <f t="shared" si="223"/>
        <v>-3067</v>
      </c>
      <c r="G147" s="7">
        <f t="shared" si="223"/>
        <v>-3254</v>
      </c>
      <c r="H147" s="7">
        <f t="shared" si="223"/>
        <v>-3434</v>
      </c>
      <c r="I147" s="7">
        <f t="shared" si="223"/>
        <v>-4042</v>
      </c>
      <c r="J147" s="7">
        <f t="shared" ref="J147:N147" si="224">J149*J145</f>
        <v>-4378.5540000000001</v>
      </c>
      <c r="K147" s="7">
        <f t="shared" si="224"/>
        <v>-5016.3918749999993</v>
      </c>
      <c r="L147" s="7">
        <f t="shared" si="224"/>
        <v>-4639.123231874999</v>
      </c>
      <c r="M147" s="7">
        <f t="shared" si="224"/>
        <v>-5331.9703848404388</v>
      </c>
      <c r="N147" s="7">
        <f t="shared" si="224"/>
        <v>-6498.4406036089313</v>
      </c>
    </row>
    <row r="148" spans="1:17" ht="15.75" customHeight="1" x14ac:dyDescent="0.3">
      <c r="A148" s="17" t="s">
        <v>21</v>
      </c>
      <c r="B148" s="18" t="str">
        <f t="shared" ref="B148:N148" si="225">+IFERROR(B147/A147-1,"nm")</f>
        <v>nm</v>
      </c>
      <c r="C148" s="18">
        <f t="shared" si="225"/>
        <v>0.15245981490501714</v>
      </c>
      <c r="D148" s="18">
        <f t="shared" si="225"/>
        <v>3.2967032967033072E-2</v>
      </c>
      <c r="E148" s="18">
        <f t="shared" si="225"/>
        <v>-1.2274959083469206E-3</v>
      </c>
      <c r="F148" s="18">
        <f t="shared" si="225"/>
        <v>0.25645227365833678</v>
      </c>
      <c r="G148" s="18">
        <f t="shared" si="225"/>
        <v>6.0971633518095869E-2</v>
      </c>
      <c r="H148" s="18">
        <f t="shared" si="225"/>
        <v>5.5316533497234088E-2</v>
      </c>
      <c r="I148" s="18">
        <f t="shared" si="225"/>
        <v>0.1770529994175889</v>
      </c>
      <c r="J148" s="18">
        <f t="shared" si="225"/>
        <v>8.3264225630875766E-2</v>
      </c>
      <c r="K148" s="18">
        <f t="shared" si="225"/>
        <v>0.14567317772031574</v>
      </c>
      <c r="L148" s="18">
        <f t="shared" si="225"/>
        <v>-7.5207171314741084E-2</v>
      </c>
      <c r="M148" s="18">
        <f t="shared" si="225"/>
        <v>0.14934872783825814</v>
      </c>
      <c r="N148" s="18">
        <f t="shared" si="225"/>
        <v>0.21876907307755045</v>
      </c>
    </row>
    <row r="149" spans="1:17" ht="15.75" customHeight="1" x14ac:dyDescent="0.3">
      <c r="A149" s="17" t="s">
        <v>23</v>
      </c>
      <c r="B149" s="23">
        <f t="shared" ref="B149:I149" si="226">+IFERROR(B147/B$145,"nm")</f>
        <v>-17.85217391304348</v>
      </c>
      <c r="C149" s="23">
        <f t="shared" si="226"/>
        <v>-32.410958904109592</v>
      </c>
      <c r="D149" s="23">
        <f t="shared" si="226"/>
        <v>-33.479452054794521</v>
      </c>
      <c r="E149" s="23">
        <f t="shared" si="226"/>
        <v>-27.738636363636363</v>
      </c>
      <c r="F149" s="23">
        <f t="shared" si="226"/>
        <v>-73.023809523809518</v>
      </c>
      <c r="G149" s="23">
        <f t="shared" si="226"/>
        <v>-108.46666666666667</v>
      </c>
      <c r="H149" s="23">
        <f t="shared" si="226"/>
        <v>-137.36000000000001</v>
      </c>
      <c r="I149" s="23">
        <f t="shared" si="226"/>
        <v>-39.627450980392155</v>
      </c>
      <c r="J149" s="23">
        <f>-3434.16%</f>
        <v>-34.3416</v>
      </c>
      <c r="K149" s="23">
        <f>-3765%</f>
        <v>-37.65</v>
      </c>
      <c r="L149" s="23">
        <f>-3215%</f>
        <v>-32.15</v>
      </c>
      <c r="M149" s="23">
        <f>-3434.16%</f>
        <v>-34.3416</v>
      </c>
      <c r="N149" s="24">
        <f>-3956%</f>
        <v>-39.56</v>
      </c>
    </row>
    <row r="150" spans="1:17" ht="15.75" customHeight="1" x14ac:dyDescent="0.3">
      <c r="A150" s="7" t="s">
        <v>24</v>
      </c>
      <c r="B150" s="7">
        <f>Historicals!B173</f>
        <v>210</v>
      </c>
      <c r="C150" s="7">
        <f>Historicals!C173</f>
        <v>230</v>
      </c>
      <c r="D150" s="7">
        <f>Historicals!D173</f>
        <v>233</v>
      </c>
      <c r="E150" s="7">
        <f>Historicals!E173</f>
        <v>217</v>
      </c>
      <c r="F150" s="7">
        <f>Historicals!F173</f>
        <v>195</v>
      </c>
      <c r="G150" s="7">
        <f>Historicals!G173</f>
        <v>214</v>
      </c>
      <c r="H150" s="7">
        <f>Historicals!H173</f>
        <v>222</v>
      </c>
      <c r="I150" s="7">
        <f>Historicals!I173</f>
        <v>220</v>
      </c>
      <c r="J150" s="7">
        <f>J153*J160</f>
        <v>211.34883500000001</v>
      </c>
      <c r="K150" s="7">
        <f t="shared" ref="K150:N150" si="227">K153*K160</f>
        <v>208.35040608000003</v>
      </c>
      <c r="L150" s="7">
        <f t="shared" si="227"/>
        <v>210.78635849651246</v>
      </c>
      <c r="M150" s="7">
        <f t="shared" si="227"/>
        <v>204.26245567488456</v>
      </c>
      <c r="N150" s="7">
        <f t="shared" si="227"/>
        <v>213.6999681294125</v>
      </c>
    </row>
    <row r="151" spans="1:17" ht="15.75" customHeight="1" x14ac:dyDescent="0.3">
      <c r="A151" s="17" t="s">
        <v>21</v>
      </c>
      <c r="B151" s="18" t="str">
        <f t="shared" ref="B151:I151" si="228">+IFERROR(B150/A150-1,"nm")</f>
        <v>nm</v>
      </c>
      <c r="C151" s="18">
        <f t="shared" si="228"/>
        <v>9.5238095238095344E-2</v>
      </c>
      <c r="D151" s="18">
        <f t="shared" si="228"/>
        <v>1.304347826086949E-2</v>
      </c>
      <c r="E151" s="18">
        <f t="shared" si="228"/>
        <v>-6.8669527896995763E-2</v>
      </c>
      <c r="F151" s="18">
        <f t="shared" si="228"/>
        <v>-0.10138248847926268</v>
      </c>
      <c r="G151" s="18">
        <f t="shared" si="228"/>
        <v>9.7435897435897534E-2</v>
      </c>
      <c r="H151" s="18">
        <f t="shared" si="228"/>
        <v>3.7383177570093462E-2</v>
      </c>
      <c r="I151" s="18">
        <f t="shared" si="228"/>
        <v>-9.009009009009028E-3</v>
      </c>
      <c r="J151" s="18">
        <f t="shared" ref="J151" si="229">+IFERROR(J150/I150-1,"nm")</f>
        <v>-3.9323477272727225E-2</v>
      </c>
      <c r="K151" s="18">
        <f t="shared" ref="K151" si="230">+IFERROR(K150/J150-1,"nm")</f>
        <v>-1.4187108814675886E-2</v>
      </c>
      <c r="L151" s="18">
        <f t="shared" ref="L151" si="231">+IFERROR(L150/K150-1,"nm")</f>
        <v>1.1691613481075169E-2</v>
      </c>
      <c r="M151" s="18">
        <f t="shared" ref="M151" si="232">+IFERROR(M150/L150-1,"nm")</f>
        <v>-3.0950308493212342E-2</v>
      </c>
      <c r="N151" s="18">
        <f t="shared" ref="N151" si="233">+IFERROR(N150/M150-1,"nm")</f>
        <v>4.6202873765256225E-2</v>
      </c>
    </row>
    <row r="152" spans="1:17" ht="15.75" customHeight="1" x14ac:dyDescent="0.3">
      <c r="A152" s="17" t="s">
        <v>25</v>
      </c>
      <c r="B152" s="18">
        <f t="shared" ref="B152:N152" si="234">+IFERROR(B150/B$145,"nm")</f>
        <v>1.826086956521739</v>
      </c>
      <c r="C152" s="18">
        <f t="shared" si="234"/>
        <v>3.1506849315068495</v>
      </c>
      <c r="D152" s="18">
        <f t="shared" si="234"/>
        <v>3.1917808219178081</v>
      </c>
      <c r="E152" s="18">
        <f t="shared" si="234"/>
        <v>2.4659090909090908</v>
      </c>
      <c r="F152" s="18">
        <f t="shared" si="234"/>
        <v>4.6428571428571432</v>
      </c>
      <c r="G152" s="18">
        <f t="shared" si="234"/>
        <v>7.1333333333333337</v>
      </c>
      <c r="H152" s="18">
        <f t="shared" si="234"/>
        <v>8.8800000000000008</v>
      </c>
      <c r="I152" s="18">
        <f t="shared" si="234"/>
        <v>2.1568627450980391</v>
      </c>
      <c r="J152" s="18">
        <f t="shared" si="234"/>
        <v>1.6576379215686274</v>
      </c>
      <c r="K152" s="18">
        <f t="shared" si="234"/>
        <v>1.563751992344498</v>
      </c>
      <c r="L152" s="18">
        <f t="shared" si="234"/>
        <v>1.4607892670537872</v>
      </c>
      <c r="M152" s="18">
        <f t="shared" si="234"/>
        <v>1.3155923685826199</v>
      </c>
      <c r="N152" s="18">
        <f t="shared" si="234"/>
        <v>1.3009229836623601</v>
      </c>
    </row>
    <row r="153" spans="1:17" ht="15.75" customHeight="1" x14ac:dyDescent="0.3">
      <c r="A153" s="17" t="s">
        <v>38</v>
      </c>
      <c r="B153" s="18">
        <f t="shared" ref="B153:I153" si="235">+IFERROR(B150/B160,"nm")</f>
        <v>0.43388429752066116</v>
      </c>
      <c r="C153" s="18">
        <f t="shared" si="235"/>
        <v>0.45009784735812131</v>
      </c>
      <c r="D153" s="18">
        <f t="shared" si="235"/>
        <v>0.43714821763602252</v>
      </c>
      <c r="E153" s="18">
        <f t="shared" si="235"/>
        <v>0.36348408710217756</v>
      </c>
      <c r="F153" s="18">
        <f t="shared" si="235"/>
        <v>0.2932330827067669</v>
      </c>
      <c r="G153" s="18">
        <f t="shared" si="235"/>
        <v>0.25783132530120484</v>
      </c>
      <c r="H153" s="18">
        <f t="shared" si="235"/>
        <v>0.2846153846153846</v>
      </c>
      <c r="I153" s="18">
        <f t="shared" si="235"/>
        <v>0.27883396704689478</v>
      </c>
      <c r="J153" s="18">
        <v>0.27100000000000002</v>
      </c>
      <c r="K153" s="21">
        <v>0.27200000000000002</v>
      </c>
      <c r="L153" s="21">
        <v>0.28499999999999998</v>
      </c>
      <c r="M153" s="21">
        <v>0.29099999999999998</v>
      </c>
      <c r="N153" s="21">
        <v>0.32300000000000001</v>
      </c>
    </row>
    <row r="154" spans="1:17" ht="15.75" customHeight="1" x14ac:dyDescent="0.3">
      <c r="A154" s="7" t="s">
        <v>26</v>
      </c>
      <c r="B154" s="7">
        <f>Historicals!B140</f>
        <v>-2263</v>
      </c>
      <c r="C154" s="7">
        <f>Historicals!C140</f>
        <v>-2596</v>
      </c>
      <c r="D154" s="7">
        <f>Historicals!D140</f>
        <v>-2677</v>
      </c>
      <c r="E154" s="7">
        <f>Historicals!E140</f>
        <v>-2658</v>
      </c>
      <c r="F154" s="7">
        <f>Historicals!F140</f>
        <v>-3262</v>
      </c>
      <c r="G154" s="7">
        <f>Historicals!G140</f>
        <v>-3468</v>
      </c>
      <c r="H154" s="7">
        <f>Historicals!H140</f>
        <v>-3656</v>
      </c>
      <c r="I154" s="7">
        <f>Historicals!I140</f>
        <v>-4262</v>
      </c>
      <c r="J154" s="7">
        <f>J147-J150</f>
        <v>-4589.9028349999999</v>
      </c>
      <c r="K154" s="7">
        <f t="shared" ref="K154:N154" si="236">K147-K150</f>
        <v>-5224.742281079999</v>
      </c>
      <c r="L154" s="7">
        <f t="shared" si="236"/>
        <v>-4849.9095903715115</v>
      </c>
      <c r="M154" s="7">
        <f t="shared" si="236"/>
        <v>-5536.232840515323</v>
      </c>
      <c r="N154" s="7">
        <f t="shared" si="236"/>
        <v>-6712.1405717383441</v>
      </c>
    </row>
    <row r="155" spans="1:17" ht="15.75" customHeight="1" x14ac:dyDescent="0.3">
      <c r="A155" s="17" t="s">
        <v>21</v>
      </c>
      <c r="B155" s="18" t="str">
        <f t="shared" ref="B155:I155" si="237">+IFERROR(B154/A154-1,"nm")</f>
        <v>nm</v>
      </c>
      <c r="C155" s="18">
        <f t="shared" si="237"/>
        <v>0.1471498011489174</v>
      </c>
      <c r="D155" s="18">
        <f t="shared" si="237"/>
        <v>3.1201848998459125E-2</v>
      </c>
      <c r="E155" s="18">
        <f t="shared" si="237"/>
        <v>-7.097497198356395E-3</v>
      </c>
      <c r="F155" s="18">
        <f t="shared" si="237"/>
        <v>0.22723852520692245</v>
      </c>
      <c r="G155" s="18">
        <f t="shared" si="237"/>
        <v>6.3151440833844275E-2</v>
      </c>
      <c r="H155" s="18">
        <f t="shared" si="237"/>
        <v>5.4209919261822392E-2</v>
      </c>
      <c r="I155" s="18">
        <f t="shared" si="237"/>
        <v>0.16575492341356668</v>
      </c>
      <c r="J155" s="18">
        <f t="shared" ref="J155" si="238">+IFERROR(J154/I154-1,"nm")</f>
        <v>7.6936376114500105E-2</v>
      </c>
      <c r="K155" s="18">
        <f t="shared" ref="K155" si="239">+IFERROR(K154/J154-1,"nm")</f>
        <v>0.13831217542102925</v>
      </c>
      <c r="L155" s="18">
        <f t="shared" ref="L155" si="240">+IFERROR(L154/K154-1,"nm")</f>
        <v>-7.1741852620337498E-2</v>
      </c>
      <c r="M155" s="18">
        <f t="shared" ref="M155" si="241">+IFERROR(M154/L154-1,"nm")</f>
        <v>0.14151258644209852</v>
      </c>
      <c r="N155" s="18">
        <f t="shared" ref="N155" si="242">+IFERROR(N154/M154-1,"nm")</f>
        <v>0.21240214512248823</v>
      </c>
    </row>
    <row r="156" spans="1:17" ht="15.75" customHeight="1" x14ac:dyDescent="0.3">
      <c r="A156" s="17" t="s">
        <v>23</v>
      </c>
      <c r="B156" s="18">
        <f t="shared" ref="B156:N156" si="243">+IFERROR(B154/B$145,"nm")</f>
        <v>-19.678260869565218</v>
      </c>
      <c r="C156" s="18">
        <f t="shared" si="243"/>
        <v>-35.561643835616437</v>
      </c>
      <c r="D156" s="18">
        <f t="shared" si="243"/>
        <v>-36.671232876712331</v>
      </c>
      <c r="E156" s="18">
        <f t="shared" si="243"/>
        <v>-30.204545454545453</v>
      </c>
      <c r="F156" s="18">
        <f t="shared" si="243"/>
        <v>-77.666666666666671</v>
      </c>
      <c r="G156" s="18">
        <f t="shared" si="243"/>
        <v>-115.6</v>
      </c>
      <c r="H156" s="18">
        <f t="shared" si="243"/>
        <v>-146.24</v>
      </c>
      <c r="I156" s="18">
        <f t="shared" si="243"/>
        <v>-41.784313725490193</v>
      </c>
      <c r="J156" s="18">
        <f t="shared" si="243"/>
        <v>-35.999237921568628</v>
      </c>
      <c r="K156" s="18">
        <f t="shared" si="243"/>
        <v>-39.213751992344498</v>
      </c>
      <c r="L156" s="18">
        <f t="shared" si="243"/>
        <v>-33.610789267053789</v>
      </c>
      <c r="M156" s="18">
        <f t="shared" si="243"/>
        <v>-35.657192368582614</v>
      </c>
      <c r="N156" s="18">
        <f t="shared" si="243"/>
        <v>-40.86092298366237</v>
      </c>
    </row>
    <row r="157" spans="1:17" ht="15.75" customHeight="1" x14ac:dyDescent="0.3">
      <c r="A157" s="7" t="s">
        <v>27</v>
      </c>
      <c r="B157" s="7">
        <f>Historicals!B162</f>
        <v>225</v>
      </c>
      <c r="C157" s="7">
        <f>Historicals!C162</f>
        <v>258</v>
      </c>
      <c r="D157" s="7">
        <f>Historicals!D162</f>
        <v>278</v>
      </c>
      <c r="E157" s="7">
        <f>Historicals!E162</f>
        <v>286</v>
      </c>
      <c r="F157" s="7">
        <f>Historicals!F162</f>
        <v>278</v>
      </c>
      <c r="G157" s="7">
        <f>Historicals!G162</f>
        <v>438</v>
      </c>
      <c r="H157" s="7">
        <f>Historicals!H162</f>
        <v>278</v>
      </c>
      <c r="I157" s="7">
        <f>Historicals!I162</f>
        <v>222</v>
      </c>
      <c r="J157" s="7">
        <f>J159*J145</f>
        <v>210.88499999999999</v>
      </c>
      <c r="K157" s="7">
        <f t="shared" ref="K157:N157" si="244">K159*K145</f>
        <v>197.45797499999998</v>
      </c>
      <c r="L157" s="7">
        <f t="shared" si="244"/>
        <v>181.95752396249995</v>
      </c>
      <c r="M157" s="7">
        <f t="shared" si="244"/>
        <v>173.11793798474997</v>
      </c>
      <c r="N157" s="7">
        <f t="shared" si="244"/>
        <v>163.93942675434056</v>
      </c>
      <c r="Q157" s="1" t="s">
        <v>58</v>
      </c>
    </row>
    <row r="158" spans="1:17" ht="15.75" customHeight="1" x14ac:dyDescent="0.3">
      <c r="A158" s="17" t="s">
        <v>21</v>
      </c>
      <c r="B158" s="18" t="str">
        <f t="shared" ref="B158:I158" si="245">+IFERROR(B157/A157-1,"nm")</f>
        <v>nm</v>
      </c>
      <c r="C158" s="18">
        <f t="shared" si="245"/>
        <v>0.14666666666666672</v>
      </c>
      <c r="D158" s="18">
        <f t="shared" si="245"/>
        <v>7.7519379844961156E-2</v>
      </c>
      <c r="E158" s="18">
        <f t="shared" si="245"/>
        <v>2.877697841726623E-2</v>
      </c>
      <c r="F158" s="18">
        <f t="shared" si="245"/>
        <v>-2.7972027972028024E-2</v>
      </c>
      <c r="G158" s="18">
        <f t="shared" si="245"/>
        <v>0.57553956834532372</v>
      </c>
      <c r="H158" s="18">
        <f t="shared" si="245"/>
        <v>-0.36529680365296802</v>
      </c>
      <c r="I158" s="18">
        <f t="shared" si="245"/>
        <v>-0.20143884892086328</v>
      </c>
      <c r="J158" s="18">
        <f t="shared" ref="J158" si="246">+IFERROR(J157/I157-1,"nm")</f>
        <v>-5.0067567567567584E-2</v>
      </c>
      <c r="K158" s="18">
        <f t="shared" ref="K158" si="247">+IFERROR(K157/J157-1,"nm")</f>
        <v>-6.3669891172914217E-2</v>
      </c>
      <c r="L158" s="18">
        <f t="shared" ref="L158" si="248">+IFERROR(L157/K157-1,"nm")</f>
        <v>-7.8500000000000125E-2</v>
      </c>
      <c r="M158" s="18">
        <f t="shared" ref="M158" si="249">+IFERROR(M157/L157-1,"nm")</f>
        <v>-4.858049167327505E-2</v>
      </c>
      <c r="N158" s="18">
        <f t="shared" ref="N158" si="250">+IFERROR(N157/M157-1,"nm")</f>
        <v>-5.3018834080717614E-2</v>
      </c>
    </row>
    <row r="159" spans="1:17" ht="15.75" customHeight="1" x14ac:dyDescent="0.3">
      <c r="A159" s="17" t="s">
        <v>25</v>
      </c>
      <c r="B159" s="18">
        <f t="shared" ref="B159:I159" si="251">+IFERROR(B157/B$145,"nm")</f>
        <v>1.9565217391304348</v>
      </c>
      <c r="C159" s="18">
        <f t="shared" si="251"/>
        <v>3.5342465753424657</v>
      </c>
      <c r="D159" s="18">
        <f t="shared" si="251"/>
        <v>3.8082191780821919</v>
      </c>
      <c r="E159" s="18">
        <f t="shared" si="251"/>
        <v>3.25</v>
      </c>
      <c r="F159" s="18">
        <f t="shared" si="251"/>
        <v>6.6190476190476186</v>
      </c>
      <c r="G159" s="18">
        <f t="shared" si="251"/>
        <v>14.6</v>
      </c>
      <c r="H159" s="18">
        <f t="shared" si="251"/>
        <v>11.12</v>
      </c>
      <c r="I159" s="18">
        <f t="shared" si="251"/>
        <v>2.1764705882352939</v>
      </c>
      <c r="J159" s="18">
        <v>1.6539999999999999</v>
      </c>
      <c r="K159" s="18">
        <v>1.482</v>
      </c>
      <c r="L159" s="18">
        <v>1.2609999999999999</v>
      </c>
      <c r="M159" s="18">
        <v>1.115</v>
      </c>
      <c r="N159" s="18">
        <v>0.998</v>
      </c>
    </row>
    <row r="160" spans="1:17" ht="15.75" customHeight="1" x14ac:dyDescent="0.3">
      <c r="A160" s="7" t="s">
        <v>28</v>
      </c>
      <c r="B160" s="7">
        <f>Historicals!B151</f>
        <v>484</v>
      </c>
      <c r="C160" s="7">
        <f>Historicals!C151</f>
        <v>511</v>
      </c>
      <c r="D160" s="7">
        <f>Historicals!D151</f>
        <v>533</v>
      </c>
      <c r="E160" s="7">
        <f>Historicals!E151</f>
        <v>597</v>
      </c>
      <c r="F160" s="7">
        <f>Historicals!F151</f>
        <v>665</v>
      </c>
      <c r="G160" s="7">
        <f>Historicals!G151</f>
        <v>830</v>
      </c>
      <c r="H160" s="7">
        <f>Historicals!H151</f>
        <v>780</v>
      </c>
      <c r="I160" s="7">
        <f>Historicals!I151</f>
        <v>789</v>
      </c>
      <c r="J160" s="7">
        <f>I160-I150+J157</f>
        <v>779.88499999999999</v>
      </c>
      <c r="K160" s="7">
        <f t="shared" ref="K160:N160" si="252">J160-J150+K157</f>
        <v>765.99414000000002</v>
      </c>
      <c r="L160" s="7">
        <f t="shared" si="252"/>
        <v>739.60125788249991</v>
      </c>
      <c r="M160" s="7">
        <f t="shared" si="252"/>
        <v>701.93283737073739</v>
      </c>
      <c r="N160" s="7">
        <f t="shared" si="252"/>
        <v>661.60980845019344</v>
      </c>
    </row>
    <row r="161" spans="1:17" ht="15.75" customHeight="1" x14ac:dyDescent="0.3">
      <c r="A161" s="17" t="s">
        <v>21</v>
      </c>
      <c r="B161" s="18" t="str">
        <f t="shared" ref="B161:I161" si="253">+IFERROR(B160/A160-1,"nm")</f>
        <v>nm</v>
      </c>
      <c r="C161" s="18">
        <f t="shared" si="253"/>
        <v>5.5785123966942241E-2</v>
      </c>
      <c r="D161" s="18">
        <f t="shared" si="253"/>
        <v>4.3052837573385627E-2</v>
      </c>
      <c r="E161" s="18">
        <f t="shared" si="253"/>
        <v>0.12007504690431525</v>
      </c>
      <c r="F161" s="18">
        <f t="shared" si="253"/>
        <v>0.11390284757118918</v>
      </c>
      <c r="G161" s="18">
        <f t="shared" si="253"/>
        <v>0.24812030075187974</v>
      </c>
      <c r="H161" s="18">
        <f t="shared" si="253"/>
        <v>-6.0240963855421659E-2</v>
      </c>
      <c r="I161" s="18">
        <f t="shared" si="253"/>
        <v>1.1538461538461497E-2</v>
      </c>
      <c r="J161" s="18">
        <f t="shared" ref="J161" si="254">+IFERROR(J160/I160-1,"nm")</f>
        <v>-1.1552598225602062E-2</v>
      </c>
      <c r="K161" s="18">
        <f t="shared" ref="K161" si="255">+IFERROR(K160/J160-1,"nm")</f>
        <v>-1.7811420914621956E-2</v>
      </c>
      <c r="L161" s="18">
        <f t="shared" ref="L161" si="256">+IFERROR(L160/K160-1,"nm")</f>
        <v>-3.4455723274201655E-2</v>
      </c>
      <c r="M161" s="18">
        <f t="shared" ref="M161" si="257">+IFERROR(M160/L160-1,"nm")</f>
        <v>-5.0930714503661489E-2</v>
      </c>
      <c r="N161" s="18">
        <f t="shared" ref="N161" si="258">+IFERROR(N160/M160-1,"nm")</f>
        <v>-5.744570815576E-2</v>
      </c>
      <c r="Q161" s="1" t="s">
        <v>59</v>
      </c>
    </row>
    <row r="162" spans="1:17" ht="15.75" customHeight="1" x14ac:dyDescent="0.3">
      <c r="A162" s="17" t="s">
        <v>25</v>
      </c>
      <c r="B162" s="18">
        <f t="shared" ref="B162:N162" si="259">+IFERROR(B160/B$145,"nm")</f>
        <v>4.2086956521739127</v>
      </c>
      <c r="C162" s="18">
        <f t="shared" si="259"/>
        <v>7</v>
      </c>
      <c r="D162" s="18">
        <f t="shared" si="259"/>
        <v>7.3013698630136989</v>
      </c>
      <c r="E162" s="18">
        <f t="shared" si="259"/>
        <v>6.7840909090909092</v>
      </c>
      <c r="F162" s="18">
        <f t="shared" si="259"/>
        <v>15.833333333333334</v>
      </c>
      <c r="G162" s="18">
        <f t="shared" si="259"/>
        <v>27.666666666666668</v>
      </c>
      <c r="H162" s="18">
        <f t="shared" si="259"/>
        <v>31.2</v>
      </c>
      <c r="I162" s="18">
        <f t="shared" si="259"/>
        <v>7.7352941176470589</v>
      </c>
      <c r="J162" s="18">
        <f t="shared" si="259"/>
        <v>6.1167450980392157</v>
      </c>
      <c r="K162" s="18">
        <f t="shared" si="259"/>
        <v>5.7490882071488887</v>
      </c>
      <c r="L162" s="18">
        <f t="shared" si="259"/>
        <v>5.1255763756273236</v>
      </c>
      <c r="M162" s="18">
        <f t="shared" si="259"/>
        <v>4.5209359745107216</v>
      </c>
      <c r="N162" s="18">
        <f t="shared" si="259"/>
        <v>4.0276253364159755</v>
      </c>
    </row>
    <row r="163" spans="1:17" ht="15.75" customHeight="1" x14ac:dyDescent="0.3">
      <c r="A163" s="19" t="s">
        <v>15</v>
      </c>
      <c r="B163" s="19"/>
      <c r="C163" s="19"/>
      <c r="D163" s="19"/>
      <c r="E163" s="19"/>
      <c r="F163" s="19"/>
      <c r="G163" s="19"/>
      <c r="H163" s="19"/>
      <c r="I163" s="19"/>
      <c r="J163" s="15"/>
      <c r="K163" s="15"/>
      <c r="L163" s="15"/>
      <c r="M163" s="15"/>
      <c r="N163" s="15"/>
    </row>
    <row r="164" spans="1:17" ht="15.75" customHeight="1" x14ac:dyDescent="0.3">
      <c r="A164" s="7" t="s">
        <v>29</v>
      </c>
      <c r="B164" s="7">
        <f>Historicals!B127</f>
        <v>1982</v>
      </c>
      <c r="C164" s="7">
        <f>Historicals!C127</f>
        <v>1955</v>
      </c>
      <c r="D164" s="7">
        <f>Historicals!D127</f>
        <v>2042</v>
      </c>
      <c r="E164" s="7">
        <f>Historicals!E127</f>
        <v>1886</v>
      </c>
      <c r="F164" s="7">
        <f>Historicals!F127</f>
        <v>1906</v>
      </c>
      <c r="G164" s="7">
        <f>Historicals!G127</f>
        <v>1846</v>
      </c>
      <c r="H164" s="7">
        <f>Historicals!H127</f>
        <v>2205</v>
      </c>
      <c r="I164" s="7">
        <f>Historicals!I127</f>
        <v>2346</v>
      </c>
      <c r="J164" s="7">
        <f t="shared" ref="J164:N164" si="260">+SUM(J166+J170+J174+J178)</f>
        <v>2452.2249999999999</v>
      </c>
      <c r="K164" s="7">
        <f t="shared" si="260"/>
        <v>2578.2102349999996</v>
      </c>
      <c r="L164" s="7">
        <f t="shared" si="260"/>
        <v>2722.4236589450002</v>
      </c>
      <c r="M164" s="7">
        <f t="shared" si="260"/>
        <v>2857.84248160479</v>
      </c>
      <c r="N164" s="7">
        <f t="shared" si="260"/>
        <v>3013.8073374266796</v>
      </c>
    </row>
    <row r="165" spans="1:17" ht="15.75" customHeight="1" x14ac:dyDescent="0.3">
      <c r="A165" s="17" t="s">
        <v>21</v>
      </c>
      <c r="B165" s="18" t="str">
        <f t="shared" ref="B165:N165" si="261">+IFERROR(B164/A164-1,"nm")</f>
        <v>nm</v>
      </c>
      <c r="C165" s="18">
        <f t="shared" si="261"/>
        <v>-1.3622603430877955E-2</v>
      </c>
      <c r="D165" s="18">
        <f t="shared" si="261"/>
        <v>4.4501278772378416E-2</v>
      </c>
      <c r="E165" s="18">
        <f t="shared" si="261"/>
        <v>-7.6395690499510338E-2</v>
      </c>
      <c r="F165" s="18">
        <f t="shared" si="261"/>
        <v>1.0604453870625585E-2</v>
      </c>
      <c r="G165" s="18">
        <f t="shared" si="261"/>
        <v>-3.147953830010497E-2</v>
      </c>
      <c r="H165" s="18">
        <f t="shared" si="261"/>
        <v>0.19447453954496208</v>
      </c>
      <c r="I165" s="18">
        <f t="shared" si="261"/>
        <v>6.3945578231292544E-2</v>
      </c>
      <c r="J165" s="18">
        <f t="shared" si="261"/>
        <v>4.5279198635976181E-2</v>
      </c>
      <c r="K165" s="18">
        <f t="shared" si="261"/>
        <v>5.1375887204477388E-2</v>
      </c>
      <c r="L165" s="18">
        <f t="shared" si="261"/>
        <v>5.5935478801246941E-2</v>
      </c>
      <c r="M165" s="18">
        <f t="shared" si="261"/>
        <v>4.9742009189072123E-2</v>
      </c>
      <c r="N165" s="18">
        <f t="shared" si="261"/>
        <v>5.4574335998500922E-2</v>
      </c>
      <c r="Q165" s="1" t="s">
        <v>60</v>
      </c>
    </row>
    <row r="166" spans="1:17" ht="15.75" customHeight="1" x14ac:dyDescent="0.3">
      <c r="A166" s="20" t="s">
        <v>8</v>
      </c>
      <c r="B166" s="6">
        <f>Historicals!B128</f>
        <v>18318</v>
      </c>
      <c r="C166" s="6">
        <f>Historicals!C128</f>
        <v>19871</v>
      </c>
      <c r="D166" s="6">
        <f>Historicals!D128</f>
        <v>21081</v>
      </c>
      <c r="E166" s="6">
        <f>Historicals!E128</f>
        <v>22268</v>
      </c>
      <c r="F166" s="6">
        <f>Historicals!F128</f>
        <v>1658</v>
      </c>
      <c r="G166" s="6">
        <f>Historicals!G128</f>
        <v>1642</v>
      </c>
      <c r="H166" s="6">
        <f>Historicals!H128</f>
        <v>1986</v>
      </c>
      <c r="I166" s="6">
        <f>Historicals!I128</f>
        <v>2094</v>
      </c>
      <c r="J166" s="6">
        <f t="shared" ref="J166:N166" si="262">+I166*(1+J167)</f>
        <v>2198.7000000000003</v>
      </c>
      <c r="K166" s="6">
        <f t="shared" si="262"/>
        <v>2324.0259000000001</v>
      </c>
      <c r="L166" s="6">
        <f t="shared" si="262"/>
        <v>2468.1155058000004</v>
      </c>
      <c r="M166" s="6">
        <f t="shared" si="262"/>
        <v>2598.9256276074002</v>
      </c>
      <c r="N166" s="6">
        <f t="shared" si="262"/>
        <v>2749.6633140086296</v>
      </c>
    </row>
    <row r="167" spans="1:17" ht="15.75" customHeight="1" x14ac:dyDescent="0.3">
      <c r="A167" s="17" t="s">
        <v>21</v>
      </c>
      <c r="B167" s="18" t="str">
        <f t="shared" ref="B167:I167" si="263">+IFERROR(B166/A166-1,"nm")</f>
        <v>nm</v>
      </c>
      <c r="C167" s="18">
        <f t="shared" si="263"/>
        <v>8.4779997816355479E-2</v>
      </c>
      <c r="D167" s="18">
        <f t="shared" si="263"/>
        <v>6.0892758290976845E-2</v>
      </c>
      <c r="E167" s="18">
        <f t="shared" si="263"/>
        <v>5.6306626820359584E-2</v>
      </c>
      <c r="F167" s="18">
        <f t="shared" si="263"/>
        <v>-0.92554338063589003</v>
      </c>
      <c r="G167" s="18">
        <f t="shared" si="263"/>
        <v>-9.6501809408926498E-3</v>
      </c>
      <c r="H167" s="18">
        <f t="shared" si="263"/>
        <v>0.2095006090133984</v>
      </c>
      <c r="I167" s="18">
        <f t="shared" si="263"/>
        <v>5.4380664652567967E-2</v>
      </c>
      <c r="J167" s="18">
        <f t="shared" ref="J167:N167" si="264">+J168+J169</f>
        <v>0.05</v>
      </c>
      <c r="K167" s="18">
        <f t="shared" si="264"/>
        <v>5.7000000000000002E-2</v>
      </c>
      <c r="L167" s="18">
        <f t="shared" si="264"/>
        <v>6.2E-2</v>
      </c>
      <c r="M167" s="18">
        <f t="shared" si="264"/>
        <v>5.2999999999999999E-2</v>
      </c>
      <c r="N167" s="18">
        <f t="shared" si="264"/>
        <v>5.8000000000000003E-2</v>
      </c>
      <c r="Q167" s="1" t="s">
        <v>61</v>
      </c>
    </row>
    <row r="168" spans="1:17" ht="15.75" customHeight="1" x14ac:dyDescent="0.3">
      <c r="A168" s="17" t="s">
        <v>32</v>
      </c>
      <c r="B168" s="18">
        <f>Historicals!B200</f>
        <v>0</v>
      </c>
      <c r="C168" s="18">
        <f>Historicals!C200</f>
        <v>0</v>
      </c>
      <c r="D168" s="18">
        <f>Historicals!D200</f>
        <v>0</v>
      </c>
      <c r="E168" s="18">
        <f>Historicals!E200</f>
        <v>0</v>
      </c>
      <c r="F168" s="18">
        <f>Historicals!F200</f>
        <v>0.06</v>
      </c>
      <c r="G168" s="18">
        <f>Historicals!G200</f>
        <v>0.01</v>
      </c>
      <c r="H168" s="18">
        <f>Historicals!H200</f>
        <v>0.17</v>
      </c>
      <c r="I168" s="18">
        <f>Historicals!I200</f>
        <v>0.06</v>
      </c>
      <c r="J168" s="21">
        <v>0.05</v>
      </c>
      <c r="K168" s="21">
        <v>5.7000000000000002E-2</v>
      </c>
      <c r="L168" s="21">
        <v>6.2E-2</v>
      </c>
      <c r="M168" s="21">
        <v>5.2999999999999999E-2</v>
      </c>
      <c r="N168" s="21">
        <v>5.8000000000000003E-2</v>
      </c>
    </row>
    <row r="169" spans="1:17" ht="15.75" customHeight="1" x14ac:dyDescent="0.3">
      <c r="A169" s="17" t="s">
        <v>33</v>
      </c>
      <c r="B169" s="18" t="str">
        <f t="shared" ref="B169:I169" si="265">+IFERROR(B167-B168,"nm")</f>
        <v>nm</v>
      </c>
      <c r="C169" s="18">
        <f t="shared" si="265"/>
        <v>8.4779997816355479E-2</v>
      </c>
      <c r="D169" s="18">
        <f t="shared" si="265"/>
        <v>6.0892758290976845E-2</v>
      </c>
      <c r="E169" s="18">
        <f t="shared" si="265"/>
        <v>5.6306626820359584E-2</v>
      </c>
      <c r="F169" s="18">
        <f t="shared" si="265"/>
        <v>-0.98554338063588998</v>
      </c>
      <c r="G169" s="18">
        <f t="shared" si="265"/>
        <v>-1.9650180940892652E-2</v>
      </c>
      <c r="H169" s="18">
        <f t="shared" si="265"/>
        <v>3.9500609013398386E-2</v>
      </c>
      <c r="I169" s="18">
        <f t="shared" si="265"/>
        <v>-5.6193353474320307E-3</v>
      </c>
      <c r="J169" s="21">
        <v>0</v>
      </c>
      <c r="K169" s="21">
        <v>0</v>
      </c>
      <c r="L169" s="21">
        <v>0</v>
      </c>
      <c r="M169" s="21">
        <v>0</v>
      </c>
      <c r="N169" s="21">
        <v>0</v>
      </c>
    </row>
    <row r="170" spans="1:17" ht="15.75" customHeight="1" x14ac:dyDescent="0.3">
      <c r="A170" s="20" t="s">
        <v>9</v>
      </c>
      <c r="B170" s="6">
        <f>Historicals!B129</f>
        <v>8637</v>
      </c>
      <c r="C170" s="6">
        <f>Historicals!C129</f>
        <v>9067</v>
      </c>
      <c r="D170" s="6">
        <f>Historicals!D129</f>
        <v>9654</v>
      </c>
      <c r="E170" s="6">
        <f>Historicals!E129</f>
        <v>10733</v>
      </c>
      <c r="F170" s="6">
        <f>Historicals!F129</f>
        <v>118</v>
      </c>
      <c r="G170" s="6">
        <f>Historicals!G129</f>
        <v>89</v>
      </c>
      <c r="H170" s="6">
        <f>Historicals!H129</f>
        <v>104</v>
      </c>
      <c r="I170" s="6">
        <f>Historicals!I129</f>
        <v>103</v>
      </c>
      <c r="J170" s="6">
        <f t="shared" ref="J170:N170" si="266">+I170*(1+J171)</f>
        <v>101.97</v>
      </c>
      <c r="K170" s="6">
        <f t="shared" si="266"/>
        <v>100.33848</v>
      </c>
      <c r="L170" s="6">
        <f t="shared" si="266"/>
        <v>99.134418240000002</v>
      </c>
      <c r="M170" s="6">
        <f t="shared" si="266"/>
        <v>100.81970335007999</v>
      </c>
      <c r="N170" s="6">
        <f t="shared" si="266"/>
        <v>102.23117919698112</v>
      </c>
    </row>
    <row r="171" spans="1:17" ht="15.75" customHeight="1" x14ac:dyDescent="0.3">
      <c r="A171" s="17" t="s">
        <v>21</v>
      </c>
      <c r="B171" s="18" t="str">
        <f t="shared" ref="B171:I171" si="267">+IFERROR(B170/A170-1,"nm")</f>
        <v>nm</v>
      </c>
      <c r="C171" s="18">
        <f t="shared" si="267"/>
        <v>4.9785805256454818E-2</v>
      </c>
      <c r="D171" s="18">
        <f t="shared" si="267"/>
        <v>6.4740266901952115E-2</v>
      </c>
      <c r="E171" s="18">
        <f t="shared" si="267"/>
        <v>0.1117671431530971</v>
      </c>
      <c r="F171" s="18">
        <f t="shared" si="267"/>
        <v>-0.9890058697475077</v>
      </c>
      <c r="G171" s="18">
        <f t="shared" si="267"/>
        <v>-0.24576271186440679</v>
      </c>
      <c r="H171" s="18">
        <f t="shared" si="267"/>
        <v>0.1685393258426966</v>
      </c>
      <c r="I171" s="18">
        <f t="shared" si="267"/>
        <v>-9.6153846153845812E-3</v>
      </c>
      <c r="J171" s="18">
        <f t="shared" ref="J171:N171" si="268">+J172+J173</f>
        <v>-0.01</v>
      </c>
      <c r="K171" s="18">
        <f t="shared" si="268"/>
        <v>-1.6E-2</v>
      </c>
      <c r="L171" s="18">
        <f t="shared" si="268"/>
        <v>-1.2E-2</v>
      </c>
      <c r="M171" s="18">
        <f t="shared" si="268"/>
        <v>1.7000000000000001E-2</v>
      </c>
      <c r="N171" s="18">
        <f t="shared" si="268"/>
        <v>1.4E-2</v>
      </c>
    </row>
    <row r="172" spans="1:17" ht="15.75" customHeight="1" x14ac:dyDescent="0.3">
      <c r="A172" s="17" t="s">
        <v>32</v>
      </c>
      <c r="B172" s="18">
        <f>Historicals!B201</f>
        <v>0</v>
      </c>
      <c r="C172" s="18">
        <f>Historicals!C201</f>
        <v>0</v>
      </c>
      <c r="D172" s="18">
        <f>Historicals!D201</f>
        <v>0</v>
      </c>
      <c r="E172" s="18">
        <f>Historicals!E201</f>
        <v>0</v>
      </c>
      <c r="F172" s="18">
        <f>Historicals!F201</f>
        <v>-0.03</v>
      </c>
      <c r="G172" s="18">
        <f>Historicals!G201</f>
        <v>-0.22</v>
      </c>
      <c r="H172" s="18">
        <f>Historicals!H201</f>
        <v>0.13</v>
      </c>
      <c r="I172" s="18">
        <f>Historicals!I201</f>
        <v>-0.03</v>
      </c>
      <c r="J172" s="21">
        <v>-0.01</v>
      </c>
      <c r="K172" s="21">
        <v>-1.6E-2</v>
      </c>
      <c r="L172" s="21">
        <v>-1.2E-2</v>
      </c>
      <c r="M172" s="21">
        <v>1.7000000000000001E-2</v>
      </c>
      <c r="N172" s="21">
        <v>1.4E-2</v>
      </c>
      <c r="Q172" s="1" t="s">
        <v>62</v>
      </c>
    </row>
    <row r="173" spans="1:17" ht="15.75" customHeight="1" x14ac:dyDescent="0.3">
      <c r="A173" s="17" t="s">
        <v>33</v>
      </c>
      <c r="B173" s="18" t="str">
        <f t="shared" ref="B173:I173" si="269">+IFERROR(B171-B172,"nm")</f>
        <v>nm</v>
      </c>
      <c r="C173" s="18">
        <f t="shared" si="269"/>
        <v>4.9785805256454818E-2</v>
      </c>
      <c r="D173" s="18">
        <f t="shared" si="269"/>
        <v>6.4740266901952115E-2</v>
      </c>
      <c r="E173" s="18">
        <f t="shared" si="269"/>
        <v>0.1117671431530971</v>
      </c>
      <c r="F173" s="18">
        <f t="shared" si="269"/>
        <v>-0.95900586974750768</v>
      </c>
      <c r="G173" s="18">
        <f t="shared" si="269"/>
        <v>-2.576271186440679E-2</v>
      </c>
      <c r="H173" s="18">
        <f t="shared" si="269"/>
        <v>3.8539325842696592E-2</v>
      </c>
      <c r="I173" s="18">
        <f t="shared" si="269"/>
        <v>2.0384615384615418E-2</v>
      </c>
      <c r="J173" s="21">
        <v>0</v>
      </c>
      <c r="K173" s="21">
        <v>0</v>
      </c>
      <c r="L173" s="21">
        <v>0</v>
      </c>
      <c r="M173" s="21">
        <v>0</v>
      </c>
      <c r="N173" s="21">
        <v>0</v>
      </c>
    </row>
    <row r="174" spans="1:17" ht="15.75" customHeight="1" x14ac:dyDescent="0.3">
      <c r="A174" s="20" t="s">
        <v>10</v>
      </c>
      <c r="B174" s="6">
        <f>Historicals!B130</f>
        <v>1631</v>
      </c>
      <c r="C174" s="6">
        <f>Historicals!C130</f>
        <v>1496</v>
      </c>
      <c r="D174" s="6">
        <f>Historicals!D130</f>
        <v>1425</v>
      </c>
      <c r="E174" s="6">
        <f>Historicals!E130</f>
        <v>1396</v>
      </c>
      <c r="F174" s="6">
        <f>Historicals!F130</f>
        <v>24</v>
      </c>
      <c r="G174" s="6">
        <f>Historicals!G130</f>
        <v>25</v>
      </c>
      <c r="H174" s="6">
        <f>Historicals!H130</f>
        <v>29</v>
      </c>
      <c r="I174" s="6">
        <f>Historicals!I130</f>
        <v>26</v>
      </c>
      <c r="J174" s="6">
        <f t="shared" ref="J174:N174" si="270">+I174*(1+J175)</f>
        <v>25.48</v>
      </c>
      <c r="K174" s="6">
        <f t="shared" si="270"/>
        <v>25.123280000000001</v>
      </c>
      <c r="L174" s="6">
        <f t="shared" si="270"/>
        <v>24.520321280000001</v>
      </c>
      <c r="M174" s="6">
        <f t="shared" si="270"/>
        <v>24.569361922560002</v>
      </c>
      <c r="N174" s="6">
        <f t="shared" si="270"/>
        <v>24.913332989475844</v>
      </c>
    </row>
    <row r="175" spans="1:17" ht="15.75" customHeight="1" x14ac:dyDescent="0.3">
      <c r="A175" s="17" t="s">
        <v>21</v>
      </c>
      <c r="B175" s="18" t="str">
        <f t="shared" ref="B175:I175" si="271">+IFERROR(B174/A174-1,"nm")</f>
        <v>nm</v>
      </c>
      <c r="C175" s="18">
        <f t="shared" si="271"/>
        <v>-8.2771305947271667E-2</v>
      </c>
      <c r="D175" s="18">
        <f t="shared" si="271"/>
        <v>-4.7459893048128365E-2</v>
      </c>
      <c r="E175" s="18">
        <f t="shared" si="271"/>
        <v>-2.0350877192982453E-2</v>
      </c>
      <c r="F175" s="18">
        <f t="shared" si="271"/>
        <v>-0.98280802292263614</v>
      </c>
      <c r="G175" s="18">
        <f t="shared" si="271"/>
        <v>4.1666666666666741E-2</v>
      </c>
      <c r="H175" s="18">
        <f t="shared" si="271"/>
        <v>0.15999999999999992</v>
      </c>
      <c r="I175" s="18">
        <f t="shared" si="271"/>
        <v>-0.10344827586206895</v>
      </c>
      <c r="J175" s="18">
        <f t="shared" ref="J175:N175" si="272">+J176+J177</f>
        <v>-0.02</v>
      </c>
      <c r="K175" s="18">
        <f t="shared" si="272"/>
        <v>-1.4E-2</v>
      </c>
      <c r="L175" s="18">
        <f t="shared" si="272"/>
        <v>-2.4E-2</v>
      </c>
      <c r="M175" s="18">
        <f t="shared" si="272"/>
        <v>2E-3</v>
      </c>
      <c r="N175" s="18">
        <f t="shared" si="272"/>
        <v>1.4E-2</v>
      </c>
    </row>
    <row r="176" spans="1:17" ht="15.75" customHeight="1" x14ac:dyDescent="0.3">
      <c r="A176" s="17" t="s">
        <v>32</v>
      </c>
      <c r="B176" s="18">
        <f>Historicals!B202</f>
        <v>0</v>
      </c>
      <c r="C176" s="18">
        <f>Historicals!C202</f>
        <v>0</v>
      </c>
      <c r="D176" s="18">
        <f>Historicals!D202</f>
        <v>0</v>
      </c>
      <c r="E176" s="18">
        <f>Historicals!E202</f>
        <v>0</v>
      </c>
      <c r="F176" s="18">
        <f>Historicals!F202</f>
        <v>-0.16</v>
      </c>
      <c r="G176" s="18">
        <f>Historicals!G202</f>
        <v>0.08</v>
      </c>
      <c r="H176" s="18">
        <f>Historicals!H202</f>
        <v>0.14000000000000001</v>
      </c>
      <c r="I176" s="18">
        <f>Historicals!I202</f>
        <v>-0.16</v>
      </c>
      <c r="J176" s="21">
        <v>-0.02</v>
      </c>
      <c r="K176" s="21">
        <v>-1.4E-2</v>
      </c>
      <c r="L176" s="21">
        <v>-2.4E-2</v>
      </c>
      <c r="M176" s="21">
        <v>2E-3</v>
      </c>
      <c r="N176" s="21">
        <v>1.4E-2</v>
      </c>
    </row>
    <row r="177" spans="1:17" ht="15.75" customHeight="1" x14ac:dyDescent="0.3">
      <c r="A177" s="17" t="s">
        <v>33</v>
      </c>
      <c r="B177" s="18" t="str">
        <f t="shared" ref="B177:I177" si="273">+IFERROR(B175-B176,"nm")</f>
        <v>nm</v>
      </c>
      <c r="C177" s="18">
        <f t="shared" si="273"/>
        <v>-8.2771305947271667E-2</v>
      </c>
      <c r="D177" s="18">
        <f t="shared" si="273"/>
        <v>-4.7459893048128365E-2</v>
      </c>
      <c r="E177" s="18">
        <f t="shared" si="273"/>
        <v>-2.0350877192982453E-2</v>
      </c>
      <c r="F177" s="18">
        <f t="shared" si="273"/>
        <v>-0.82280802292263611</v>
      </c>
      <c r="G177" s="18">
        <f t="shared" si="273"/>
        <v>-3.8333333333333261E-2</v>
      </c>
      <c r="H177" s="18">
        <f t="shared" si="273"/>
        <v>1.9999999999999907E-2</v>
      </c>
      <c r="I177" s="18">
        <f t="shared" si="273"/>
        <v>5.6551724137931053E-2</v>
      </c>
      <c r="J177" s="21">
        <v>0</v>
      </c>
      <c r="K177" s="21">
        <v>0</v>
      </c>
      <c r="L177" s="21">
        <v>0</v>
      </c>
      <c r="M177" s="21">
        <v>0</v>
      </c>
      <c r="N177" s="21">
        <v>0</v>
      </c>
    </row>
    <row r="178" spans="1:17" ht="15.75" customHeight="1" x14ac:dyDescent="0.3">
      <c r="A178" s="20" t="s">
        <v>16</v>
      </c>
      <c r="B178" s="6">
        <f>Historicals!B131</f>
        <v>115</v>
      </c>
      <c r="C178" s="6">
        <f>Historicals!C131</f>
        <v>73</v>
      </c>
      <c r="D178" s="6">
        <f>Historicals!D131</f>
        <v>73</v>
      </c>
      <c r="E178" s="6">
        <f>Historicals!E131</f>
        <v>88</v>
      </c>
      <c r="F178" s="6">
        <f>Historicals!F131</f>
        <v>106</v>
      </c>
      <c r="G178" s="6">
        <f>Historicals!G131</f>
        <v>90</v>
      </c>
      <c r="H178" s="6">
        <f>Historicals!H131</f>
        <v>86</v>
      </c>
      <c r="I178" s="6">
        <f>Historicals!I131</f>
        <v>123</v>
      </c>
      <c r="J178" s="6">
        <f t="shared" ref="J178:N178" si="274">+I178*(1+J179)</f>
        <v>126.07499999999999</v>
      </c>
      <c r="K178" s="6">
        <f t="shared" si="274"/>
        <v>128.72257499999998</v>
      </c>
      <c r="L178" s="6">
        <f t="shared" si="274"/>
        <v>130.65341362499996</v>
      </c>
      <c r="M178" s="6">
        <f t="shared" si="274"/>
        <v>133.52778872474997</v>
      </c>
      <c r="N178" s="6">
        <f t="shared" si="274"/>
        <v>136.99951123159346</v>
      </c>
    </row>
    <row r="179" spans="1:17" ht="15.75" customHeight="1" x14ac:dyDescent="0.3">
      <c r="A179" s="17" t="s">
        <v>21</v>
      </c>
      <c r="B179" s="18" t="str">
        <f t="shared" ref="B179:I179" si="275">+IFERROR(B178/A178-1,"nm")</f>
        <v>nm</v>
      </c>
      <c r="C179" s="18">
        <f t="shared" si="275"/>
        <v>-0.36521739130434783</v>
      </c>
      <c r="D179" s="18">
        <f t="shared" si="275"/>
        <v>0</v>
      </c>
      <c r="E179" s="18">
        <f t="shared" si="275"/>
        <v>0.20547945205479445</v>
      </c>
      <c r="F179" s="18">
        <f t="shared" si="275"/>
        <v>0.20454545454545459</v>
      </c>
      <c r="G179" s="18">
        <f t="shared" si="275"/>
        <v>-0.15094339622641506</v>
      </c>
      <c r="H179" s="18">
        <f t="shared" si="275"/>
        <v>-4.4444444444444398E-2</v>
      </c>
      <c r="I179" s="18">
        <f t="shared" si="275"/>
        <v>0.43023255813953498</v>
      </c>
      <c r="J179" s="18">
        <f t="shared" ref="J179:N179" si="276">+J180+J181</f>
        <v>2.5000000000000001E-2</v>
      </c>
      <c r="K179" s="18">
        <f t="shared" si="276"/>
        <v>2.1000000000000001E-2</v>
      </c>
      <c r="L179" s="18">
        <f t="shared" si="276"/>
        <v>1.4999999999999999E-2</v>
      </c>
      <c r="M179" s="18">
        <f t="shared" si="276"/>
        <v>2.1999999999999999E-2</v>
      </c>
      <c r="N179" s="18">
        <f t="shared" si="276"/>
        <v>2.5999999999999999E-2</v>
      </c>
    </row>
    <row r="180" spans="1:17" ht="15.75" customHeight="1" x14ac:dyDescent="0.3">
      <c r="A180" s="17" t="s">
        <v>32</v>
      </c>
      <c r="B180" s="18">
        <f>Historicals!B203</f>
        <v>0</v>
      </c>
      <c r="C180" s="18">
        <f>Historicals!C203</f>
        <v>0</v>
      </c>
      <c r="D180" s="18">
        <f>Historicals!D203</f>
        <v>0</v>
      </c>
      <c r="E180" s="18">
        <f>Historicals!E203</f>
        <v>0</v>
      </c>
      <c r="F180" s="18">
        <f>Historicals!F203</f>
        <v>0.42</v>
      </c>
      <c r="G180" s="18">
        <f>Historicals!G203</f>
        <v>-0.14000000000000001</v>
      </c>
      <c r="H180" s="18">
        <f>Historicals!H203</f>
        <v>-0.01</v>
      </c>
      <c r="I180" s="18">
        <f>Historicals!I203</f>
        <v>0.42</v>
      </c>
      <c r="J180" s="21">
        <v>2.5000000000000001E-2</v>
      </c>
      <c r="K180" s="21">
        <v>2.1000000000000001E-2</v>
      </c>
      <c r="L180" s="21">
        <v>1.4999999999999999E-2</v>
      </c>
      <c r="M180" s="21">
        <v>2.1999999999999999E-2</v>
      </c>
      <c r="N180" s="21">
        <v>2.5999999999999999E-2</v>
      </c>
    </row>
    <row r="181" spans="1:17" ht="15.75" customHeight="1" x14ac:dyDescent="0.3">
      <c r="A181" s="17" t="s">
        <v>33</v>
      </c>
      <c r="B181" s="18" t="str">
        <f t="shared" ref="B181:I181" si="277">+IFERROR(B179-B180,"nm")</f>
        <v>nm</v>
      </c>
      <c r="C181" s="18">
        <f t="shared" si="277"/>
        <v>-0.36521739130434783</v>
      </c>
      <c r="D181" s="18">
        <f t="shared" si="277"/>
        <v>0</v>
      </c>
      <c r="E181" s="18">
        <f t="shared" si="277"/>
        <v>0.20547945205479445</v>
      </c>
      <c r="F181" s="18">
        <f t="shared" si="277"/>
        <v>-0.2154545454545454</v>
      </c>
      <c r="G181" s="18">
        <f t="shared" si="277"/>
        <v>-1.0943396226415048E-2</v>
      </c>
      <c r="H181" s="18">
        <f t="shared" si="277"/>
        <v>-3.4444444444444396E-2</v>
      </c>
      <c r="I181" s="18">
        <f t="shared" si="277"/>
        <v>1.0232558139534997E-2</v>
      </c>
      <c r="J181" s="21">
        <v>0</v>
      </c>
      <c r="K181" s="21">
        <v>0</v>
      </c>
      <c r="L181" s="21">
        <v>0</v>
      </c>
      <c r="M181" s="21">
        <v>0</v>
      </c>
      <c r="N181" s="21">
        <v>0</v>
      </c>
    </row>
    <row r="182" spans="1:17" ht="15.75" customHeight="1" x14ac:dyDescent="0.3">
      <c r="A182" s="7" t="s">
        <v>22</v>
      </c>
      <c r="B182" s="7">
        <f t="shared" ref="B182:I182" si="278">B185+B189</f>
        <v>535</v>
      </c>
      <c r="C182" s="7">
        <f t="shared" si="278"/>
        <v>514</v>
      </c>
      <c r="D182" s="7">
        <f t="shared" si="278"/>
        <v>505</v>
      </c>
      <c r="E182" s="7">
        <f t="shared" si="278"/>
        <v>343</v>
      </c>
      <c r="F182" s="7">
        <f t="shared" si="278"/>
        <v>334</v>
      </c>
      <c r="G182" s="7">
        <f t="shared" si="278"/>
        <v>322</v>
      </c>
      <c r="H182" s="7">
        <f t="shared" si="278"/>
        <v>569</v>
      </c>
      <c r="I182" s="7">
        <f t="shared" si="278"/>
        <v>691</v>
      </c>
      <c r="J182" s="7">
        <f t="shared" ref="J182:N182" si="279">J184*J164</f>
        <v>821.49537499999997</v>
      </c>
      <c r="K182" s="7">
        <f t="shared" si="279"/>
        <v>794.08875237999985</v>
      </c>
      <c r="L182" s="7">
        <f t="shared" si="279"/>
        <v>849.39618159084</v>
      </c>
      <c r="M182" s="7">
        <f t="shared" si="279"/>
        <v>863.06842944464654</v>
      </c>
      <c r="N182" s="7">
        <f t="shared" si="279"/>
        <v>874.00412785373703</v>
      </c>
    </row>
    <row r="183" spans="1:17" ht="15.75" customHeight="1" x14ac:dyDescent="0.3">
      <c r="A183" s="17" t="s">
        <v>21</v>
      </c>
      <c r="B183" s="18" t="str">
        <f t="shared" ref="B183:I183" si="280">+IFERROR(B182/A182-1,"nm")</f>
        <v>nm</v>
      </c>
      <c r="C183" s="18">
        <f t="shared" si="280"/>
        <v>-3.9252336448598157E-2</v>
      </c>
      <c r="D183" s="18">
        <f t="shared" si="280"/>
        <v>-1.7509727626459193E-2</v>
      </c>
      <c r="E183" s="18">
        <f t="shared" si="280"/>
        <v>-0.32079207920792074</v>
      </c>
      <c r="F183" s="18">
        <f t="shared" si="280"/>
        <v>-2.6239067055393583E-2</v>
      </c>
      <c r="G183" s="18">
        <f t="shared" si="280"/>
        <v>-3.59281437125748E-2</v>
      </c>
      <c r="H183" s="18">
        <f t="shared" si="280"/>
        <v>0.76708074534161486</v>
      </c>
      <c r="I183" s="18">
        <f t="shared" si="280"/>
        <v>0.21441124780316345</v>
      </c>
      <c r="J183" s="18">
        <f t="shared" ref="J183:N183" si="281">(J182-I182)/I182</f>
        <v>0.18885003617945004</v>
      </c>
      <c r="K183" s="18">
        <f t="shared" si="281"/>
        <v>-3.3361870868719279E-2</v>
      </c>
      <c r="L183" s="18">
        <f t="shared" si="281"/>
        <v>6.9648926577886572E-2</v>
      </c>
      <c r="M183" s="18">
        <f t="shared" si="281"/>
        <v>1.6096431971473771E-2</v>
      </c>
      <c r="N183" s="18">
        <f t="shared" si="281"/>
        <v>1.2670719998560507E-2</v>
      </c>
    </row>
    <row r="184" spans="1:17" ht="15.75" customHeight="1" x14ac:dyDescent="0.3">
      <c r="A184" s="17" t="s">
        <v>23</v>
      </c>
      <c r="B184" s="18">
        <f t="shared" ref="B184:I184" si="282">+IFERROR(B182/B$164,"nm")</f>
        <v>0.26992936427850656</v>
      </c>
      <c r="C184" s="18">
        <f t="shared" si="282"/>
        <v>0.26291560102301792</v>
      </c>
      <c r="D184" s="18">
        <f t="shared" si="282"/>
        <v>0.24730656219392752</v>
      </c>
      <c r="E184" s="18">
        <f t="shared" si="282"/>
        <v>0.18186638388123011</v>
      </c>
      <c r="F184" s="18">
        <f t="shared" si="282"/>
        <v>0.17523609653725078</v>
      </c>
      <c r="G184" s="18">
        <f t="shared" si="282"/>
        <v>0.17443120260021669</v>
      </c>
      <c r="H184" s="18">
        <f t="shared" si="282"/>
        <v>0.25804988662131517</v>
      </c>
      <c r="I184" s="18">
        <f t="shared" si="282"/>
        <v>0.29454390451832907</v>
      </c>
      <c r="J184" s="18">
        <f>33.5%</f>
        <v>0.33500000000000002</v>
      </c>
      <c r="K184" s="18">
        <v>0.308</v>
      </c>
      <c r="L184" s="18">
        <v>0.312</v>
      </c>
      <c r="M184" s="18">
        <v>0.30199999999999999</v>
      </c>
      <c r="N184" s="25">
        <v>0.28999999999999998</v>
      </c>
    </row>
    <row r="185" spans="1:17" ht="15.75" customHeight="1" x14ac:dyDescent="0.3">
      <c r="A185" s="7" t="s">
        <v>24</v>
      </c>
      <c r="B185" s="7">
        <f>Historicals!B175</f>
        <v>18</v>
      </c>
      <c r="C185" s="7">
        <f>Historicals!C175</f>
        <v>27</v>
      </c>
      <c r="D185" s="7">
        <f>Historicals!D175</f>
        <v>28</v>
      </c>
      <c r="E185" s="7">
        <f>Historicals!E175</f>
        <v>33</v>
      </c>
      <c r="F185" s="7">
        <f>Historicals!F175</f>
        <v>31</v>
      </c>
      <c r="G185" s="7">
        <f>Historicals!G175</f>
        <v>25</v>
      </c>
      <c r="H185" s="7">
        <f>Historicals!H175</f>
        <v>26</v>
      </c>
      <c r="I185" s="7">
        <f>Historicals!I175</f>
        <v>22</v>
      </c>
      <c r="J185" s="7">
        <f>J188*J195</f>
        <v>18.570512125</v>
      </c>
      <c r="K185" s="7">
        <f t="shared" ref="K185:N185" si="283">K188*K195</f>
        <v>16.622923704750001</v>
      </c>
      <c r="L185" s="7">
        <f>L188*L195</f>
        <v>14.249524823937762</v>
      </c>
      <c r="M185" s="7">
        <f t="shared" si="283"/>
        <v>17.689040645335744</v>
      </c>
      <c r="N185" s="7">
        <f t="shared" si="283"/>
        <v>22.108649388400387</v>
      </c>
    </row>
    <row r="186" spans="1:17" ht="15.75" customHeight="1" x14ac:dyDescent="0.3">
      <c r="A186" s="17" t="s">
        <v>21</v>
      </c>
      <c r="B186" s="18" t="str">
        <f t="shared" ref="B186:I186" si="284">+IFERROR(B185/A185-1,"nm")</f>
        <v>nm</v>
      </c>
      <c r="C186" s="18">
        <f t="shared" si="284"/>
        <v>0.5</v>
      </c>
      <c r="D186" s="18">
        <f t="shared" si="284"/>
        <v>3.7037037037036979E-2</v>
      </c>
      <c r="E186" s="18">
        <f t="shared" si="284"/>
        <v>0.1785714285714286</v>
      </c>
      <c r="F186" s="18">
        <f t="shared" si="284"/>
        <v>-6.0606060606060552E-2</v>
      </c>
      <c r="G186" s="18">
        <f t="shared" si="284"/>
        <v>-0.19354838709677424</v>
      </c>
      <c r="H186" s="18">
        <f t="shared" si="284"/>
        <v>4.0000000000000036E-2</v>
      </c>
      <c r="I186" s="18">
        <f t="shared" si="284"/>
        <v>-0.15384615384615385</v>
      </c>
      <c r="J186" s="18">
        <f t="shared" ref="J186" si="285">+IFERROR(J185/I185-1,"nm")</f>
        <v>-0.1558858125</v>
      </c>
      <c r="K186" s="18">
        <f t="shared" ref="K186" si="286">+IFERROR(K185/J185-1,"nm")</f>
        <v>-0.10487532100033559</v>
      </c>
      <c r="L186" s="18">
        <f>+IFERROR(L185/K185-1,"nm")</f>
        <v>-0.14277866655515237</v>
      </c>
      <c r="M186" s="18">
        <f t="shared" ref="M186:N186" si="287">+IFERROR(M185/L185-1,"nm")</f>
        <v>0.24137758022779421</v>
      </c>
      <c r="N186" s="18">
        <f t="shared" si="287"/>
        <v>0.24985010954961018</v>
      </c>
      <c r="Q186" s="1" t="s">
        <v>63</v>
      </c>
    </row>
    <row r="187" spans="1:17" ht="15.75" customHeight="1" x14ac:dyDescent="0.3">
      <c r="A187" s="17" t="s">
        <v>25</v>
      </c>
      <c r="B187" s="18">
        <f t="shared" ref="B187:N187" si="288">+IFERROR(B185/B$164,"nm")</f>
        <v>9.0817356205852677E-3</v>
      </c>
      <c r="C187" s="18">
        <f t="shared" si="288"/>
        <v>1.3810741687979539E-2</v>
      </c>
      <c r="D187" s="18">
        <f t="shared" si="288"/>
        <v>1.3712047012732615E-2</v>
      </c>
      <c r="E187" s="18">
        <f t="shared" si="288"/>
        <v>1.7497348886532343E-2</v>
      </c>
      <c r="F187" s="18">
        <f t="shared" si="288"/>
        <v>1.6264428121720881E-2</v>
      </c>
      <c r="G187" s="18">
        <f t="shared" si="288"/>
        <v>1.3542795232936078E-2</v>
      </c>
      <c r="H187" s="18">
        <f t="shared" si="288"/>
        <v>1.1791383219954649E-2</v>
      </c>
      <c r="I187" s="18">
        <f t="shared" si="288"/>
        <v>9.3776641091219103E-3</v>
      </c>
      <c r="J187" s="18">
        <f t="shared" si="288"/>
        <v>7.5729234164891076E-3</v>
      </c>
      <c r="K187" s="18">
        <f t="shared" si="288"/>
        <v>6.4474663388922604E-3</v>
      </c>
      <c r="L187" s="18">
        <f t="shared" si="288"/>
        <v>5.2341320121570539E-3</v>
      </c>
      <c r="M187" s="18">
        <f t="shared" si="288"/>
        <v>6.1896485755235393E-3</v>
      </c>
      <c r="N187" s="18">
        <f t="shared" si="288"/>
        <v>7.3357872329283388E-3</v>
      </c>
    </row>
    <row r="188" spans="1:17" ht="15.75" customHeight="1" x14ac:dyDescent="0.3">
      <c r="A188" s="17" t="s">
        <v>38</v>
      </c>
      <c r="B188" s="18">
        <f t="shared" ref="B188:I188" si="289">+IFERROR(B185/B195,"nm")</f>
        <v>0.14754098360655737</v>
      </c>
      <c r="C188" s="18">
        <f t="shared" si="289"/>
        <v>0.216</v>
      </c>
      <c r="D188" s="18">
        <f t="shared" si="289"/>
        <v>0.224</v>
      </c>
      <c r="E188" s="18">
        <f t="shared" si="289"/>
        <v>0.28695652173913044</v>
      </c>
      <c r="F188" s="18">
        <f t="shared" si="289"/>
        <v>0.31</v>
      </c>
      <c r="G188" s="18">
        <f t="shared" si="289"/>
        <v>0.3125</v>
      </c>
      <c r="H188" s="18">
        <f t="shared" si="289"/>
        <v>0.41269841269841268</v>
      </c>
      <c r="I188" s="18">
        <f t="shared" si="289"/>
        <v>0.44897959183673469</v>
      </c>
      <c r="J188" s="18">
        <v>0.47299999999999998</v>
      </c>
      <c r="K188" s="18">
        <v>0.495</v>
      </c>
      <c r="L188" s="18">
        <v>0.42799999999999999</v>
      </c>
      <c r="M188" s="18">
        <v>0.45300000000000001</v>
      </c>
      <c r="N188" s="18">
        <v>0.45600000000000002</v>
      </c>
    </row>
    <row r="189" spans="1:17" ht="15.75" customHeight="1" x14ac:dyDescent="0.3">
      <c r="A189" s="7" t="s">
        <v>26</v>
      </c>
      <c r="B189" s="7">
        <f>Historicals!B142</f>
        <v>517</v>
      </c>
      <c r="C189" s="7">
        <f>Historicals!C142</f>
        <v>487</v>
      </c>
      <c r="D189" s="7">
        <f>Historicals!D142</f>
        <v>477</v>
      </c>
      <c r="E189" s="7">
        <f>Historicals!E142</f>
        <v>310</v>
      </c>
      <c r="F189" s="7">
        <f>Historicals!F142</f>
        <v>303</v>
      </c>
      <c r="G189" s="7">
        <f>Historicals!G142</f>
        <v>297</v>
      </c>
      <c r="H189" s="7">
        <f>Historicals!H142</f>
        <v>543</v>
      </c>
      <c r="I189" s="7">
        <f>Historicals!I142</f>
        <v>669</v>
      </c>
      <c r="J189" s="7">
        <f>J182-J185</f>
        <v>802.92486287499992</v>
      </c>
      <c r="K189" s="7">
        <f t="shared" ref="K189:N189" si="290">K182-K185</f>
        <v>777.4658286752499</v>
      </c>
      <c r="L189" s="7">
        <f t="shared" si="290"/>
        <v>835.1466567669022</v>
      </c>
      <c r="M189" s="7">
        <f t="shared" si="290"/>
        <v>845.37938879931085</v>
      </c>
      <c r="N189" s="7">
        <f t="shared" si="290"/>
        <v>851.89547846533662</v>
      </c>
    </row>
    <row r="190" spans="1:17" ht="15.75" customHeight="1" x14ac:dyDescent="0.3">
      <c r="A190" s="17" t="s">
        <v>21</v>
      </c>
      <c r="B190" s="26" t="str">
        <f t="shared" ref="B190:I190" si="291">+IFERROR(B189/A189-1,"nm")</f>
        <v>nm</v>
      </c>
      <c r="C190" s="26">
        <f t="shared" si="291"/>
        <v>-5.8027079303675011E-2</v>
      </c>
      <c r="D190" s="26">
        <f t="shared" si="291"/>
        <v>-2.0533880903490731E-2</v>
      </c>
      <c r="E190" s="26">
        <f t="shared" si="291"/>
        <v>-0.35010482180293501</v>
      </c>
      <c r="F190" s="26">
        <f t="shared" si="291"/>
        <v>-2.2580645161290325E-2</v>
      </c>
      <c r="G190" s="26">
        <f t="shared" si="291"/>
        <v>-1.980198019801982E-2</v>
      </c>
      <c r="H190" s="26">
        <f t="shared" si="291"/>
        <v>0.82828282828282829</v>
      </c>
      <c r="I190" s="26">
        <f t="shared" si="291"/>
        <v>0.2320441988950277</v>
      </c>
      <c r="J190" s="26">
        <f t="shared" ref="J190" si="292">+IFERROR(J189/I189-1,"nm")</f>
        <v>0.20018664106875916</v>
      </c>
      <c r="K190" s="26">
        <f t="shared" ref="K190" si="293">+IFERROR(K189/J189-1,"nm")</f>
        <v>-3.170786629846023E-2</v>
      </c>
      <c r="L190" s="26">
        <f t="shared" ref="L190" si="294">+IFERROR(L189/K189-1,"nm")</f>
        <v>7.419082095213958E-2</v>
      </c>
      <c r="M190" s="26">
        <f t="shared" ref="M190" si="295">+IFERROR(M189/L189-1,"nm")</f>
        <v>1.2252616890095158E-2</v>
      </c>
      <c r="N190" s="26">
        <f t="shared" ref="N190" si="296">+IFERROR(N189/M189-1,"nm")</f>
        <v>7.7078880232466229E-3</v>
      </c>
      <c r="Q190" s="1" t="s">
        <v>64</v>
      </c>
    </row>
    <row r="191" spans="1:17" ht="15.75" customHeight="1" x14ac:dyDescent="0.3">
      <c r="A191" s="17" t="s">
        <v>23</v>
      </c>
      <c r="B191" s="26">
        <f t="shared" ref="B191:N191" si="297">+IFERROR(B189/B$164,"nm")</f>
        <v>0.26084762865792127</v>
      </c>
      <c r="C191" s="26">
        <f t="shared" si="297"/>
        <v>0.24910485933503837</v>
      </c>
      <c r="D191" s="26">
        <f t="shared" si="297"/>
        <v>0.23359451518119489</v>
      </c>
      <c r="E191" s="26">
        <f t="shared" si="297"/>
        <v>0.16436903499469777</v>
      </c>
      <c r="F191" s="26">
        <f t="shared" si="297"/>
        <v>0.1589716684155299</v>
      </c>
      <c r="G191" s="26">
        <f t="shared" si="297"/>
        <v>0.16088840736728061</v>
      </c>
      <c r="H191" s="26">
        <f t="shared" si="297"/>
        <v>0.24625850340136055</v>
      </c>
      <c r="I191" s="26">
        <f t="shared" si="297"/>
        <v>0.28516624040920718</v>
      </c>
      <c r="J191" s="26">
        <f t="shared" si="297"/>
        <v>0.32742707658351089</v>
      </c>
      <c r="K191" s="26">
        <f t="shared" si="297"/>
        <v>0.30155253366110774</v>
      </c>
      <c r="L191" s="26">
        <f t="shared" si="297"/>
        <v>0.30676586798784289</v>
      </c>
      <c r="M191" s="26">
        <f t="shared" si="297"/>
        <v>0.29581035142447648</v>
      </c>
      <c r="N191" s="26">
        <f t="shared" si="297"/>
        <v>0.28266421276707165</v>
      </c>
    </row>
    <row r="192" spans="1:17" ht="15.75" customHeight="1" x14ac:dyDescent="0.3">
      <c r="A192" s="7" t="s">
        <v>27</v>
      </c>
      <c r="B192" s="7">
        <f>Historicals!B164</f>
        <v>69</v>
      </c>
      <c r="C192" s="7">
        <f>Historicals!C164</f>
        <v>39</v>
      </c>
      <c r="D192" s="7">
        <f>Historicals!D164</f>
        <v>30</v>
      </c>
      <c r="E192" s="7">
        <f>Historicals!E164</f>
        <v>22</v>
      </c>
      <c r="F192" s="7">
        <f>Historicals!F164</f>
        <v>18</v>
      </c>
      <c r="G192" s="7">
        <f>Historicals!G164</f>
        <v>12</v>
      </c>
      <c r="H192" s="7">
        <f>Historicals!H164</f>
        <v>7</v>
      </c>
      <c r="I192" s="7">
        <f>Historicals!I164</f>
        <v>9</v>
      </c>
      <c r="J192" s="7">
        <f>J194*J164</f>
        <v>12.261125</v>
      </c>
      <c r="K192" s="7">
        <f t="shared" ref="K192:N192" si="298">K194*K164</f>
        <v>12.891051174999998</v>
      </c>
      <c r="L192" s="7">
        <f t="shared" si="298"/>
        <v>16.334541953670001</v>
      </c>
      <c r="M192" s="7">
        <f t="shared" si="298"/>
        <v>20.004897371233529</v>
      </c>
      <c r="N192" s="7">
        <f t="shared" si="298"/>
        <v>27.124266036840115</v>
      </c>
    </row>
    <row r="193" spans="1:17" ht="15.75" customHeight="1" x14ac:dyDescent="0.3">
      <c r="A193" s="17" t="s">
        <v>21</v>
      </c>
      <c r="B193" s="18" t="str">
        <f t="shared" ref="B193:I193" si="299">+IFERROR(B192/A192-1,"nm")</f>
        <v>nm</v>
      </c>
      <c r="C193" s="18">
        <f t="shared" si="299"/>
        <v>-0.43478260869565222</v>
      </c>
      <c r="D193" s="18">
        <f t="shared" si="299"/>
        <v>-0.23076923076923073</v>
      </c>
      <c r="E193" s="18">
        <f t="shared" si="299"/>
        <v>-0.26666666666666672</v>
      </c>
      <c r="F193" s="18">
        <f t="shared" si="299"/>
        <v>-0.18181818181818177</v>
      </c>
      <c r="G193" s="18">
        <f t="shared" si="299"/>
        <v>-0.33333333333333337</v>
      </c>
      <c r="H193" s="18">
        <f t="shared" si="299"/>
        <v>-0.41666666666666663</v>
      </c>
      <c r="I193" s="18">
        <f t="shared" si="299"/>
        <v>0.28571428571428581</v>
      </c>
      <c r="J193" s="18">
        <f t="shared" ref="J193" si="300">+IFERROR(J192/I192-1,"nm")</f>
        <v>0.36234722222222215</v>
      </c>
      <c r="K193" s="18">
        <f t="shared" ref="K193" si="301">+IFERROR(K192/J192-1,"nm")</f>
        <v>5.1375887204477388E-2</v>
      </c>
      <c r="L193" s="18">
        <f t="shared" ref="L193" si="302">+IFERROR(L192/K192-1,"nm")</f>
        <v>0.26712257456149646</v>
      </c>
      <c r="M193" s="18">
        <f t="shared" ref="M193" si="303">+IFERROR(M192/L192-1,"nm")</f>
        <v>0.22469901072058418</v>
      </c>
      <c r="N193" s="18">
        <f t="shared" ref="N193" si="304">+IFERROR(N192/M192-1,"nm")</f>
        <v>0.35588128914092976</v>
      </c>
      <c r="Q193" s="1" t="s">
        <v>65</v>
      </c>
    </row>
    <row r="194" spans="1:17" ht="15.75" customHeight="1" x14ac:dyDescent="0.3">
      <c r="A194" s="17" t="s">
        <v>25</v>
      </c>
      <c r="B194" s="18">
        <f t="shared" ref="B194:I194" si="305">+IFERROR(B192/B$164,"nm")</f>
        <v>3.481331987891019E-2</v>
      </c>
      <c r="C194" s="18">
        <f t="shared" si="305"/>
        <v>1.9948849104859334E-2</v>
      </c>
      <c r="D194" s="18">
        <f t="shared" si="305"/>
        <v>1.4691478942213516E-2</v>
      </c>
      <c r="E194" s="18">
        <f t="shared" si="305"/>
        <v>1.166489925768823E-2</v>
      </c>
      <c r="F194" s="18">
        <f t="shared" si="305"/>
        <v>9.4438614900314802E-3</v>
      </c>
      <c r="G194" s="18">
        <f t="shared" si="305"/>
        <v>6.5005417118093175E-3</v>
      </c>
      <c r="H194" s="18">
        <f t="shared" si="305"/>
        <v>3.1746031746031746E-3</v>
      </c>
      <c r="I194" s="18">
        <f t="shared" si="305"/>
        <v>3.8363171355498722E-3</v>
      </c>
      <c r="J194" s="18">
        <v>5.0000000000000001E-3</v>
      </c>
      <c r="K194" s="18">
        <v>5.0000000000000001E-3</v>
      </c>
      <c r="L194" s="18">
        <v>6.0000000000000001E-3</v>
      </c>
      <c r="M194" s="18">
        <v>7.0000000000000001E-3</v>
      </c>
      <c r="N194" s="18">
        <v>8.9999999999999993E-3</v>
      </c>
    </row>
    <row r="195" spans="1:17" ht="15.75" customHeight="1" x14ac:dyDescent="0.3">
      <c r="A195" s="7" t="s">
        <v>28</v>
      </c>
      <c r="B195" s="7">
        <f>Historicals!B153</f>
        <v>122</v>
      </c>
      <c r="C195" s="7">
        <f>Historicals!C153</f>
        <v>125</v>
      </c>
      <c r="D195" s="7">
        <f>Historicals!D153</f>
        <v>125</v>
      </c>
      <c r="E195" s="7">
        <f>Historicals!E153</f>
        <v>115</v>
      </c>
      <c r="F195" s="7">
        <f>Historicals!F153</f>
        <v>100</v>
      </c>
      <c r="G195" s="7">
        <f>Historicals!G153</f>
        <v>80</v>
      </c>
      <c r="H195" s="7">
        <f>Historicals!H153</f>
        <v>63</v>
      </c>
      <c r="I195" s="7">
        <f>Historicals!I153</f>
        <v>49</v>
      </c>
      <c r="J195" s="7">
        <f>I195-I185+J192</f>
        <v>39.261125</v>
      </c>
      <c r="K195" s="7">
        <f t="shared" ref="K195:N195" si="306">J195-J185+K192</f>
        <v>33.581664050000001</v>
      </c>
      <c r="L195" s="7">
        <f t="shared" si="306"/>
        <v>33.293282298920005</v>
      </c>
      <c r="M195" s="7">
        <f t="shared" si="306"/>
        <v>39.048654846215769</v>
      </c>
      <c r="N195" s="7">
        <f t="shared" si="306"/>
        <v>48.483880237720143</v>
      </c>
    </row>
    <row r="196" spans="1:17" ht="15.75" customHeight="1" x14ac:dyDescent="0.3">
      <c r="A196" s="17" t="s">
        <v>21</v>
      </c>
      <c r="B196" s="18" t="str">
        <f t="shared" ref="B196:I196" si="307">+IFERROR(B195/A195-1,"nm")</f>
        <v>nm</v>
      </c>
      <c r="C196" s="18">
        <f t="shared" si="307"/>
        <v>2.4590163934426146E-2</v>
      </c>
      <c r="D196" s="18">
        <f t="shared" si="307"/>
        <v>0</v>
      </c>
      <c r="E196" s="18">
        <f t="shared" si="307"/>
        <v>-7.999999999999996E-2</v>
      </c>
      <c r="F196" s="18">
        <f t="shared" si="307"/>
        <v>-0.13043478260869568</v>
      </c>
      <c r="G196" s="18">
        <f t="shared" si="307"/>
        <v>-0.19999999999999996</v>
      </c>
      <c r="H196" s="18">
        <f t="shared" si="307"/>
        <v>-0.21250000000000002</v>
      </c>
      <c r="I196" s="18">
        <f t="shared" si="307"/>
        <v>-0.22222222222222221</v>
      </c>
      <c r="J196" s="18">
        <f t="shared" ref="J196" si="308">+IFERROR(J195/I195-1,"nm")</f>
        <v>-0.19875255102040812</v>
      </c>
      <c r="K196" s="18">
        <f t="shared" ref="K196" si="309">+IFERROR(K195/J195-1,"nm")</f>
        <v>-0.14465864006698737</v>
      </c>
      <c r="L196" s="18">
        <f t="shared" ref="L196" si="310">+IFERROR(L195/K195-1,"nm")</f>
        <v>-8.5874765065430125E-3</v>
      </c>
      <c r="M196" s="18">
        <f t="shared" ref="M196" si="311">+IFERROR(M195/L195-1,"nm")</f>
        <v>0.17286888374723164</v>
      </c>
      <c r="N196" s="18">
        <f t="shared" ref="N196" si="312">+IFERROR(N195/M195-1,"nm")</f>
        <v>0.24162741146046796</v>
      </c>
      <c r="Q196" s="1" t="s">
        <v>66</v>
      </c>
    </row>
    <row r="197" spans="1:17" ht="15.75" customHeight="1" x14ac:dyDescent="0.3">
      <c r="A197" s="17" t="s">
        <v>25</v>
      </c>
      <c r="B197" s="18">
        <f t="shared" ref="B197:N197" si="313">+IFERROR(B195/B$164,"nm")</f>
        <v>6.1553985872855703E-2</v>
      </c>
      <c r="C197" s="18">
        <f t="shared" si="313"/>
        <v>6.3938618925831206E-2</v>
      </c>
      <c r="D197" s="18">
        <f t="shared" si="313"/>
        <v>6.1214495592556317E-2</v>
      </c>
      <c r="E197" s="18">
        <f t="shared" si="313"/>
        <v>6.097560975609756E-2</v>
      </c>
      <c r="F197" s="18">
        <f t="shared" si="313"/>
        <v>5.2465897166841552E-2</v>
      </c>
      <c r="G197" s="18">
        <f t="shared" si="313"/>
        <v>4.3336944745395449E-2</v>
      </c>
      <c r="H197" s="18">
        <f t="shared" si="313"/>
        <v>2.8571428571428571E-2</v>
      </c>
      <c r="I197" s="18">
        <f t="shared" si="313"/>
        <v>2.0886615515771527E-2</v>
      </c>
      <c r="J197" s="18">
        <f t="shared" si="313"/>
        <v>1.6010408914353291E-2</v>
      </c>
      <c r="K197" s="18">
        <f t="shared" si="313"/>
        <v>1.3025184523014667E-2</v>
      </c>
      <c r="L197" s="18">
        <f t="shared" si="313"/>
        <v>1.2229280402236106E-2</v>
      </c>
      <c r="M197" s="18">
        <f t="shared" si="313"/>
        <v>1.3663683389676686E-2</v>
      </c>
      <c r="N197" s="18">
        <f t="shared" si="313"/>
        <v>1.6087252703790217E-2</v>
      </c>
    </row>
    <row r="198" spans="1:17" ht="15.75" customHeight="1" x14ac:dyDescent="0.3">
      <c r="A198" s="19" t="s">
        <v>17</v>
      </c>
      <c r="B198" s="19"/>
      <c r="C198" s="19"/>
      <c r="D198" s="19"/>
      <c r="E198" s="19"/>
      <c r="F198" s="19"/>
      <c r="G198" s="19"/>
      <c r="H198" s="19"/>
      <c r="I198" s="19"/>
      <c r="J198" s="15"/>
      <c r="K198" s="15"/>
      <c r="L198" s="15"/>
      <c r="M198" s="15"/>
      <c r="N198" s="15"/>
    </row>
    <row r="199" spans="1:17" ht="15.75" customHeight="1" x14ac:dyDescent="0.3">
      <c r="A199" s="7" t="s">
        <v>29</v>
      </c>
      <c r="B199" s="7">
        <f>Historicals!B132</f>
        <v>-82</v>
      </c>
      <c r="C199" s="7">
        <f>Historicals!C132</f>
        <v>-86</v>
      </c>
      <c r="D199" s="7">
        <f>Historicals!D132</f>
        <v>75</v>
      </c>
      <c r="E199" s="7">
        <f>Historicals!E132</f>
        <v>26</v>
      </c>
      <c r="F199" s="7">
        <f>Historicals!F132</f>
        <v>-7</v>
      </c>
      <c r="G199" s="7">
        <f>Historicals!G132</f>
        <v>-11</v>
      </c>
      <c r="H199" s="7">
        <f>Historicals!H132</f>
        <v>40</v>
      </c>
      <c r="I199" s="7">
        <f>Historicals!I132</f>
        <v>-72</v>
      </c>
      <c r="J199" s="7">
        <f t="shared" ref="J199:N199" si="314">I199*(1+J200)</f>
        <v>72</v>
      </c>
      <c r="K199" s="7">
        <f t="shared" si="314"/>
        <v>-59.040000000000006</v>
      </c>
      <c r="L199" s="7">
        <f t="shared" si="314"/>
        <v>39.556800000000003</v>
      </c>
      <c r="M199" s="7">
        <f t="shared" si="314"/>
        <v>-21.756240000000002</v>
      </c>
      <c r="N199" s="7">
        <f t="shared" si="314"/>
        <v>8.484933599999998</v>
      </c>
    </row>
    <row r="200" spans="1:17" ht="15.75" customHeight="1" x14ac:dyDescent="0.3">
      <c r="A200" s="17" t="s">
        <v>21</v>
      </c>
      <c r="B200" s="18" t="str">
        <f t="shared" ref="B200:I200" si="315">+IFERROR(B199/A199-1,"nm")</f>
        <v>nm</v>
      </c>
      <c r="C200" s="18">
        <f t="shared" si="315"/>
        <v>4.8780487804878092E-2</v>
      </c>
      <c r="D200" s="18">
        <f t="shared" si="315"/>
        <v>-1.8720930232558139</v>
      </c>
      <c r="E200" s="18">
        <f t="shared" si="315"/>
        <v>-0.65333333333333332</v>
      </c>
      <c r="F200" s="18">
        <f t="shared" si="315"/>
        <v>-1.2692307692307692</v>
      </c>
      <c r="G200" s="18">
        <f t="shared" si="315"/>
        <v>0.5714285714285714</v>
      </c>
      <c r="H200" s="18">
        <f t="shared" si="315"/>
        <v>-4.6363636363636367</v>
      </c>
      <c r="I200" s="18">
        <f t="shared" si="315"/>
        <v>-2.8</v>
      </c>
      <c r="J200" s="18">
        <f>-2</f>
        <v>-2</v>
      </c>
      <c r="K200" s="18">
        <v>-1.82</v>
      </c>
      <c r="L200" s="18">
        <v>-1.67</v>
      </c>
      <c r="M200" s="18">
        <v>-1.55</v>
      </c>
      <c r="N200" s="18">
        <v>-1.39</v>
      </c>
      <c r="Q200" s="1" t="s">
        <v>67</v>
      </c>
    </row>
    <row r="201" spans="1:17" ht="15.75" customHeight="1" x14ac:dyDescent="0.3">
      <c r="A201" s="7" t="s">
        <v>22</v>
      </c>
      <c r="B201" s="7">
        <f t="shared" ref="B201:I201" si="316">B204+B208</f>
        <v>-1026</v>
      </c>
      <c r="C201" s="7">
        <f t="shared" si="316"/>
        <v>-1089</v>
      </c>
      <c r="D201" s="7">
        <f t="shared" si="316"/>
        <v>-633</v>
      </c>
      <c r="E201" s="7">
        <f t="shared" si="316"/>
        <v>-1346</v>
      </c>
      <c r="F201" s="7">
        <f t="shared" si="316"/>
        <v>-1694</v>
      </c>
      <c r="G201" s="7">
        <f t="shared" si="316"/>
        <v>-1855</v>
      </c>
      <c r="H201" s="7">
        <f t="shared" si="316"/>
        <v>-2120</v>
      </c>
      <c r="I201" s="7">
        <f t="shared" si="316"/>
        <v>-2085</v>
      </c>
      <c r="J201" s="7">
        <f t="shared" ref="J201:N201" si="317">J203*J199</f>
        <v>-2084.9759999999997</v>
      </c>
      <c r="K201" s="7">
        <f t="shared" si="317"/>
        <v>-1674.2563200000002</v>
      </c>
      <c r="L201" s="7">
        <f t="shared" si="317"/>
        <v>-1101.6568800000002</v>
      </c>
      <c r="M201" s="7">
        <f t="shared" si="317"/>
        <v>-643.1144544</v>
      </c>
      <c r="N201" s="7">
        <f t="shared" si="317"/>
        <v>-244.02669033599994</v>
      </c>
      <c r="O201" s="33" t="s">
        <v>128</v>
      </c>
    </row>
    <row r="202" spans="1:17" ht="15.75" customHeight="1" x14ac:dyDescent="0.3">
      <c r="A202" s="17" t="s">
        <v>21</v>
      </c>
      <c r="B202" s="18" t="str">
        <f t="shared" ref="B202:N202" si="318">+IFERROR(B201/A201-1,"nm")</f>
        <v>nm</v>
      </c>
      <c r="C202" s="18">
        <f t="shared" si="318"/>
        <v>6.1403508771929793E-2</v>
      </c>
      <c r="D202" s="18">
        <f t="shared" si="318"/>
        <v>-0.41873278236914602</v>
      </c>
      <c r="E202" s="18">
        <f t="shared" si="318"/>
        <v>1.126382306477093</v>
      </c>
      <c r="F202" s="18">
        <f t="shared" si="318"/>
        <v>0.25854383358098065</v>
      </c>
      <c r="G202" s="18">
        <f t="shared" si="318"/>
        <v>9.5041322314049603E-2</v>
      </c>
      <c r="H202" s="18">
        <f t="shared" si="318"/>
        <v>0.14285714285714279</v>
      </c>
      <c r="I202" s="18">
        <f t="shared" si="318"/>
        <v>-1.650943396226412E-2</v>
      </c>
      <c r="J202" s="18">
        <f t="shared" si="318"/>
        <v>-1.1510791367075335E-5</v>
      </c>
      <c r="K202" s="18">
        <f t="shared" si="318"/>
        <v>-0.19699012362732216</v>
      </c>
      <c r="L202" s="18">
        <f t="shared" si="318"/>
        <v>-0.34200225685873464</v>
      </c>
      <c r="M202" s="18">
        <f t="shared" si="318"/>
        <v>-0.41622980251346509</v>
      </c>
      <c r="N202" s="18">
        <f t="shared" si="318"/>
        <v>-0.62055480378890393</v>
      </c>
    </row>
    <row r="203" spans="1:17" ht="15.75" customHeight="1" x14ac:dyDescent="0.3">
      <c r="A203" s="17" t="s">
        <v>23</v>
      </c>
      <c r="B203" s="18">
        <f t="shared" ref="B203:I203" si="319">+IFERROR(B201/B$199,"nm")</f>
        <v>12.512195121951219</v>
      </c>
      <c r="C203" s="18">
        <f t="shared" si="319"/>
        <v>12.662790697674419</v>
      </c>
      <c r="D203" s="18">
        <f t="shared" si="319"/>
        <v>-8.44</v>
      </c>
      <c r="E203" s="18">
        <f t="shared" si="319"/>
        <v>-51.769230769230766</v>
      </c>
      <c r="F203" s="18">
        <f t="shared" si="319"/>
        <v>242</v>
      </c>
      <c r="G203" s="18">
        <f t="shared" si="319"/>
        <v>168.63636363636363</v>
      </c>
      <c r="H203" s="18">
        <f t="shared" si="319"/>
        <v>-53</v>
      </c>
      <c r="I203" s="18">
        <f t="shared" si="319"/>
        <v>28.958333333333332</v>
      </c>
      <c r="J203" s="21">
        <v>-28.957999999999998</v>
      </c>
      <c r="K203" s="21">
        <v>28.358000000000001</v>
      </c>
      <c r="L203" s="21">
        <v>-27.85</v>
      </c>
      <c r="M203" s="21">
        <v>29.56</v>
      </c>
      <c r="N203" s="21">
        <v>-28.76</v>
      </c>
    </row>
    <row r="204" spans="1:17" ht="15.75" customHeight="1" x14ac:dyDescent="0.3">
      <c r="A204" s="7" t="s">
        <v>24</v>
      </c>
      <c r="B204" s="7">
        <f>Historicals!B176</f>
        <v>75</v>
      </c>
      <c r="C204" s="7">
        <f>Historicals!C176</f>
        <v>84</v>
      </c>
      <c r="D204" s="7">
        <f>Historicals!D176</f>
        <v>91</v>
      </c>
      <c r="E204" s="7">
        <f>Historicals!E176</f>
        <v>110</v>
      </c>
      <c r="F204" s="7">
        <f>Historicals!F176</f>
        <v>116</v>
      </c>
      <c r="G204" s="7">
        <f>Historicals!G176</f>
        <v>112</v>
      </c>
      <c r="H204" s="7">
        <f>Historicals!H176</f>
        <v>141</v>
      </c>
      <c r="I204" s="7">
        <f>Historicals!I176</f>
        <v>134</v>
      </c>
      <c r="J204" s="7">
        <f>J207*J214</f>
        <v>149.28170399999999</v>
      </c>
      <c r="K204" s="7">
        <f t="shared" ref="K204:N204" si="320">K207*K214</f>
        <v>155.278250568</v>
      </c>
      <c r="L204" s="7">
        <f t="shared" si="320"/>
        <v>141.16755819456</v>
      </c>
      <c r="M204" s="7">
        <f t="shared" si="320"/>
        <v>143.03629520965725</v>
      </c>
      <c r="N204" s="7">
        <f t="shared" si="320"/>
        <v>139.57279304092401</v>
      </c>
    </row>
    <row r="205" spans="1:17" ht="15.75" customHeight="1" x14ac:dyDescent="0.3">
      <c r="A205" s="17" t="s">
        <v>21</v>
      </c>
      <c r="B205" s="18" t="str">
        <f t="shared" ref="B205:I205" si="321">+IFERROR(B204/A204-1,"nm")</f>
        <v>nm</v>
      </c>
      <c r="C205" s="18">
        <f t="shared" si="321"/>
        <v>0.12000000000000011</v>
      </c>
      <c r="D205" s="18">
        <f t="shared" si="321"/>
        <v>8.3333333333333259E-2</v>
      </c>
      <c r="E205" s="18">
        <f t="shared" si="321"/>
        <v>0.20879120879120872</v>
      </c>
      <c r="F205" s="18">
        <f t="shared" si="321"/>
        <v>5.4545454545454453E-2</v>
      </c>
      <c r="G205" s="18">
        <f t="shared" si="321"/>
        <v>-3.4482758620689613E-2</v>
      </c>
      <c r="H205" s="18">
        <f t="shared" si="321"/>
        <v>0.2589285714285714</v>
      </c>
      <c r="I205" s="18">
        <f t="shared" si="321"/>
        <v>-4.9645390070921946E-2</v>
      </c>
      <c r="J205" s="18">
        <f t="shared" ref="J205" si="322">+IFERROR(J204/I204-1,"nm")</f>
        <v>0.11404256716417893</v>
      </c>
      <c r="K205" s="18">
        <f t="shared" ref="K205" si="323">+IFERROR(K204/J204-1,"nm")</f>
        <v>4.016933359763919E-2</v>
      </c>
      <c r="L205" s="18">
        <f t="shared" ref="L205" si="324">+IFERROR(L204/K204-1,"nm")</f>
        <v>-9.0873591902431938E-2</v>
      </c>
      <c r="M205" s="18">
        <f t="shared" ref="M205" si="325">+IFERROR(M204/L204-1,"nm")</f>
        <v>1.3237722880505842E-2</v>
      </c>
      <c r="N205" s="18">
        <f t="shared" ref="N205" si="326">+IFERROR(N204/M204-1,"nm")</f>
        <v>-2.4214149028794152E-2</v>
      </c>
      <c r="Q205" s="1" t="s">
        <v>68</v>
      </c>
    </row>
    <row r="206" spans="1:17" ht="15.75" customHeight="1" x14ac:dyDescent="0.3">
      <c r="A206" s="17" t="s">
        <v>25</v>
      </c>
      <c r="B206" s="18">
        <f t="shared" ref="B206:J206" si="327">+IFERROR(B204/B$199,"nm")</f>
        <v>-0.91463414634146345</v>
      </c>
      <c r="C206" s="18">
        <f t="shared" si="327"/>
        <v>-0.97674418604651159</v>
      </c>
      <c r="D206" s="18">
        <f t="shared" si="327"/>
        <v>1.2133333333333334</v>
      </c>
      <c r="E206" s="18">
        <f t="shared" si="327"/>
        <v>4.2307692307692308</v>
      </c>
      <c r="F206" s="18">
        <f t="shared" si="327"/>
        <v>-16.571428571428573</v>
      </c>
      <c r="G206" s="18">
        <f t="shared" si="327"/>
        <v>-10.181818181818182</v>
      </c>
      <c r="H206" s="18">
        <f t="shared" si="327"/>
        <v>3.5249999999999999</v>
      </c>
      <c r="I206" s="18">
        <f t="shared" si="327"/>
        <v>-1.8611111111111112</v>
      </c>
      <c r="J206" s="18">
        <f t="shared" si="327"/>
        <v>2.0733569999999997</v>
      </c>
      <c r="K206" s="18">
        <f t="shared" ref="K206:N206" si="328">+IFERROR(K204/K$21,"nm")</f>
        <v>7.3722257902810711E-3</v>
      </c>
      <c r="L206" s="18">
        <f t="shared" si="328"/>
        <v>6.2267221918661051E-3</v>
      </c>
      <c r="M206" s="18">
        <f t="shared" si="328"/>
        <v>5.8381947482407338E-3</v>
      </c>
      <c r="N206" s="18">
        <f t="shared" si="328"/>
        <v>5.2572126310307804E-3</v>
      </c>
    </row>
    <row r="207" spans="1:17" ht="15.75" customHeight="1" x14ac:dyDescent="0.3">
      <c r="A207" s="17" t="s">
        <v>38</v>
      </c>
      <c r="B207" s="18">
        <f t="shared" ref="B207:I207" si="329">+IFERROR(B204/B214,"nm")</f>
        <v>0.10518934081346423</v>
      </c>
      <c r="C207" s="18">
        <f t="shared" si="329"/>
        <v>8.9647812166488788E-2</v>
      </c>
      <c r="D207" s="18">
        <f t="shared" si="329"/>
        <v>7.3505654281098551E-2</v>
      </c>
      <c r="E207" s="18">
        <f t="shared" si="329"/>
        <v>7.586206896551724E-2</v>
      </c>
      <c r="F207" s="18">
        <f t="shared" si="329"/>
        <v>6.9336521219366412E-2</v>
      </c>
      <c r="G207" s="18">
        <f t="shared" si="329"/>
        <v>5.845511482254697E-2</v>
      </c>
      <c r="H207" s="18">
        <f t="shared" si="329"/>
        <v>7.5401069518716571E-2</v>
      </c>
      <c r="I207" s="18">
        <f t="shared" si="329"/>
        <v>7.374793615850303E-2</v>
      </c>
      <c r="J207" s="18">
        <v>8.1000000000000003E-2</v>
      </c>
      <c r="K207" s="21">
        <v>8.3000000000000004E-2</v>
      </c>
      <c r="L207" s="21">
        <v>0.08</v>
      </c>
      <c r="M207" s="21">
        <v>8.6999999999999994E-2</v>
      </c>
      <c r="N207" s="21">
        <v>9.1999999999999998E-2</v>
      </c>
    </row>
    <row r="208" spans="1:17" ht="15.75" customHeight="1" x14ac:dyDescent="0.3">
      <c r="A208" s="7" t="s">
        <v>26</v>
      </c>
      <c r="B208" s="7">
        <f>Historicals!B143</f>
        <v>-1101</v>
      </c>
      <c r="C208" s="7">
        <f>Historicals!C143</f>
        <v>-1173</v>
      </c>
      <c r="D208" s="7">
        <f>Historicals!D143</f>
        <v>-724</v>
      </c>
      <c r="E208" s="7">
        <f>Historicals!E143</f>
        <v>-1456</v>
      </c>
      <c r="F208" s="7">
        <f>Historicals!F143</f>
        <v>-1810</v>
      </c>
      <c r="G208" s="7">
        <f>Historicals!G143</f>
        <v>-1967</v>
      </c>
      <c r="H208" s="7">
        <f>Historicals!H143</f>
        <v>-2261</v>
      </c>
      <c r="I208" s="7">
        <f>Historicals!I143</f>
        <v>-2219</v>
      </c>
      <c r="J208" s="7">
        <f>J201-J204</f>
        <v>-2234.2577039999996</v>
      </c>
      <c r="K208" s="7">
        <f t="shared" ref="K208:N208" si="330">K201-K204</f>
        <v>-1829.5345705680002</v>
      </c>
      <c r="L208" s="7">
        <f t="shared" si="330"/>
        <v>-1242.8244381945601</v>
      </c>
      <c r="M208" s="7">
        <f t="shared" si="330"/>
        <v>-786.15074960965728</v>
      </c>
      <c r="N208" s="7">
        <f t="shared" si="330"/>
        <v>-383.59948337692396</v>
      </c>
      <c r="O208" s="33" t="s">
        <v>128</v>
      </c>
    </row>
    <row r="209" spans="1:17" ht="15.75" customHeight="1" x14ac:dyDescent="0.3">
      <c r="A209" s="17" t="s">
        <v>21</v>
      </c>
      <c r="B209" s="26" t="str">
        <f t="shared" ref="B209:I209" si="331">+IFERROR(B208/A208-1,"nm")</f>
        <v>nm</v>
      </c>
      <c r="C209" s="26">
        <f t="shared" si="331"/>
        <v>6.5395095367847489E-2</v>
      </c>
      <c r="D209" s="26">
        <f t="shared" si="331"/>
        <v>-0.38277919863597609</v>
      </c>
      <c r="E209" s="26">
        <f t="shared" si="331"/>
        <v>1.0110497237569063</v>
      </c>
      <c r="F209" s="26">
        <f t="shared" si="331"/>
        <v>0.24313186813186816</v>
      </c>
      <c r="G209" s="26">
        <f t="shared" si="331"/>
        <v>8.6740331491712785E-2</v>
      </c>
      <c r="H209" s="26">
        <f t="shared" si="331"/>
        <v>0.14946619217081847</v>
      </c>
      <c r="I209" s="26">
        <f t="shared" si="331"/>
        <v>-1.8575851393188847E-2</v>
      </c>
      <c r="J209" s="26">
        <f t="shared" ref="J209" si="332">+IFERROR(J208/I208-1,"nm")</f>
        <v>6.8759369085171773E-3</v>
      </c>
      <c r="K209" s="26">
        <f t="shared" ref="K209" si="333">+IFERROR(K208/J208-1,"nm")</f>
        <v>-0.18114433832203969</v>
      </c>
      <c r="L209" s="26">
        <f t="shared" ref="L209" si="334">+IFERROR(L208/K208-1,"nm")</f>
        <v>-0.32068819130938264</v>
      </c>
      <c r="M209" s="26">
        <f t="shared" ref="M209" si="335">+IFERROR(M208/L208-1,"nm")</f>
        <v>-0.36744826907999062</v>
      </c>
      <c r="N209" s="26">
        <f t="shared" ref="N209" si="336">+IFERROR(N208/M208-1,"nm")</f>
        <v>-0.51205352972392348</v>
      </c>
      <c r="Q209" s="1" t="s">
        <v>69</v>
      </c>
    </row>
    <row r="210" spans="1:17" ht="15.75" customHeight="1" x14ac:dyDescent="0.3">
      <c r="A210" s="17" t="s">
        <v>23</v>
      </c>
      <c r="B210" s="26">
        <f t="shared" ref="B210:N210" si="337">+IFERROR(B208/B$199,"nm")</f>
        <v>13.426829268292684</v>
      </c>
      <c r="C210" s="26">
        <f t="shared" si="337"/>
        <v>13.63953488372093</v>
      </c>
      <c r="D210" s="26">
        <f t="shared" si="337"/>
        <v>-9.6533333333333342</v>
      </c>
      <c r="E210" s="26">
        <f t="shared" si="337"/>
        <v>-56</v>
      </c>
      <c r="F210" s="26">
        <f t="shared" si="337"/>
        <v>258.57142857142856</v>
      </c>
      <c r="G210" s="26">
        <f t="shared" si="337"/>
        <v>178.81818181818181</v>
      </c>
      <c r="H210" s="26">
        <f t="shared" si="337"/>
        <v>-56.524999999999999</v>
      </c>
      <c r="I210" s="26">
        <f t="shared" si="337"/>
        <v>30.819444444444443</v>
      </c>
      <c r="J210" s="26">
        <f t="shared" si="337"/>
        <v>-31.031356999999996</v>
      </c>
      <c r="K210" s="26">
        <f t="shared" si="337"/>
        <v>30.988051669512195</v>
      </c>
      <c r="L210" s="26">
        <f t="shared" si="337"/>
        <v>-31.418730488678559</v>
      </c>
      <c r="M210" s="26">
        <f t="shared" si="337"/>
        <v>36.134495188950723</v>
      </c>
      <c r="N210" s="26">
        <f t="shared" si="337"/>
        <v>-45.209485596554821</v>
      </c>
    </row>
    <row r="211" spans="1:17" ht="15.75" customHeight="1" x14ac:dyDescent="0.3">
      <c r="A211" s="7" t="s">
        <v>27</v>
      </c>
      <c r="B211" s="7">
        <f>Historicals!B165</f>
        <v>104</v>
      </c>
      <c r="C211" s="7">
        <f>Historicals!C165</f>
        <v>264</v>
      </c>
      <c r="D211" s="7">
        <f>Historicals!D165</f>
        <v>291</v>
      </c>
      <c r="E211" s="7">
        <f>Historicals!E165</f>
        <v>159</v>
      </c>
      <c r="F211" s="7">
        <f>Historicals!F165</f>
        <v>377</v>
      </c>
      <c r="G211" s="7">
        <f>Historicals!G165</f>
        <v>318</v>
      </c>
      <c r="H211" s="7">
        <f>Historicals!H165</f>
        <v>11</v>
      </c>
      <c r="I211" s="7">
        <f>Historicals!I165</f>
        <v>50</v>
      </c>
      <c r="J211" s="7">
        <f>J213*J199</f>
        <v>159.98400000000001</v>
      </c>
      <c r="K211" s="7">
        <f t="shared" ref="K211:N211" si="338">K213*K199</f>
        <v>177.12</v>
      </c>
      <c r="L211" s="7">
        <f t="shared" si="338"/>
        <v>49.050432000000001</v>
      </c>
      <c r="M211" s="7">
        <f t="shared" si="338"/>
        <v>20.668428000000002</v>
      </c>
      <c r="N211" s="7">
        <f t="shared" si="338"/>
        <v>16.036524503999996</v>
      </c>
    </row>
    <row r="212" spans="1:17" ht="15.75" customHeight="1" x14ac:dyDescent="0.3">
      <c r="A212" s="17" t="s">
        <v>21</v>
      </c>
      <c r="B212" s="18" t="str">
        <f t="shared" ref="B212:I212" si="339">+IFERROR(B211/A211-1,"nm")</f>
        <v>nm</v>
      </c>
      <c r="C212" s="18">
        <f t="shared" si="339"/>
        <v>1.5384615384615383</v>
      </c>
      <c r="D212" s="18">
        <f t="shared" si="339"/>
        <v>0.10227272727272729</v>
      </c>
      <c r="E212" s="18">
        <f t="shared" si="339"/>
        <v>-0.45360824742268047</v>
      </c>
      <c r="F212" s="18">
        <f t="shared" si="339"/>
        <v>1.3710691823899372</v>
      </c>
      <c r="G212" s="18">
        <f t="shared" si="339"/>
        <v>-0.156498673740053</v>
      </c>
      <c r="H212" s="18">
        <f t="shared" si="339"/>
        <v>-0.96540880503144655</v>
      </c>
      <c r="I212" s="18">
        <f t="shared" si="339"/>
        <v>3.5454545454545459</v>
      </c>
      <c r="J212" s="18">
        <f t="shared" ref="J212" si="340">+IFERROR(J211/I211-1,"nm")</f>
        <v>2.1996800000000003</v>
      </c>
      <c r="K212" s="18">
        <f t="shared" ref="K212" si="341">+IFERROR(K211/J211-1,"nm")</f>
        <v>0.10711071107110715</v>
      </c>
      <c r="L212" s="18">
        <f t="shared" ref="L212" si="342">+IFERROR(L211/K211-1,"nm")</f>
        <v>-0.72306666666666675</v>
      </c>
      <c r="M212" s="18">
        <f t="shared" ref="M212" si="343">+IFERROR(M211/L211-1,"nm")</f>
        <v>-0.5786290322580645</v>
      </c>
      <c r="N212" s="18">
        <f t="shared" ref="N212" si="344">+IFERROR(N211/M211-1,"nm")</f>
        <v>-0.22410526315789503</v>
      </c>
      <c r="Q212" s="1" t="s">
        <v>70</v>
      </c>
    </row>
    <row r="213" spans="1:17" ht="15.75" customHeight="1" x14ac:dyDescent="0.3">
      <c r="A213" s="17" t="s">
        <v>25</v>
      </c>
      <c r="B213" s="18">
        <f t="shared" ref="B213:I213" si="345">+IFERROR(B211/B$199,"nm")</f>
        <v>-1.2682926829268293</v>
      </c>
      <c r="C213" s="18">
        <f t="shared" si="345"/>
        <v>-3.0697674418604652</v>
      </c>
      <c r="D213" s="18">
        <f t="shared" si="345"/>
        <v>3.88</v>
      </c>
      <c r="E213" s="18">
        <f t="shared" si="345"/>
        <v>6.115384615384615</v>
      </c>
      <c r="F213" s="18">
        <f t="shared" si="345"/>
        <v>-53.857142857142854</v>
      </c>
      <c r="G213" s="18">
        <f t="shared" si="345"/>
        <v>-28.90909090909091</v>
      </c>
      <c r="H213" s="18">
        <f t="shared" si="345"/>
        <v>0.27500000000000002</v>
      </c>
      <c r="I213" s="18">
        <f t="shared" si="345"/>
        <v>-0.69444444444444442</v>
      </c>
      <c r="J213" s="18">
        <v>2.222</v>
      </c>
      <c r="K213" s="21">
        <v>-3</v>
      </c>
      <c r="L213" s="21">
        <v>1.24</v>
      </c>
      <c r="M213" s="21">
        <v>-0.95</v>
      </c>
      <c r="N213" s="21">
        <v>1.89</v>
      </c>
    </row>
    <row r="214" spans="1:17" ht="15.75" customHeight="1" x14ac:dyDescent="0.3">
      <c r="A214" s="7" t="s">
        <v>28</v>
      </c>
      <c r="B214" s="7">
        <f>Historicals!B154</f>
        <v>713</v>
      </c>
      <c r="C214" s="7">
        <f>Historicals!C154</f>
        <v>937</v>
      </c>
      <c r="D214" s="7">
        <f>Historicals!D154</f>
        <v>1238</v>
      </c>
      <c r="E214" s="7">
        <f>Historicals!E154</f>
        <v>1450</v>
      </c>
      <c r="F214" s="7">
        <f>Historicals!F154</f>
        <v>1673</v>
      </c>
      <c r="G214" s="7">
        <f>Historicals!G154</f>
        <v>1916</v>
      </c>
      <c r="H214" s="7">
        <f>Historicals!H154</f>
        <v>1870</v>
      </c>
      <c r="I214" s="7">
        <f>Historicals!I154</f>
        <v>1817</v>
      </c>
      <c r="J214" s="7">
        <f>I214-I204+J211</f>
        <v>1842.9839999999999</v>
      </c>
      <c r="K214" s="7">
        <f t="shared" ref="K214:N214" si="346">J214-J204+K211</f>
        <v>1870.8222959999998</v>
      </c>
      <c r="L214" s="7">
        <f t="shared" si="346"/>
        <v>1764.5944774319998</v>
      </c>
      <c r="M214" s="7">
        <f t="shared" si="346"/>
        <v>1644.0953472374399</v>
      </c>
      <c r="N214" s="7">
        <f t="shared" si="346"/>
        <v>1517.0955765317826</v>
      </c>
    </row>
    <row r="215" spans="1:17" ht="15.75" customHeight="1" x14ac:dyDescent="0.3">
      <c r="A215" s="17" t="s">
        <v>21</v>
      </c>
      <c r="B215" s="18" t="str">
        <f t="shared" ref="B215:I215" si="347">+IFERROR(B214/A214-1,"nm")</f>
        <v>nm</v>
      </c>
      <c r="C215" s="18">
        <f t="shared" si="347"/>
        <v>0.31416549789621318</v>
      </c>
      <c r="D215" s="18">
        <f t="shared" si="347"/>
        <v>0.32123799359658478</v>
      </c>
      <c r="E215" s="18">
        <f t="shared" si="347"/>
        <v>0.17124394184168024</v>
      </c>
      <c r="F215" s="18">
        <f t="shared" si="347"/>
        <v>0.15379310344827579</v>
      </c>
      <c r="G215" s="18">
        <f t="shared" si="347"/>
        <v>0.14524805738194857</v>
      </c>
      <c r="H215" s="18">
        <f t="shared" si="347"/>
        <v>-2.4008350730688965E-2</v>
      </c>
      <c r="I215" s="18">
        <f t="shared" si="347"/>
        <v>-2.8342245989304793E-2</v>
      </c>
      <c r="J215" s="18">
        <f t="shared" ref="J215" si="348">+IFERROR(J214/I214-1,"nm")</f>
        <v>1.4300495321959206E-2</v>
      </c>
      <c r="K215" s="18">
        <f t="shared" ref="K215" si="349">+IFERROR(K214/J214-1,"nm")</f>
        <v>1.5105012306129595E-2</v>
      </c>
      <c r="L215" s="18">
        <f t="shared" ref="L215" si="350">+IFERROR(L214/K214-1,"nm")</f>
        <v>-5.6781351598773067E-2</v>
      </c>
      <c r="M215" s="18">
        <f t="shared" ref="M215" si="351">+IFERROR(M214/L214-1,"nm")</f>
        <v>-6.8287151374247346E-2</v>
      </c>
      <c r="N215" s="18">
        <f t="shared" ref="N215" si="352">+IFERROR(N214/M214-1,"nm")</f>
        <v>-7.724598875549038E-2</v>
      </c>
      <c r="Q215" s="1" t="s">
        <v>71</v>
      </c>
    </row>
    <row r="216" spans="1:17" ht="15.75" customHeight="1" x14ac:dyDescent="0.3">
      <c r="A216" s="17" t="s">
        <v>25</v>
      </c>
      <c r="B216" s="18">
        <f t="shared" ref="B216:N216" si="353">+IFERROR(B214/B$199,"nm")</f>
        <v>-8.6951219512195124</v>
      </c>
      <c r="C216" s="18">
        <f t="shared" si="353"/>
        <v>-10.895348837209303</v>
      </c>
      <c r="D216" s="18">
        <f t="shared" si="353"/>
        <v>16.506666666666668</v>
      </c>
      <c r="E216" s="18">
        <f t="shared" si="353"/>
        <v>55.769230769230766</v>
      </c>
      <c r="F216" s="18">
        <f t="shared" si="353"/>
        <v>-239</v>
      </c>
      <c r="G216" s="18">
        <f t="shared" si="353"/>
        <v>-174.18181818181819</v>
      </c>
      <c r="H216" s="18">
        <f t="shared" si="353"/>
        <v>46.75</v>
      </c>
      <c r="I216" s="18">
        <f t="shared" si="353"/>
        <v>-25.236111111111111</v>
      </c>
      <c r="J216" s="18">
        <f t="shared" si="353"/>
        <v>25.596999999999998</v>
      </c>
      <c r="K216" s="18">
        <f t="shared" si="353"/>
        <v>-31.687369512195115</v>
      </c>
      <c r="L216" s="18">
        <f t="shared" si="353"/>
        <v>44.609131108481975</v>
      </c>
      <c r="M216" s="18">
        <f t="shared" si="353"/>
        <v>-75.568910217824396</v>
      </c>
      <c r="N216" s="18">
        <f t="shared" si="353"/>
        <v>178.79875648429152</v>
      </c>
    </row>
    <row r="217" spans="1:17" ht="15.75" customHeight="1" x14ac:dyDescent="0.3"/>
    <row r="218" spans="1:17" ht="15.75" customHeight="1" x14ac:dyDescent="0.3"/>
    <row r="219" spans="1:17" ht="15.75" customHeight="1" x14ac:dyDescent="0.3"/>
    <row r="220" spans="1:17" ht="15.75" customHeight="1" x14ac:dyDescent="0.3"/>
    <row r="221" spans="1:17" ht="15.75" customHeight="1" x14ac:dyDescent="0.3"/>
    <row r="222" spans="1:17" ht="15.75" customHeight="1" x14ac:dyDescent="0.3"/>
    <row r="223" spans="1:17" ht="15.75" customHeight="1" x14ac:dyDescent="0.3"/>
    <row r="224" spans="1:1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1"/>
  <sheetViews>
    <sheetView tabSelected="1" topLeftCell="B33" workbookViewId="0">
      <selection activeCell="O38" sqref="O38"/>
    </sheetView>
  </sheetViews>
  <sheetFormatPr defaultColWidth="14.44140625" defaultRowHeight="15" customHeight="1" x14ac:dyDescent="0.3"/>
  <cols>
    <col min="1" max="1" width="48.6640625" customWidth="1"/>
    <col min="2" max="14" width="11.6640625" customWidth="1"/>
    <col min="15" max="16" width="39.88671875" customWidth="1"/>
    <col min="17" max="17" width="17.44140625" customWidth="1"/>
    <col min="18" max="27" width="8.88671875" customWidth="1"/>
  </cols>
  <sheetData>
    <row r="1" spans="1:16" ht="60" customHeight="1" x14ac:dyDescent="0.3">
      <c r="A1" s="4" t="s">
        <v>72</v>
      </c>
      <c r="B1" s="5">
        <f t="shared" ref="B1:H1" si="0">+C1-1</f>
        <v>2015</v>
      </c>
      <c r="C1" s="5">
        <f t="shared" si="0"/>
        <v>2016</v>
      </c>
      <c r="D1" s="5">
        <f t="shared" si="0"/>
        <v>2017</v>
      </c>
      <c r="E1" s="5">
        <f t="shared" si="0"/>
        <v>2018</v>
      </c>
      <c r="F1" s="5">
        <f t="shared" si="0"/>
        <v>2019</v>
      </c>
      <c r="G1" s="5">
        <f t="shared" si="0"/>
        <v>2020</v>
      </c>
      <c r="H1" s="5">
        <f t="shared" si="0"/>
        <v>2021</v>
      </c>
      <c r="I1" s="5">
        <v>2022</v>
      </c>
      <c r="J1" s="15">
        <f t="shared" ref="J1:N1" si="1">+I1+1</f>
        <v>2023</v>
      </c>
      <c r="K1" s="15">
        <f t="shared" si="1"/>
        <v>2024</v>
      </c>
      <c r="L1" s="15">
        <f t="shared" si="1"/>
        <v>2025</v>
      </c>
      <c r="M1" s="15">
        <f t="shared" si="1"/>
        <v>2026</v>
      </c>
      <c r="N1" s="15">
        <f t="shared" si="1"/>
        <v>2027</v>
      </c>
      <c r="O1" s="78"/>
      <c r="P1" s="78" t="s">
        <v>264</v>
      </c>
    </row>
    <row r="2" spans="1:16" ht="14.4" x14ac:dyDescent="0.3">
      <c r="A2" s="16" t="s">
        <v>73</v>
      </c>
      <c r="B2" s="16"/>
      <c r="C2" s="16"/>
      <c r="D2" s="16"/>
      <c r="E2" s="16"/>
      <c r="F2" s="16"/>
      <c r="G2" s="16"/>
      <c r="H2" s="16"/>
      <c r="I2" s="16"/>
      <c r="J2" s="15"/>
      <c r="K2" s="15"/>
      <c r="L2" s="15"/>
      <c r="M2" s="15"/>
      <c r="N2" s="15"/>
    </row>
    <row r="3" spans="1:16" ht="14.4" x14ac:dyDescent="0.3">
      <c r="A3" s="2" t="s">
        <v>29</v>
      </c>
      <c r="B3" s="7">
        <f>'Segmental forecast'!B3</f>
        <v>30601</v>
      </c>
      <c r="C3" s="7">
        <f>'Segmental forecast'!C3</f>
        <v>32376</v>
      </c>
      <c r="D3" s="7">
        <f>'Segmental forecast'!D3</f>
        <v>34350</v>
      </c>
      <c r="E3" s="7">
        <f>'Segmental forecast'!E3</f>
        <v>36397</v>
      </c>
      <c r="F3" s="7">
        <f>'Segmental forecast'!F3</f>
        <v>39117</v>
      </c>
      <c r="G3" s="7">
        <f>'Segmental forecast'!G3</f>
        <v>37403</v>
      </c>
      <c r="H3" s="7">
        <f>'Segmental forecast'!H3</f>
        <v>44538</v>
      </c>
      <c r="I3" s="7">
        <f>'Segmental forecast'!I3</f>
        <v>46710</v>
      </c>
      <c r="J3" s="7">
        <f>'Segmental forecast'!J3</f>
        <v>49988.319809474007</v>
      </c>
      <c r="K3" s="7">
        <f>'Segmental forecast'!K3</f>
        <v>52216.214311000003</v>
      </c>
      <c r="L3" s="7">
        <f>'Segmental forecast'!L3</f>
        <v>55721.778762632995</v>
      </c>
      <c r="M3" s="7">
        <f>'Segmental forecast'!M3</f>
        <v>59656.692256471688</v>
      </c>
      <c r="N3" s="7">
        <f>'Segmental forecast'!N3</f>
        <v>64079.816985326739</v>
      </c>
    </row>
    <row r="4" spans="1:16" ht="14.4" x14ac:dyDescent="0.3">
      <c r="A4" s="17" t="s">
        <v>21</v>
      </c>
      <c r="B4" s="27" t="str">
        <f>'Segmental forecast'!B4</f>
        <v>nm</v>
      </c>
      <c r="C4" s="27">
        <f>'Segmental forecast'!C4</f>
        <v>5.8004640371229765E-2</v>
      </c>
      <c r="D4" s="27">
        <f>'Segmental forecast'!D4</f>
        <v>6.0971089696071123E-2</v>
      </c>
      <c r="E4" s="27">
        <f>'Segmental forecast'!E4</f>
        <v>5.95924308588065E-2</v>
      </c>
      <c r="F4" s="27">
        <f>'Segmental forecast'!F4</f>
        <v>7.4731433909388079E-2</v>
      </c>
      <c r="G4" s="27">
        <f>'Segmental forecast'!G4</f>
        <v>-4.3817266150267153E-2</v>
      </c>
      <c r="H4" s="27">
        <f>'Segmental forecast'!H4</f>
        <v>0.19076009945726269</v>
      </c>
      <c r="I4" s="27">
        <f>'Segmental forecast'!I4</f>
        <v>4.8767344739323759E-2</v>
      </c>
      <c r="J4" s="27">
        <f>(J3-I3)/I3</f>
        <v>7.0184538845515038E-2</v>
      </c>
      <c r="K4" s="27">
        <f t="shared" ref="K4:N4" si="2">(K3-J3)/J3</f>
        <v>4.4568301355544973E-2</v>
      </c>
      <c r="L4" s="27">
        <f t="shared" si="2"/>
        <v>6.7135553541929238E-2</v>
      </c>
      <c r="M4" s="27">
        <f t="shared" si="2"/>
        <v>7.0617155109151758E-2</v>
      </c>
      <c r="N4" s="27">
        <f t="shared" si="2"/>
        <v>7.4142976446623571E-2</v>
      </c>
      <c r="O4" s="1"/>
      <c r="P4" s="1"/>
    </row>
    <row r="5" spans="1:16" ht="14.4" x14ac:dyDescent="0.3">
      <c r="A5" s="2" t="s">
        <v>74</v>
      </c>
      <c r="B5" s="7">
        <f>'Segmental forecast'!B5</f>
        <v>4839</v>
      </c>
      <c r="C5" s="7">
        <f>'Segmental forecast'!C5</f>
        <v>5291</v>
      </c>
      <c r="D5" s="7">
        <f>'Segmental forecast'!D5</f>
        <v>5651</v>
      </c>
      <c r="E5" s="7">
        <f>'Segmental forecast'!E5</f>
        <v>5126</v>
      </c>
      <c r="F5" s="7">
        <f>'Segmental forecast'!F5</f>
        <v>5555</v>
      </c>
      <c r="G5" s="7">
        <f>'Segmental forecast'!G5</f>
        <v>3697</v>
      </c>
      <c r="H5" s="7">
        <f>'Segmental forecast'!H5</f>
        <v>7667</v>
      </c>
      <c r="I5" s="7">
        <f>'Segmental forecast'!I5</f>
        <v>7573</v>
      </c>
      <c r="J5" s="7">
        <f>'Segmental forecast'!J5</f>
        <v>7835.4637790525148</v>
      </c>
      <c r="K5" s="7">
        <f>'Segmental forecast'!K5</f>
        <v>8156.1460429719991</v>
      </c>
      <c r="L5" s="7">
        <f>'Segmental forecast'!L5</f>
        <v>9950.0624791792743</v>
      </c>
      <c r="M5" s="7">
        <f>'Segmental forecast'!M5</f>
        <v>11205.67963039481</v>
      </c>
      <c r="N5" s="7">
        <f>'Segmental forecast'!N5</f>
        <v>11358.765785575451</v>
      </c>
    </row>
    <row r="6" spans="1:16" ht="14.4" x14ac:dyDescent="0.3">
      <c r="A6" s="20" t="s">
        <v>24</v>
      </c>
      <c r="B6" s="6">
        <f>'Segmental forecast'!B8</f>
        <v>606</v>
      </c>
      <c r="C6" s="6">
        <f>'Segmental forecast'!C8</f>
        <v>649</v>
      </c>
      <c r="D6" s="6">
        <f>'Segmental forecast'!D8</f>
        <v>706</v>
      </c>
      <c r="E6" s="6">
        <f>'Segmental forecast'!E8</f>
        <v>747</v>
      </c>
      <c r="F6" s="6">
        <f>'Segmental forecast'!F8</f>
        <v>705</v>
      </c>
      <c r="G6" s="6">
        <f>'Segmental forecast'!G8</f>
        <v>721</v>
      </c>
      <c r="H6" s="6">
        <f>'Segmental forecast'!H8</f>
        <v>744</v>
      </c>
      <c r="I6" s="6">
        <f>'Segmental forecast'!I8</f>
        <v>717</v>
      </c>
      <c r="J6" s="6">
        <f>'Segmental forecast'!J8</f>
        <v>728.26305281179623</v>
      </c>
      <c r="K6" s="6">
        <f>'Segmental forecast'!K8</f>
        <v>745.91784856494326</v>
      </c>
      <c r="L6" s="6">
        <f>'Segmental forecast'!L8</f>
        <v>748.9891952587069</v>
      </c>
      <c r="M6" s="6">
        <f>'Segmental forecast'!M8</f>
        <v>776.65492546116491</v>
      </c>
      <c r="N6" s="6">
        <f>'Segmental forecast'!N8</f>
        <v>820.91300185183536</v>
      </c>
    </row>
    <row r="7" spans="1:16" ht="14.4" x14ac:dyDescent="0.3">
      <c r="A7" s="8" t="s">
        <v>26</v>
      </c>
      <c r="B7" s="9">
        <f>'Segmental forecast'!B11</f>
        <v>4233</v>
      </c>
      <c r="C7" s="9">
        <f>'Segmental forecast'!C11</f>
        <v>4642</v>
      </c>
      <c r="D7" s="9">
        <f>'Segmental forecast'!D11</f>
        <v>4945</v>
      </c>
      <c r="E7" s="9">
        <f>'Segmental forecast'!E11</f>
        <v>4379</v>
      </c>
      <c r="F7" s="9">
        <f>'Segmental forecast'!F11</f>
        <v>4850</v>
      </c>
      <c r="G7" s="9">
        <f>'Segmental forecast'!G11</f>
        <v>2976</v>
      </c>
      <c r="H7" s="9">
        <f>'Segmental forecast'!H11</f>
        <v>6923</v>
      </c>
      <c r="I7" s="9">
        <f>'Segmental forecast'!I11</f>
        <v>6856</v>
      </c>
      <c r="J7" s="9">
        <f>'Segmental forecast'!J11</f>
        <v>7107.2007262407169</v>
      </c>
      <c r="K7" s="9">
        <f>'Segmental forecast'!K11</f>
        <v>7410.2281944070555</v>
      </c>
      <c r="L7" s="9">
        <f>'Segmental forecast'!L11</f>
        <v>9201.0732839205666</v>
      </c>
      <c r="M7" s="9">
        <f>'Segmental forecast'!M11</f>
        <v>10429.024704933645</v>
      </c>
      <c r="N7" s="9">
        <f>'Segmental forecast'!N11</f>
        <v>10537.852783723616</v>
      </c>
    </row>
    <row r="8" spans="1:16" ht="14.4" x14ac:dyDescent="0.3">
      <c r="A8" s="17" t="s">
        <v>21</v>
      </c>
      <c r="B8" s="27" t="str">
        <f>'Segmental forecast'!B12</f>
        <v>nm</v>
      </c>
      <c r="C8" s="27">
        <f>'Segmental forecast'!C12</f>
        <v>9.6621781242617555E-2</v>
      </c>
      <c r="D8" s="27">
        <f>'Segmental forecast'!D12</f>
        <v>6.5273588970271357E-2</v>
      </c>
      <c r="E8" s="27">
        <f>'Segmental forecast'!E12</f>
        <v>-0.11445904954499497</v>
      </c>
      <c r="F8" s="27">
        <f>'Segmental forecast'!F12</f>
        <v>0.10755880337976698</v>
      </c>
      <c r="G8" s="27">
        <f>'Segmental forecast'!G12</f>
        <v>-0.38639175257731961</v>
      </c>
      <c r="H8" s="27">
        <f>'Segmental forecast'!H12</f>
        <v>1.32627688172043</v>
      </c>
      <c r="I8" s="27">
        <f>'Segmental forecast'!I12</f>
        <v>-9.67788530983682E-3</v>
      </c>
      <c r="J8" s="27">
        <f t="shared" ref="J8" si="3">+IFERROR(J7/I7-1,"nm")</f>
        <v>3.6639545834410203E-2</v>
      </c>
      <c r="K8" s="27">
        <f t="shared" ref="K8" si="4">+IFERROR(K7/J7-1,"nm")</f>
        <v>4.2636683532452091E-2</v>
      </c>
      <c r="L8" s="27">
        <f t="shared" ref="L8" si="5">+IFERROR(L7/K7-1,"nm")</f>
        <v>0.24167205685584281</v>
      </c>
      <c r="M8" s="27">
        <f t="shared" ref="M8" si="6">+IFERROR(M7/L7-1,"nm")</f>
        <v>0.13345741123038302</v>
      </c>
      <c r="N8" s="27">
        <f t="shared" ref="N8" si="7">+IFERROR(N7/M7-1,"nm")</f>
        <v>1.0435115638232961E-2</v>
      </c>
    </row>
    <row r="9" spans="1:16" ht="14.4" x14ac:dyDescent="0.3">
      <c r="A9" s="17" t="s">
        <v>23</v>
      </c>
      <c r="B9" s="27">
        <f>'Segmental forecast'!B13</f>
        <v>0.13832881278389594</v>
      </c>
      <c r="C9" s="27">
        <f>'Segmental forecast'!C13</f>
        <v>0.14337781072399308</v>
      </c>
      <c r="D9" s="27">
        <f>'Segmental forecast'!D13</f>
        <v>0.14395924308588065</v>
      </c>
      <c r="E9" s="27">
        <f>'Segmental forecast'!E13</f>
        <v>0.12031211363573921</v>
      </c>
      <c r="F9" s="27">
        <f>'Segmental forecast'!F13</f>
        <v>0.12398701331901731</v>
      </c>
      <c r="G9" s="27">
        <f>'Segmental forecast'!G13</f>
        <v>7.9565810229126011E-2</v>
      </c>
      <c r="H9" s="27">
        <f>'Segmental forecast'!H13</f>
        <v>0.1554402981723472</v>
      </c>
      <c r="I9" s="27">
        <f>'Segmental forecast'!I13</f>
        <v>0.14677799186469706</v>
      </c>
      <c r="J9" s="27">
        <f>'Segmental forecast'!J13</f>
        <v>0.1421772276669665</v>
      </c>
      <c r="K9" s="27">
        <f>'Segmental forecast'!K13</f>
        <v>0.14191431324897863</v>
      </c>
      <c r="L9" s="27">
        <f>'Segmental forecast'!L13</f>
        <v>0.16512526140121719</v>
      </c>
      <c r="M9" s="27">
        <f>'Segmental forecast'!M13</f>
        <v>0.17481734756761144</v>
      </c>
      <c r="N9" s="27">
        <f>'Segmental forecast'!N13</f>
        <v>0.16444885893067729</v>
      </c>
    </row>
    <row r="10" spans="1:16" ht="14.4" x14ac:dyDescent="0.3">
      <c r="A10" s="3" t="s">
        <v>0</v>
      </c>
      <c r="B10" s="6">
        <f>Historicals!B8</f>
        <v>28</v>
      </c>
      <c r="C10" s="6">
        <f>Historicals!C8</f>
        <v>19</v>
      </c>
      <c r="D10" s="6">
        <f>Historicals!D8</f>
        <v>59</v>
      </c>
      <c r="E10" s="6">
        <f>Historicals!E8</f>
        <v>54</v>
      </c>
      <c r="F10" s="6">
        <f>Historicals!F8</f>
        <v>49</v>
      </c>
      <c r="G10" s="6">
        <f>Historicals!G8</f>
        <v>89</v>
      </c>
      <c r="H10" s="6">
        <f>Historicals!H8</f>
        <v>262</v>
      </c>
      <c r="I10" s="6">
        <f>Historicals!I8</f>
        <v>205</v>
      </c>
      <c r="J10" s="6">
        <f>J50</f>
        <v>219.88803588489415</v>
      </c>
      <c r="K10" s="6">
        <f t="shared" ref="K10:N10" si="8">K50</f>
        <v>175.72497549877605</v>
      </c>
      <c r="L10" s="6">
        <f t="shared" si="8"/>
        <v>188.47472924348762</v>
      </c>
      <c r="M10" s="6">
        <f t="shared" si="8"/>
        <v>253.46804357293033</v>
      </c>
      <c r="N10" s="6">
        <f t="shared" si="8"/>
        <v>282.70224246455172</v>
      </c>
    </row>
    <row r="11" spans="1:16" ht="14.4" x14ac:dyDescent="0.3">
      <c r="A11" s="8" t="s">
        <v>75</v>
      </c>
      <c r="B11" s="9">
        <f t="shared" ref="B11:N11" si="9">B7-B10</f>
        <v>4205</v>
      </c>
      <c r="C11" s="9">
        <f t="shared" si="9"/>
        <v>4623</v>
      </c>
      <c r="D11" s="9">
        <f t="shared" si="9"/>
        <v>4886</v>
      </c>
      <c r="E11" s="9">
        <f t="shared" si="9"/>
        <v>4325</v>
      </c>
      <c r="F11" s="9">
        <f t="shared" si="9"/>
        <v>4801</v>
      </c>
      <c r="G11" s="9">
        <f t="shared" si="9"/>
        <v>2887</v>
      </c>
      <c r="H11" s="9">
        <f t="shared" si="9"/>
        <v>6661</v>
      </c>
      <c r="I11" s="9">
        <f t="shared" si="9"/>
        <v>6651</v>
      </c>
      <c r="J11" s="9">
        <f t="shared" si="9"/>
        <v>6887.3126903558232</v>
      </c>
      <c r="K11" s="9">
        <f t="shared" si="9"/>
        <v>7234.5032189082795</v>
      </c>
      <c r="L11" s="9">
        <f t="shared" si="9"/>
        <v>9012.5985546770789</v>
      </c>
      <c r="M11" s="9">
        <f t="shared" si="9"/>
        <v>10175.556661360715</v>
      </c>
      <c r="N11" s="9">
        <f t="shared" si="9"/>
        <v>10255.150541259065</v>
      </c>
    </row>
    <row r="12" spans="1:16" ht="14.4" x14ac:dyDescent="0.3">
      <c r="A12" s="1" t="s">
        <v>1</v>
      </c>
      <c r="B12" s="6">
        <f>Historicals!B11</f>
        <v>932</v>
      </c>
      <c r="C12" s="6">
        <f>Historicals!C11</f>
        <v>863</v>
      </c>
      <c r="D12" s="6">
        <f>Historicals!D11</f>
        <v>646</v>
      </c>
      <c r="E12" s="6">
        <f>Historicals!E11</f>
        <v>2392</v>
      </c>
      <c r="F12" s="6">
        <f>Historicals!F11</f>
        <v>772</v>
      </c>
      <c r="G12" s="6">
        <f>Historicals!G11</f>
        <v>348</v>
      </c>
      <c r="H12" s="6">
        <f>Historicals!H11</f>
        <v>934</v>
      </c>
      <c r="I12" s="6">
        <f>Historicals!I11</f>
        <v>605</v>
      </c>
      <c r="J12" s="6">
        <f>J11*J13</f>
        <v>1253.4909096447598</v>
      </c>
      <c r="K12" s="6">
        <f t="shared" ref="K12:N12" si="10">K11*K13</f>
        <v>651.10528970174516</v>
      </c>
      <c r="L12" s="6">
        <f t="shared" si="10"/>
        <v>829.15906703029123</v>
      </c>
      <c r="M12" s="6">
        <f t="shared" si="10"/>
        <v>895.44898619974288</v>
      </c>
      <c r="N12" s="6">
        <f t="shared" si="10"/>
        <v>881.94294654827956</v>
      </c>
    </row>
    <row r="13" spans="1:16" ht="14.4" x14ac:dyDescent="0.3">
      <c r="A13" s="17" t="s">
        <v>76</v>
      </c>
      <c r="B13" s="27">
        <f t="shared" ref="B13:H13" si="11">B12/B11</f>
        <v>0.22164090368608799</v>
      </c>
      <c r="C13" s="27">
        <f t="shared" si="11"/>
        <v>0.18667531905688947</v>
      </c>
      <c r="D13" s="27">
        <f t="shared" si="11"/>
        <v>0.13221449038067951</v>
      </c>
      <c r="E13" s="27">
        <f t="shared" si="11"/>
        <v>0.55306358381502885</v>
      </c>
      <c r="F13" s="27">
        <f t="shared" si="11"/>
        <v>0.16079983336804832</v>
      </c>
      <c r="G13" s="27">
        <f t="shared" si="11"/>
        <v>0.12054035330793211</v>
      </c>
      <c r="H13" s="27">
        <f t="shared" si="11"/>
        <v>0.14021918630836211</v>
      </c>
      <c r="I13" s="27">
        <f>I12/I11</f>
        <v>9.0963764847391368E-2</v>
      </c>
      <c r="J13" s="28">
        <v>0.182</v>
      </c>
      <c r="K13" s="28">
        <v>0.09</v>
      </c>
      <c r="L13" s="28">
        <v>9.1999999999999998E-2</v>
      </c>
      <c r="M13" s="28">
        <v>8.7999999999999995E-2</v>
      </c>
      <c r="N13" s="28">
        <v>8.5999999999999993E-2</v>
      </c>
      <c r="P13" t="s">
        <v>265</v>
      </c>
    </row>
    <row r="14" spans="1:16" thickBot="1" x14ac:dyDescent="0.35">
      <c r="A14" s="10" t="s">
        <v>77</v>
      </c>
      <c r="B14" s="11">
        <f t="shared" ref="B14:N14" si="12">B11-B12</f>
        <v>3273</v>
      </c>
      <c r="C14" s="11">
        <f t="shared" si="12"/>
        <v>3760</v>
      </c>
      <c r="D14" s="11">
        <f t="shared" si="12"/>
        <v>4240</v>
      </c>
      <c r="E14" s="11">
        <f t="shared" si="12"/>
        <v>1933</v>
      </c>
      <c r="F14" s="11">
        <f t="shared" si="12"/>
        <v>4029</v>
      </c>
      <c r="G14" s="11">
        <f t="shared" si="12"/>
        <v>2539</v>
      </c>
      <c r="H14" s="11">
        <f t="shared" si="12"/>
        <v>5727</v>
      </c>
      <c r="I14" s="11">
        <f t="shared" si="12"/>
        <v>6046</v>
      </c>
      <c r="J14" s="11">
        <f t="shared" si="12"/>
        <v>5633.8217807110632</v>
      </c>
      <c r="K14" s="11">
        <f t="shared" si="12"/>
        <v>6583.3979292065342</v>
      </c>
      <c r="L14" s="11">
        <f t="shared" si="12"/>
        <v>8183.4394876467877</v>
      </c>
      <c r="M14" s="11">
        <f t="shared" si="12"/>
        <v>9280.1076751609726</v>
      </c>
      <c r="N14" s="11">
        <f t="shared" si="12"/>
        <v>9373.207594710786</v>
      </c>
    </row>
    <row r="15" spans="1:16" thickTop="1" x14ac:dyDescent="0.3">
      <c r="A15" s="1" t="s">
        <v>78</v>
      </c>
      <c r="B15" s="6">
        <f>Historicals!B18</f>
        <v>1768.8</v>
      </c>
      <c r="C15" s="6">
        <f>Historicals!C18</f>
        <v>1742.5</v>
      </c>
      <c r="D15" s="6">
        <f>Historicals!D18</f>
        <v>1692</v>
      </c>
      <c r="E15" s="6">
        <f>Historicals!E18</f>
        <v>1659.1</v>
      </c>
      <c r="F15" s="6">
        <f>Historicals!F18</f>
        <v>1618.4</v>
      </c>
      <c r="G15" s="6">
        <f>Historicals!G18</f>
        <v>1591.6</v>
      </c>
      <c r="H15" s="6">
        <f>Historicals!H18</f>
        <v>1609.4</v>
      </c>
      <c r="I15" s="6">
        <f>Historicals!I18</f>
        <v>1610.8</v>
      </c>
      <c r="J15" s="6">
        <f>I15</f>
        <v>1610.8</v>
      </c>
      <c r="K15" s="6">
        <f t="shared" ref="K15:N15" si="13">J15</f>
        <v>1610.8</v>
      </c>
      <c r="L15" s="6">
        <f t="shared" si="13"/>
        <v>1610.8</v>
      </c>
      <c r="M15" s="6">
        <f t="shared" si="13"/>
        <v>1610.8</v>
      </c>
      <c r="N15" s="6">
        <f t="shared" si="13"/>
        <v>1610.8</v>
      </c>
      <c r="O15" s="87" t="s">
        <v>277</v>
      </c>
    </row>
    <row r="16" spans="1:16" ht="14.4" x14ac:dyDescent="0.3">
      <c r="A16" s="1" t="s">
        <v>79</v>
      </c>
      <c r="B16" s="29">
        <f t="shared" ref="B16:N16" si="14">B14/B15</f>
        <v>1.8504070556309362</v>
      </c>
      <c r="C16" s="29">
        <f t="shared" si="14"/>
        <v>2.1578192252510759</v>
      </c>
      <c r="D16" s="29">
        <f t="shared" si="14"/>
        <v>2.5059101654846336</v>
      </c>
      <c r="E16" s="29">
        <f t="shared" si="14"/>
        <v>1.1650895063588693</v>
      </c>
      <c r="F16" s="29">
        <f t="shared" si="14"/>
        <v>2.4894957983193278</v>
      </c>
      <c r="G16" s="29">
        <f t="shared" si="14"/>
        <v>1.5952500628298569</v>
      </c>
      <c r="H16" s="29">
        <f t="shared" si="14"/>
        <v>3.5584689946563937</v>
      </c>
      <c r="I16" s="29">
        <f t="shared" si="14"/>
        <v>3.7534144524459898</v>
      </c>
      <c r="J16" s="29">
        <f>J14/J15</f>
        <v>3.4975302835305833</v>
      </c>
      <c r="K16" s="29">
        <f t="shared" si="14"/>
        <v>4.0870362113276224</v>
      </c>
      <c r="L16" s="29">
        <f t="shared" si="14"/>
        <v>5.0803572682187657</v>
      </c>
      <c r="M16" s="29">
        <f t="shared" si="14"/>
        <v>5.7611793364545401</v>
      </c>
      <c r="N16" s="29">
        <f t="shared" si="14"/>
        <v>5.8189766542778658</v>
      </c>
      <c r="O16" s="87"/>
    </row>
    <row r="17" spans="1:16" ht="14.4" x14ac:dyDescent="0.3">
      <c r="A17" s="1" t="s">
        <v>80</v>
      </c>
      <c r="B17" s="29">
        <f>B19*B16</f>
        <v>0.50825418362731789</v>
      </c>
      <c r="C17" s="29">
        <f t="shared" ref="C17:I17" si="15">C19*C16</f>
        <v>0.58651362984218069</v>
      </c>
      <c r="D17" s="29">
        <f t="shared" si="15"/>
        <v>0.66962174940898345</v>
      </c>
      <c r="E17" s="29">
        <f t="shared" si="15"/>
        <v>0.74920137423904531</v>
      </c>
      <c r="F17" s="29">
        <f t="shared" si="15"/>
        <v>0.82303509639149786</v>
      </c>
      <c r="G17" s="29">
        <f t="shared" si="15"/>
        <v>0.9122895199798946</v>
      </c>
      <c r="H17" s="29">
        <f t="shared" si="15"/>
        <v>1.0177705977382876</v>
      </c>
      <c r="I17" s="29">
        <f t="shared" si="15"/>
        <v>1.1404271169605165</v>
      </c>
      <c r="J17" s="29">
        <v>1.28</v>
      </c>
      <c r="K17" s="29">
        <v>1.39</v>
      </c>
      <c r="L17" s="29">
        <f>0.00035*(1888)+0.88</f>
        <v>1.5407999999999999</v>
      </c>
      <c r="M17" s="29">
        <f>0.00035*(1888+365)+0.88</f>
        <v>1.66855</v>
      </c>
      <c r="N17" s="29">
        <f>0.00035*(1888+365+365)+0.88</f>
        <v>1.7963</v>
      </c>
      <c r="O17" s="87" t="s">
        <v>279</v>
      </c>
      <c r="P17" s="79" t="s">
        <v>272</v>
      </c>
    </row>
    <row r="18" spans="1:16" ht="14.4" x14ac:dyDescent="0.3">
      <c r="A18" s="17" t="s">
        <v>21</v>
      </c>
      <c r="B18" s="27" t="str">
        <f t="shared" ref="B18:I18" si="16">+IFERROR(B17/A17-1,"nm")</f>
        <v>nm</v>
      </c>
      <c r="C18" s="27">
        <f t="shared" si="16"/>
        <v>0.15397698383186809</v>
      </c>
      <c r="D18" s="27">
        <f t="shared" si="16"/>
        <v>0.14169853067040483</v>
      </c>
      <c r="E18" s="27">
        <f t="shared" si="16"/>
        <v>0.11884265243818604</v>
      </c>
      <c r="F18" s="27">
        <f t="shared" si="16"/>
        <v>9.854990219077564E-2</v>
      </c>
      <c r="G18" s="27">
        <f t="shared" si="16"/>
        <v>0.10844546481641237</v>
      </c>
      <c r="H18" s="27">
        <f t="shared" si="16"/>
        <v>0.11562237146023291</v>
      </c>
      <c r="I18" s="27">
        <f t="shared" si="16"/>
        <v>0.12051489745803123</v>
      </c>
      <c r="J18" s="27">
        <f t="shared" ref="J18" si="17">+IFERROR(J17/I17-1,"nm")</f>
        <v>0.12238649972781723</v>
      </c>
      <c r="K18" s="27">
        <f t="shared" ref="K18" si="18">+IFERROR(K17/J17-1,"nm")</f>
        <v>8.59375E-2</v>
      </c>
      <c r="L18" s="27">
        <f t="shared" ref="L18" si="19">+IFERROR(L17/K17-1,"nm")</f>
        <v>0.10848920863309353</v>
      </c>
      <c r="M18" s="27">
        <f t="shared" ref="M18" si="20">+IFERROR(M17/L17-1,"nm")</f>
        <v>8.2911474558670761E-2</v>
      </c>
      <c r="N18" s="27">
        <f t="shared" ref="N18" si="21">+IFERROR(N17/M17-1,"nm")</f>
        <v>7.6563483263911714E-2</v>
      </c>
      <c r="O18" s="87"/>
    </row>
    <row r="19" spans="1:16" ht="14.4" x14ac:dyDescent="0.3">
      <c r="A19" s="17" t="s">
        <v>81</v>
      </c>
      <c r="B19" s="27">
        <f>ABS(B62/B14)</f>
        <v>0.27467155514818209</v>
      </c>
      <c r="C19" s="27">
        <f t="shared" ref="C19:I19" si="22">ABS(C62/C14)</f>
        <v>0.27180851063829786</v>
      </c>
      <c r="D19" s="27">
        <f t="shared" si="22"/>
        <v>0.26721698113207548</v>
      </c>
      <c r="E19" s="27">
        <f t="shared" si="22"/>
        <v>0.64304190377651316</v>
      </c>
      <c r="F19" s="27">
        <f t="shared" si="22"/>
        <v>0.33060312732688013</v>
      </c>
      <c r="G19" s="27">
        <f t="shared" si="22"/>
        <v>0.57187869239858213</v>
      </c>
      <c r="H19" s="27">
        <f t="shared" si="22"/>
        <v>0.286013619696176</v>
      </c>
      <c r="I19" s="27">
        <f t="shared" si="22"/>
        <v>0.30383724776711873</v>
      </c>
      <c r="J19" s="27">
        <f>J17/J16</f>
        <v>0.36597252810857822</v>
      </c>
      <c r="K19" s="27">
        <f t="shared" ref="K19:N19" si="23">K17/K16</f>
        <v>0.34009975153816313</v>
      </c>
      <c r="L19" s="27">
        <f t="shared" si="23"/>
        <v>0.30328575701531774</v>
      </c>
      <c r="M19" s="27">
        <f t="shared" si="23"/>
        <v>0.28961952103140648</v>
      </c>
      <c r="N19" s="27">
        <f t="shared" si="23"/>
        <v>0.30869689066022221</v>
      </c>
      <c r="O19" s="87" t="s">
        <v>278</v>
      </c>
    </row>
    <row r="20" spans="1:16" ht="14.4" x14ac:dyDescent="0.3">
      <c r="A20" s="30" t="s">
        <v>82</v>
      </c>
      <c r="B20" s="16"/>
      <c r="C20" s="16"/>
      <c r="D20" s="16"/>
      <c r="E20" s="16"/>
      <c r="F20" s="16"/>
      <c r="G20" s="16"/>
      <c r="H20" s="16"/>
      <c r="I20" s="16"/>
      <c r="J20" s="15"/>
      <c r="K20" s="15"/>
      <c r="L20" s="15"/>
      <c r="M20" s="15"/>
      <c r="N20" s="15"/>
    </row>
    <row r="21" spans="1:16" ht="15.75" customHeight="1" x14ac:dyDescent="0.3">
      <c r="A21" s="1" t="s">
        <v>83</v>
      </c>
      <c r="B21" s="6">
        <f>Historicals!B25</f>
        <v>3852</v>
      </c>
      <c r="C21" s="6">
        <f>Historicals!C25</f>
        <v>3138</v>
      </c>
      <c r="D21" s="6">
        <f>Historicals!D25</f>
        <v>3808</v>
      </c>
      <c r="E21" s="6">
        <f>Historicals!E25</f>
        <v>4249</v>
      </c>
      <c r="F21" s="6">
        <f>Historicals!F25</f>
        <v>4466</v>
      </c>
      <c r="G21" s="6">
        <f>Historicals!G25</f>
        <v>8348</v>
      </c>
      <c r="H21" s="6">
        <f>Historicals!H25</f>
        <v>9889</v>
      </c>
      <c r="I21" s="6">
        <f>Historicals!I25</f>
        <v>8574</v>
      </c>
      <c r="J21" s="6">
        <f>J69</f>
        <v>7147.2882774924383</v>
      </c>
      <c r="K21" s="6">
        <f t="shared" ref="K21:N21" si="24">K69</f>
        <v>6385.0175301057197</v>
      </c>
      <c r="L21" s="6">
        <f t="shared" si="24"/>
        <v>7092.4631301433956</v>
      </c>
      <c r="M21" s="6">
        <f t="shared" si="24"/>
        <v>8764.2895931647508</v>
      </c>
      <c r="N21" s="6">
        <f t="shared" si="24"/>
        <v>10097.526571138696</v>
      </c>
    </row>
    <row r="22" spans="1:16" ht="15.75" customHeight="1" x14ac:dyDescent="0.3">
      <c r="A22" s="1" t="s">
        <v>84</v>
      </c>
      <c r="B22" s="6">
        <f>Historicals!B26</f>
        <v>2072</v>
      </c>
      <c r="C22" s="6">
        <f>Historicals!C26</f>
        <v>2319</v>
      </c>
      <c r="D22" s="6">
        <f>Historicals!D26</f>
        <v>2371</v>
      </c>
      <c r="E22" s="6">
        <f>Historicals!E26</f>
        <v>996</v>
      </c>
      <c r="F22" s="6">
        <f>Historicals!F26</f>
        <v>197</v>
      </c>
      <c r="G22" s="6">
        <f>Historicals!G26</f>
        <v>439</v>
      </c>
      <c r="H22" s="6">
        <f>Historicals!H26</f>
        <v>3587</v>
      </c>
      <c r="I22" s="6">
        <f>Historicals!I26</f>
        <v>4423</v>
      </c>
      <c r="J22" s="6">
        <v>4423</v>
      </c>
      <c r="K22" s="6">
        <v>4423</v>
      </c>
      <c r="L22" s="6">
        <v>4423</v>
      </c>
      <c r="M22" s="6">
        <v>4423</v>
      </c>
      <c r="N22" s="6">
        <v>4423</v>
      </c>
    </row>
    <row r="23" spans="1:16" ht="15.75" customHeight="1" x14ac:dyDescent="0.3">
      <c r="A23" s="1" t="s">
        <v>85</v>
      </c>
      <c r="B23" s="6">
        <f>Historicals!B28+Historicals!B27-Historicals!B41</f>
        <v>5564</v>
      </c>
      <c r="C23" s="6">
        <f>Historicals!C28+Historicals!C27-Historicals!C41</f>
        <v>5888</v>
      </c>
      <c r="D23" s="6">
        <f>Historicals!D28+Historicals!D27-Historicals!D41</f>
        <v>6684</v>
      </c>
      <c r="E23" s="6">
        <f>Historicals!E28+Historicals!E27-Historicals!E41</f>
        <v>6480</v>
      </c>
      <c r="F23" s="6">
        <f>Historicals!F28+Historicals!F27-Historicals!F41</f>
        <v>7282</v>
      </c>
      <c r="G23" s="6">
        <f>Historicals!G28+Historicals!G27-Historicals!G41</f>
        <v>7868</v>
      </c>
      <c r="H23" s="6">
        <f>Historicals!H28+Historicals!H27-Historicals!H41</f>
        <v>8481</v>
      </c>
      <c r="I23" s="6">
        <f>Historicals!I28+Historicals!I27-Historicals!I41</f>
        <v>9729</v>
      </c>
      <c r="J23" s="6">
        <f>J24*J3</f>
        <v>10997.430358084282</v>
      </c>
      <c r="K23" s="6">
        <f t="shared" ref="K23:N23" si="25">K24*K3</f>
        <v>11696.432005664001</v>
      </c>
      <c r="L23" s="6">
        <f t="shared" si="25"/>
        <v>12593.122000355057</v>
      </c>
      <c r="M23" s="6">
        <f t="shared" si="25"/>
        <v>13542.069142219074</v>
      </c>
      <c r="N23" s="6">
        <f t="shared" si="25"/>
        <v>14738.357906625151</v>
      </c>
    </row>
    <row r="24" spans="1:16" ht="15.75" customHeight="1" x14ac:dyDescent="0.3">
      <c r="A24" s="17" t="s">
        <v>86</v>
      </c>
      <c r="B24" s="27">
        <f t="shared" ref="B24:I24" si="26">+IFERROR(B23/B$3,"nm")</f>
        <v>0.18182412339466031</v>
      </c>
      <c r="C24" s="27">
        <f t="shared" si="26"/>
        <v>0.1818631084754139</v>
      </c>
      <c r="D24" s="27">
        <f t="shared" si="26"/>
        <v>0.19458515283842795</v>
      </c>
      <c r="E24" s="27">
        <f t="shared" si="26"/>
        <v>0.17803665137236585</v>
      </c>
      <c r="F24" s="27">
        <f t="shared" si="26"/>
        <v>0.18615947030702765</v>
      </c>
      <c r="G24" s="27">
        <f t="shared" si="26"/>
        <v>0.21035745795791783</v>
      </c>
      <c r="H24" s="27">
        <f t="shared" si="26"/>
        <v>0.19042166240064665</v>
      </c>
      <c r="I24" s="27">
        <f t="shared" si="26"/>
        <v>0.20828516377649325</v>
      </c>
      <c r="J24" s="28">
        <v>0.22</v>
      </c>
      <c r="K24" s="28">
        <v>0.224</v>
      </c>
      <c r="L24" s="28">
        <v>0.22600000000000001</v>
      </c>
      <c r="M24" s="28">
        <v>0.22700000000000001</v>
      </c>
      <c r="N24" s="28">
        <v>0.23</v>
      </c>
      <c r="P24" t="s">
        <v>266</v>
      </c>
    </row>
    <row r="25" spans="1:16" ht="15.75" customHeight="1" x14ac:dyDescent="0.3">
      <c r="A25" s="1" t="s">
        <v>87</v>
      </c>
      <c r="B25" s="6">
        <f>Historicals!B29</f>
        <v>1968</v>
      </c>
      <c r="C25" s="6">
        <f>Historicals!C29</f>
        <v>1489</v>
      </c>
      <c r="D25" s="6">
        <f>Historicals!D29</f>
        <v>1150</v>
      </c>
      <c r="E25" s="6">
        <f>Historicals!E29</f>
        <v>1130</v>
      </c>
      <c r="F25" s="6">
        <f>Historicals!F29</f>
        <v>1968</v>
      </c>
      <c r="G25" s="6">
        <f>Historicals!G29</f>
        <v>1653</v>
      </c>
      <c r="H25" s="6">
        <f>Historicals!H29</f>
        <v>1498</v>
      </c>
      <c r="I25" s="6">
        <f>Historicals!I29</f>
        <v>2129</v>
      </c>
      <c r="J25" s="6">
        <v>2129</v>
      </c>
      <c r="K25" s="6">
        <v>2129</v>
      </c>
      <c r="L25" s="6">
        <v>2129</v>
      </c>
      <c r="M25" s="6">
        <v>2129</v>
      </c>
      <c r="N25" s="6">
        <v>2129</v>
      </c>
    </row>
    <row r="26" spans="1:16" ht="15.75" customHeight="1" x14ac:dyDescent="0.3">
      <c r="A26" s="1" t="s">
        <v>88</v>
      </c>
      <c r="B26" s="6">
        <f>Historicals!B31</f>
        <v>3011</v>
      </c>
      <c r="C26" s="6">
        <f>Historicals!C31</f>
        <v>3520</v>
      </c>
      <c r="D26" s="6">
        <f>Historicals!D31</f>
        <v>3989</v>
      </c>
      <c r="E26" s="6">
        <f>Historicals!E31</f>
        <v>4454</v>
      </c>
      <c r="F26" s="6">
        <f>Historicals!F31</f>
        <v>4744</v>
      </c>
      <c r="G26" s="6">
        <f>Historicals!G31</f>
        <v>4866</v>
      </c>
      <c r="H26" s="6">
        <f>Historicals!H31</f>
        <v>4904</v>
      </c>
      <c r="I26" s="6">
        <f>Historicals!I31</f>
        <v>4791</v>
      </c>
      <c r="J26" s="6">
        <v>4791</v>
      </c>
      <c r="K26" s="6">
        <v>4791</v>
      </c>
      <c r="L26" s="6">
        <v>4791</v>
      </c>
      <c r="M26" s="6">
        <v>4791</v>
      </c>
      <c r="N26" s="6">
        <v>4791</v>
      </c>
    </row>
    <row r="27" spans="1:16" ht="15.75" customHeight="1" x14ac:dyDescent="0.3">
      <c r="A27" s="1" t="s">
        <v>89</v>
      </c>
      <c r="B27" s="6">
        <f>Historicals!B33</f>
        <v>281</v>
      </c>
      <c r="C27" s="6">
        <f>Historicals!C33</f>
        <v>281</v>
      </c>
      <c r="D27" s="6">
        <f>Historicals!D33</f>
        <v>283</v>
      </c>
      <c r="E27" s="6">
        <f>Historicals!E33</f>
        <v>285</v>
      </c>
      <c r="F27" s="6">
        <f>Historicals!F33</f>
        <v>283</v>
      </c>
      <c r="G27" s="6">
        <f>Historicals!G33</f>
        <v>274</v>
      </c>
      <c r="H27" s="6">
        <f>Historicals!H33</f>
        <v>269</v>
      </c>
      <c r="I27" s="6">
        <f>Historicals!I33</f>
        <v>286</v>
      </c>
      <c r="J27" s="6">
        <v>286</v>
      </c>
      <c r="K27" s="6">
        <v>286</v>
      </c>
      <c r="L27" s="6">
        <v>286</v>
      </c>
      <c r="M27" s="6">
        <v>286</v>
      </c>
      <c r="N27" s="6">
        <v>286</v>
      </c>
    </row>
    <row r="28" spans="1:16" ht="15.75" customHeight="1" x14ac:dyDescent="0.3">
      <c r="A28" s="1" t="s">
        <v>3</v>
      </c>
      <c r="B28" s="6">
        <f>Historicals!B34</f>
        <v>131</v>
      </c>
      <c r="C28" s="6">
        <f>Historicals!C34</f>
        <v>131</v>
      </c>
      <c r="D28" s="6">
        <f>Historicals!D34</f>
        <v>139</v>
      </c>
      <c r="E28" s="6">
        <f>Historicals!E34</f>
        <v>154</v>
      </c>
      <c r="F28" s="6">
        <f>Historicals!F34</f>
        <v>154</v>
      </c>
      <c r="G28" s="6">
        <f>Historicals!G34</f>
        <v>223</v>
      </c>
      <c r="H28" s="6">
        <f>Historicals!H34</f>
        <v>242</v>
      </c>
      <c r="I28" s="6">
        <f>Historicals!I34</f>
        <v>284</v>
      </c>
      <c r="J28" s="6">
        <v>284</v>
      </c>
      <c r="K28" s="6">
        <v>284</v>
      </c>
      <c r="L28" s="6">
        <v>284</v>
      </c>
      <c r="M28" s="6">
        <v>284</v>
      </c>
      <c r="N28" s="6">
        <v>284</v>
      </c>
    </row>
    <row r="29" spans="1:16" ht="15.75" customHeight="1" x14ac:dyDescent="0.3">
      <c r="A29" s="3" t="s">
        <v>2</v>
      </c>
      <c r="B29" s="6">
        <f>Historicals!B32</f>
        <v>0</v>
      </c>
      <c r="C29" s="6">
        <f>Historicals!C32</f>
        <v>0</v>
      </c>
      <c r="D29" s="6">
        <f>Historicals!D32</f>
        <v>0</v>
      </c>
      <c r="E29" s="6">
        <f>Historicals!E32</f>
        <v>0</v>
      </c>
      <c r="F29" s="6">
        <f>Historicals!F32</f>
        <v>0</v>
      </c>
      <c r="G29" s="6">
        <f>Historicals!G32</f>
        <v>3097</v>
      </c>
      <c r="H29" s="6">
        <f>Historicals!H32</f>
        <v>3113</v>
      </c>
      <c r="I29" s="6">
        <f>Historicals!I32</f>
        <v>2926</v>
      </c>
      <c r="J29" s="6">
        <v>2926</v>
      </c>
      <c r="K29" s="6">
        <v>2926</v>
      </c>
      <c r="L29" s="6">
        <v>2926</v>
      </c>
      <c r="M29" s="6">
        <v>2926</v>
      </c>
      <c r="N29" s="6">
        <v>2926</v>
      </c>
    </row>
    <row r="30" spans="1:16" ht="15.75" customHeight="1" x14ac:dyDescent="0.3">
      <c r="A30" s="1" t="s">
        <v>90</v>
      </c>
      <c r="B30" s="6">
        <f>Historicals!B35</f>
        <v>2587</v>
      </c>
      <c r="C30" s="6">
        <f>Historicals!C35</f>
        <v>2439</v>
      </c>
      <c r="D30" s="6">
        <f>Historicals!D35</f>
        <v>2787</v>
      </c>
      <c r="E30" s="6">
        <f>Historicals!E35</f>
        <v>2509</v>
      </c>
      <c r="F30" s="6">
        <f>Historicals!F35</f>
        <v>2011</v>
      </c>
      <c r="G30" s="6">
        <f>Historicals!G35</f>
        <v>2326</v>
      </c>
      <c r="H30" s="6">
        <f>Historicals!H35</f>
        <v>2921</v>
      </c>
      <c r="I30" s="6">
        <f>Historicals!I35</f>
        <v>3821</v>
      </c>
      <c r="J30" s="6">
        <v>3821</v>
      </c>
      <c r="K30" s="6">
        <v>3821</v>
      </c>
      <c r="L30" s="6">
        <v>3821</v>
      </c>
      <c r="M30" s="6">
        <v>3821</v>
      </c>
      <c r="N30" s="6">
        <v>3821</v>
      </c>
    </row>
    <row r="31" spans="1:16" ht="15.75" customHeight="1" x14ac:dyDescent="0.3">
      <c r="A31" s="10" t="s">
        <v>91</v>
      </c>
      <c r="B31" s="11">
        <f t="shared" ref="B31:I31" si="27">B21+B22+B23+B25+B26+B27+B28+B29+B30</f>
        <v>19466</v>
      </c>
      <c r="C31" s="11">
        <f t="shared" si="27"/>
        <v>19205</v>
      </c>
      <c r="D31" s="11">
        <f t="shared" si="27"/>
        <v>21211</v>
      </c>
      <c r="E31" s="11">
        <f t="shared" si="27"/>
        <v>20257</v>
      </c>
      <c r="F31" s="11">
        <f t="shared" si="27"/>
        <v>21105</v>
      </c>
      <c r="G31" s="11">
        <f t="shared" si="27"/>
        <v>29094</v>
      </c>
      <c r="H31" s="11">
        <f t="shared" si="27"/>
        <v>34904</v>
      </c>
      <c r="I31" s="11">
        <f t="shared" si="27"/>
        <v>36963</v>
      </c>
      <c r="J31" s="11">
        <f>I31+(-J53)-J6</f>
        <v>37121.658090663994</v>
      </c>
      <c r="K31" s="11">
        <f t="shared" ref="K31:N31" si="28">J31+(-K53)-K6</f>
        <v>37311.143384878051</v>
      </c>
      <c r="L31" s="11">
        <f>K31+(-L53)-L6</f>
        <v>37381.160434069883</v>
      </c>
      <c r="M31" s="11">
        <f t="shared" si="28"/>
        <v>37456.711194118157</v>
      </c>
      <c r="N31" s="11">
        <f t="shared" si="28"/>
        <v>37526.558195461752</v>
      </c>
    </row>
    <row r="32" spans="1:16" ht="15.75" customHeight="1" x14ac:dyDescent="0.3">
      <c r="A32" s="1" t="s">
        <v>92</v>
      </c>
      <c r="B32" s="6">
        <f t="shared" ref="B32:N32" si="29">B34+B33</f>
        <v>181</v>
      </c>
      <c r="C32" s="6">
        <f t="shared" si="29"/>
        <v>45</v>
      </c>
      <c r="D32" s="6">
        <f t="shared" si="29"/>
        <v>331</v>
      </c>
      <c r="E32" s="6">
        <f t="shared" si="29"/>
        <v>342</v>
      </c>
      <c r="F32" s="6">
        <f t="shared" si="29"/>
        <v>15</v>
      </c>
      <c r="G32" s="6">
        <f t="shared" si="29"/>
        <v>251</v>
      </c>
      <c r="H32" s="6">
        <f t="shared" si="29"/>
        <v>2</v>
      </c>
      <c r="I32" s="6">
        <f t="shared" si="29"/>
        <v>510</v>
      </c>
      <c r="J32" s="6">
        <f t="shared" si="29"/>
        <v>510</v>
      </c>
      <c r="K32" s="6">
        <f t="shared" si="29"/>
        <v>510</v>
      </c>
      <c r="L32" s="6">
        <f t="shared" si="29"/>
        <v>510</v>
      </c>
      <c r="M32" s="6">
        <f t="shared" si="29"/>
        <v>510</v>
      </c>
      <c r="N32" s="6">
        <f t="shared" si="29"/>
        <v>510</v>
      </c>
    </row>
    <row r="33" spans="1:27" ht="15.75" customHeight="1" x14ac:dyDescent="0.3">
      <c r="A33" s="3" t="s">
        <v>4</v>
      </c>
      <c r="B33" s="6">
        <f>Historicals!B39</f>
        <v>107</v>
      </c>
      <c r="C33" s="6">
        <f>Historicals!C39</f>
        <v>44</v>
      </c>
      <c r="D33" s="6">
        <f>Historicals!D39</f>
        <v>6</v>
      </c>
      <c r="E33" s="6">
        <f>Historicals!E39</f>
        <v>6</v>
      </c>
      <c r="F33" s="6">
        <f>Historicals!F39</f>
        <v>6</v>
      </c>
      <c r="G33" s="6">
        <f>Historicals!G39</f>
        <v>3</v>
      </c>
      <c r="H33" s="6">
        <f>Historicals!H39</f>
        <v>0</v>
      </c>
      <c r="I33" s="6">
        <f>Historicals!I39</f>
        <v>500</v>
      </c>
      <c r="J33" s="6">
        <v>500</v>
      </c>
      <c r="K33" s="6">
        <v>500</v>
      </c>
      <c r="L33" s="6">
        <v>500</v>
      </c>
      <c r="M33" s="6">
        <v>500</v>
      </c>
      <c r="N33" s="6">
        <v>500</v>
      </c>
    </row>
    <row r="34" spans="1:27" ht="15.75" customHeight="1" x14ac:dyDescent="0.3">
      <c r="A34" s="3" t="s">
        <v>5</v>
      </c>
      <c r="B34" s="6">
        <f>Historicals!B40</f>
        <v>74</v>
      </c>
      <c r="C34" s="6">
        <f>Historicals!C40</f>
        <v>1</v>
      </c>
      <c r="D34" s="6">
        <f>Historicals!D40</f>
        <v>325</v>
      </c>
      <c r="E34" s="6">
        <f>Historicals!E40</f>
        <v>336</v>
      </c>
      <c r="F34" s="6">
        <f>Historicals!F40</f>
        <v>9</v>
      </c>
      <c r="G34" s="6">
        <f>Historicals!G40</f>
        <v>248</v>
      </c>
      <c r="H34" s="6">
        <f>Historicals!H40</f>
        <v>2</v>
      </c>
      <c r="I34" s="6">
        <f>Historicals!I40</f>
        <v>10</v>
      </c>
      <c r="J34" s="6">
        <v>10</v>
      </c>
      <c r="K34" s="6">
        <v>10</v>
      </c>
      <c r="L34" s="6">
        <v>10</v>
      </c>
      <c r="M34" s="6">
        <v>10</v>
      </c>
      <c r="N34" s="6">
        <v>10</v>
      </c>
    </row>
    <row r="35" spans="1:27" ht="15.75" customHeight="1" x14ac:dyDescent="0.3">
      <c r="A35" s="1" t="s">
        <v>93</v>
      </c>
      <c r="B35" s="6">
        <f>Historicals!B43+Historicals!B44</f>
        <v>4020</v>
      </c>
      <c r="C35" s="6">
        <f>Historicals!C43+Historicals!C44</f>
        <v>3122</v>
      </c>
      <c r="D35" s="6">
        <f>Historicals!D43+Historicals!D44</f>
        <v>3095</v>
      </c>
      <c r="E35" s="6">
        <f>Historicals!E43+Historicals!E44</f>
        <v>3419</v>
      </c>
      <c r="F35" s="6">
        <f>Historicals!F43+Historicals!F44</f>
        <v>5239</v>
      </c>
      <c r="G35" s="6">
        <f>Historicals!G43+Historicals!G44</f>
        <v>5340</v>
      </c>
      <c r="H35" s="6">
        <f>Historicals!H43+Historicals!H44</f>
        <v>6369</v>
      </c>
      <c r="I35" s="6">
        <f>Historicals!I43+Historicals!I44</f>
        <v>6442</v>
      </c>
      <c r="J35" s="6">
        <v>6442</v>
      </c>
      <c r="K35" s="6">
        <v>6442</v>
      </c>
      <c r="L35" s="6">
        <v>6442</v>
      </c>
      <c r="M35" s="6">
        <v>6442</v>
      </c>
      <c r="N35" s="6">
        <v>6442</v>
      </c>
    </row>
    <row r="36" spans="1:27" ht="15.75" customHeight="1" x14ac:dyDescent="0.3">
      <c r="A36" s="1" t="s">
        <v>6</v>
      </c>
      <c r="B36" s="6">
        <f>Historicals!B46</f>
        <v>1079</v>
      </c>
      <c r="C36" s="6">
        <f>Historicals!C46</f>
        <v>2010</v>
      </c>
      <c r="D36" s="6">
        <f>Historicals!D46</f>
        <v>3471</v>
      </c>
      <c r="E36" s="6">
        <f>Historicals!E46</f>
        <v>3468</v>
      </c>
      <c r="F36" s="6">
        <f>Historicals!F46</f>
        <v>3464</v>
      </c>
      <c r="G36" s="6">
        <f>Historicals!G46</f>
        <v>9406</v>
      </c>
      <c r="H36" s="6">
        <f>Historicals!H46</f>
        <v>9413</v>
      </c>
      <c r="I36" s="6">
        <f>Historicals!I46</f>
        <v>8920</v>
      </c>
      <c r="J36" s="6">
        <v>8920</v>
      </c>
      <c r="K36" s="6">
        <v>8920</v>
      </c>
      <c r="L36" s="6">
        <v>8920</v>
      </c>
      <c r="M36" s="6">
        <v>8920</v>
      </c>
      <c r="N36" s="6">
        <v>8920</v>
      </c>
    </row>
    <row r="37" spans="1:27" ht="15.75" customHeight="1" x14ac:dyDescent="0.3">
      <c r="A37" s="3" t="s">
        <v>7</v>
      </c>
      <c r="B37" s="6">
        <f>Historicals!B42+Historicals!B47</f>
        <v>0</v>
      </c>
      <c r="C37" s="6">
        <f>Historicals!C42+Historicals!C47</f>
        <v>0</v>
      </c>
      <c r="D37" s="6">
        <f>Historicals!D42+Historicals!D47</f>
        <v>0</v>
      </c>
      <c r="E37" s="6">
        <f>Historicals!E42+Historicals!E47</f>
        <v>0</v>
      </c>
      <c r="F37" s="6">
        <f>Historicals!F42+Historicals!F47</f>
        <v>0</v>
      </c>
      <c r="G37" s="6">
        <f>Historicals!G42+Historicals!G47</f>
        <v>3358</v>
      </c>
      <c r="H37" s="6">
        <f>Historicals!H42+Historicals!H47</f>
        <v>3398</v>
      </c>
      <c r="I37" s="6">
        <f>Historicals!I42+Historicals!I47</f>
        <v>3197</v>
      </c>
      <c r="J37" s="6">
        <v>3197</v>
      </c>
      <c r="K37" s="6">
        <v>3197</v>
      </c>
      <c r="L37" s="6">
        <v>3197</v>
      </c>
      <c r="M37" s="6">
        <v>3197</v>
      </c>
      <c r="N37" s="6">
        <v>3197</v>
      </c>
    </row>
    <row r="38" spans="1:27" ht="15.75" customHeight="1" x14ac:dyDescent="0.3">
      <c r="A38" s="1" t="s">
        <v>94</v>
      </c>
      <c r="B38" s="6">
        <f>Historicals!B48</f>
        <v>1479</v>
      </c>
      <c r="C38" s="6">
        <f>Historicals!C48</f>
        <v>1770</v>
      </c>
      <c r="D38" s="6">
        <f>Historicals!D48</f>
        <v>1907</v>
      </c>
      <c r="E38" s="6">
        <f>Historicals!E48</f>
        <v>3216</v>
      </c>
      <c r="F38" s="6">
        <f>Historicals!F48</f>
        <v>3347</v>
      </c>
      <c r="G38" s="6">
        <f>Historicals!G48</f>
        <v>2684</v>
      </c>
      <c r="H38" s="6">
        <f>Historicals!H48</f>
        <v>2955</v>
      </c>
      <c r="I38" s="6">
        <f>Historicals!I48</f>
        <v>2613</v>
      </c>
      <c r="J38" s="6">
        <v>2613</v>
      </c>
      <c r="K38" s="6">
        <v>2613</v>
      </c>
      <c r="L38" s="6">
        <v>2613</v>
      </c>
      <c r="M38" s="6">
        <v>2613</v>
      </c>
      <c r="N38" s="6">
        <v>2613</v>
      </c>
    </row>
    <row r="39" spans="1:27" ht="15.75" customHeight="1" x14ac:dyDescent="0.3">
      <c r="A39" s="1" t="s">
        <v>95</v>
      </c>
      <c r="B39" s="6">
        <f t="shared" ref="B39:N39" si="30">SUM(B40:B42)</f>
        <v>12707</v>
      </c>
      <c r="C39" s="6">
        <f t="shared" si="30"/>
        <v>12258</v>
      </c>
      <c r="D39" s="6">
        <f t="shared" si="30"/>
        <v>12407</v>
      </c>
      <c r="E39" s="6">
        <f t="shared" si="30"/>
        <v>9812</v>
      </c>
      <c r="F39" s="6">
        <f t="shared" si="30"/>
        <v>9040</v>
      </c>
      <c r="G39" s="6">
        <f t="shared" si="30"/>
        <v>8055</v>
      </c>
      <c r="H39" s="6">
        <f t="shared" si="30"/>
        <v>12767</v>
      </c>
      <c r="I39" s="6">
        <f t="shared" si="30"/>
        <v>15281</v>
      </c>
      <c r="J39" s="6">
        <f t="shared" si="30"/>
        <v>19500.645780711064</v>
      </c>
      <c r="K39" s="6">
        <f t="shared" si="30"/>
        <v>20627.409929206533</v>
      </c>
      <c r="L39" s="6">
        <f t="shared" si="30"/>
        <v>22470.360127646789</v>
      </c>
      <c r="M39" s="6">
        <f t="shared" si="30"/>
        <v>23772.808015160972</v>
      </c>
      <c r="N39" s="6">
        <f t="shared" si="30"/>
        <v>24071.687634710786</v>
      </c>
    </row>
    <row r="40" spans="1:27" ht="15.75" customHeight="1" x14ac:dyDescent="0.3">
      <c r="A40" s="3" t="s">
        <v>96</v>
      </c>
      <c r="B40" s="6">
        <f>Historicals!B54</f>
        <v>3</v>
      </c>
      <c r="C40" s="6">
        <f>Historicals!C54</f>
        <v>3</v>
      </c>
      <c r="D40" s="6">
        <f>Historicals!D54</f>
        <v>3</v>
      </c>
      <c r="E40" s="6">
        <f>Historicals!E54</f>
        <v>3</v>
      </c>
      <c r="F40" s="6">
        <f>Historicals!F54</f>
        <v>3</v>
      </c>
      <c r="G40" s="6">
        <f>Historicals!G54</f>
        <v>3</v>
      </c>
      <c r="H40" s="6">
        <f>Historicals!H54</f>
        <v>3</v>
      </c>
      <c r="I40" s="6">
        <f>Historicals!I54</f>
        <v>3</v>
      </c>
      <c r="J40" s="6">
        <v>3</v>
      </c>
      <c r="K40" s="6">
        <v>3</v>
      </c>
      <c r="L40" s="6">
        <v>3</v>
      </c>
      <c r="M40" s="6">
        <v>3</v>
      </c>
      <c r="N40" s="6">
        <v>3</v>
      </c>
    </row>
    <row r="41" spans="1:27" ht="15.75" customHeight="1" x14ac:dyDescent="0.3">
      <c r="A41" s="3" t="s">
        <v>97</v>
      </c>
      <c r="B41" s="6">
        <f>Historicals!B57</f>
        <v>4685</v>
      </c>
      <c r="C41" s="6">
        <f>Historicals!C57</f>
        <v>4151</v>
      </c>
      <c r="D41" s="6">
        <f>Historicals!D57</f>
        <v>3979</v>
      </c>
      <c r="E41" s="6">
        <f>Historicals!E57</f>
        <v>3517</v>
      </c>
      <c r="F41" s="6">
        <f>Historicals!F57</f>
        <v>1643</v>
      </c>
      <c r="G41" s="6">
        <f>Historicals!G57</f>
        <v>-191</v>
      </c>
      <c r="H41" s="6">
        <f>Historicals!H57</f>
        <v>3179</v>
      </c>
      <c r="I41" s="6">
        <f>Historicals!I57</f>
        <v>3476</v>
      </c>
      <c r="J41" s="6">
        <f>J14-J62</f>
        <v>7695.6457807110637</v>
      </c>
      <c r="K41" s="6">
        <f t="shared" ref="K41:N41" si="31">K14-K62</f>
        <v>8822.409929206533</v>
      </c>
      <c r="L41" s="6">
        <f t="shared" si="31"/>
        <v>10665.360127646787</v>
      </c>
      <c r="M41" s="6">
        <f t="shared" si="31"/>
        <v>11967.808015160972</v>
      </c>
      <c r="N41" s="6">
        <f t="shared" si="31"/>
        <v>12266.687634710786</v>
      </c>
    </row>
    <row r="42" spans="1:27" ht="15.75" customHeight="1" x14ac:dyDescent="0.3">
      <c r="A42" s="3" t="s">
        <v>98</v>
      </c>
      <c r="B42" s="6">
        <f>Historicals!B55+Historicals!B56</f>
        <v>8019</v>
      </c>
      <c r="C42" s="6">
        <f>Historicals!C55+Historicals!C56</f>
        <v>8104</v>
      </c>
      <c r="D42" s="6">
        <f>Historicals!D55+Historicals!D56</f>
        <v>8425</v>
      </c>
      <c r="E42" s="6">
        <f>Historicals!E55+Historicals!E56</f>
        <v>6292</v>
      </c>
      <c r="F42" s="6">
        <f>Historicals!F55+Historicals!F56</f>
        <v>7394</v>
      </c>
      <c r="G42" s="6">
        <f>Historicals!G55+Historicals!G56</f>
        <v>8243</v>
      </c>
      <c r="H42" s="6">
        <f>Historicals!H55+Historicals!H56</f>
        <v>9585</v>
      </c>
      <c r="I42" s="6">
        <f>Historicals!I55+Historicals!I56</f>
        <v>11802</v>
      </c>
      <c r="J42" s="6">
        <v>11802</v>
      </c>
      <c r="K42" s="6">
        <v>11802</v>
      </c>
      <c r="L42" s="6">
        <v>11802</v>
      </c>
      <c r="M42" s="6">
        <v>11802</v>
      </c>
      <c r="N42" s="6">
        <v>11802</v>
      </c>
    </row>
    <row r="43" spans="1:27" ht="15.75" customHeight="1" x14ac:dyDescent="0.3">
      <c r="A43" s="10" t="s">
        <v>99</v>
      </c>
      <c r="B43" s="11">
        <f t="shared" ref="B43:N43" si="32">B32+B35+B36+B37+B38+B39</f>
        <v>19466</v>
      </c>
      <c r="C43" s="11">
        <f t="shared" si="32"/>
        <v>19205</v>
      </c>
      <c r="D43" s="11">
        <f t="shared" si="32"/>
        <v>21211</v>
      </c>
      <c r="E43" s="11">
        <f t="shared" si="32"/>
        <v>20257</v>
      </c>
      <c r="F43" s="11">
        <f t="shared" si="32"/>
        <v>21105</v>
      </c>
      <c r="G43" s="11">
        <f t="shared" si="32"/>
        <v>29094</v>
      </c>
      <c r="H43" s="11">
        <f t="shared" si="32"/>
        <v>34904</v>
      </c>
      <c r="I43" s="11">
        <f t="shared" si="32"/>
        <v>36963</v>
      </c>
      <c r="J43" s="11">
        <f t="shared" si="32"/>
        <v>41182.645780711064</v>
      </c>
      <c r="K43" s="11">
        <f t="shared" si="32"/>
        <v>42309.409929206537</v>
      </c>
      <c r="L43" s="11">
        <f t="shared" si="32"/>
        <v>44152.360127646789</v>
      </c>
      <c r="M43" s="11">
        <f t="shared" si="32"/>
        <v>45454.808015160976</v>
      </c>
      <c r="N43" s="11">
        <f t="shared" si="32"/>
        <v>45753.68763471079</v>
      </c>
    </row>
    <row r="44" spans="1:27" ht="15.75" customHeight="1" x14ac:dyDescent="0.3">
      <c r="A44" s="31" t="s">
        <v>100</v>
      </c>
      <c r="B44" s="31">
        <f>B43-B31</f>
        <v>0</v>
      </c>
      <c r="C44" s="31">
        <f t="shared" ref="C44:N44" si="33">C43-C31</f>
        <v>0</v>
      </c>
      <c r="D44" s="31">
        <f t="shared" si="33"/>
        <v>0</v>
      </c>
      <c r="E44" s="31">
        <f t="shared" si="33"/>
        <v>0</v>
      </c>
      <c r="F44" s="31">
        <f t="shared" si="33"/>
        <v>0</v>
      </c>
      <c r="G44" s="31">
        <f t="shared" si="33"/>
        <v>0</v>
      </c>
      <c r="H44" s="31">
        <f t="shared" si="33"/>
        <v>0</v>
      </c>
      <c r="I44" s="31">
        <f t="shared" si="33"/>
        <v>0</v>
      </c>
      <c r="J44" s="31">
        <f t="shared" si="33"/>
        <v>4060.9876900470699</v>
      </c>
      <c r="K44" s="31">
        <f t="shared" si="33"/>
        <v>4998.2665443284859</v>
      </c>
      <c r="L44" s="31">
        <f t="shared" si="33"/>
        <v>6771.1996935769057</v>
      </c>
      <c r="M44" s="31">
        <f t="shared" si="33"/>
        <v>7998.0968210428182</v>
      </c>
      <c r="N44" s="31">
        <f t="shared" si="33"/>
        <v>8227.1294392490381</v>
      </c>
      <c r="O44" s="2"/>
      <c r="P44" s="2"/>
      <c r="Q44" s="2"/>
      <c r="R44" s="2"/>
      <c r="S44" s="2"/>
      <c r="T44" s="2"/>
      <c r="U44" s="2"/>
      <c r="V44" s="2"/>
      <c r="W44" s="2"/>
      <c r="X44" s="2"/>
      <c r="Y44" s="2"/>
      <c r="Z44" s="2"/>
      <c r="AA44" s="2"/>
    </row>
    <row r="45" spans="1:27" ht="15.75" customHeight="1" x14ac:dyDescent="0.3">
      <c r="A45" s="30" t="s">
        <v>101</v>
      </c>
      <c r="B45" s="16"/>
      <c r="C45" s="16"/>
      <c r="D45" s="16"/>
      <c r="E45" s="16"/>
      <c r="F45" s="16"/>
      <c r="G45" s="16"/>
      <c r="H45" s="16"/>
      <c r="I45" s="16"/>
      <c r="J45" s="15"/>
      <c r="K45" s="15"/>
      <c r="L45" s="15"/>
      <c r="M45" s="15"/>
      <c r="N45" s="15"/>
    </row>
    <row r="46" spans="1:27" ht="15.75" customHeight="1" x14ac:dyDescent="0.3">
      <c r="A46" s="2" t="s">
        <v>26</v>
      </c>
      <c r="B46" s="7">
        <f>'Segmental forecast'!B11</f>
        <v>4233</v>
      </c>
      <c r="C46" s="7">
        <f>'Segmental forecast'!C11</f>
        <v>4642</v>
      </c>
      <c r="D46" s="7">
        <f>'Segmental forecast'!D11</f>
        <v>4945</v>
      </c>
      <c r="E46" s="7">
        <f>'Segmental forecast'!E11</f>
        <v>4379</v>
      </c>
      <c r="F46" s="7">
        <f>'Segmental forecast'!F11</f>
        <v>4850</v>
      </c>
      <c r="G46" s="7">
        <f>'Segmental forecast'!G11</f>
        <v>2976</v>
      </c>
      <c r="H46" s="7">
        <f>'Segmental forecast'!H11</f>
        <v>6923</v>
      </c>
      <c r="I46" s="7">
        <f>'Segmental forecast'!I11</f>
        <v>6856</v>
      </c>
      <c r="J46" s="7">
        <f>'Segmental forecast'!J11</f>
        <v>7107.2007262407169</v>
      </c>
      <c r="K46" s="7">
        <f>'Segmental forecast'!K11</f>
        <v>7410.2281944070555</v>
      </c>
      <c r="L46" s="7">
        <f>'Segmental forecast'!L11</f>
        <v>9201.0732839205666</v>
      </c>
      <c r="M46" s="7">
        <f>'Segmental forecast'!M11</f>
        <v>10429.024704933645</v>
      </c>
      <c r="N46" s="7">
        <f>'Segmental forecast'!N11</f>
        <v>10537.852783723616</v>
      </c>
    </row>
    <row r="47" spans="1:27" ht="15.75" customHeight="1" x14ac:dyDescent="0.3">
      <c r="A47" s="1" t="s">
        <v>24</v>
      </c>
      <c r="B47" s="6">
        <f>'Segmental forecast'!B8</f>
        <v>606</v>
      </c>
      <c r="C47" s="6">
        <f>'Segmental forecast'!C8</f>
        <v>649</v>
      </c>
      <c r="D47" s="6">
        <f>'Segmental forecast'!D8</f>
        <v>706</v>
      </c>
      <c r="E47" s="6">
        <f>'Segmental forecast'!E8</f>
        <v>747</v>
      </c>
      <c r="F47" s="6">
        <f>'Segmental forecast'!F8</f>
        <v>705</v>
      </c>
      <c r="G47" s="6">
        <f>'Segmental forecast'!G8</f>
        <v>721</v>
      </c>
      <c r="H47" s="6">
        <f>'Segmental forecast'!H8</f>
        <v>744</v>
      </c>
      <c r="I47" s="6">
        <f>'Segmental forecast'!I8</f>
        <v>717</v>
      </c>
      <c r="J47" s="6">
        <f>'Segmental forecast'!J8</f>
        <v>728.26305281179623</v>
      </c>
      <c r="K47" s="6">
        <f>'Segmental forecast'!K8</f>
        <v>745.91784856494326</v>
      </c>
      <c r="L47" s="6">
        <f>'Segmental forecast'!L8</f>
        <v>748.9891952587069</v>
      </c>
      <c r="M47" s="6">
        <f>'Segmental forecast'!M8</f>
        <v>776.65492546116491</v>
      </c>
      <c r="N47" s="6">
        <f>'Segmental forecast'!N8</f>
        <v>820.91300185183536</v>
      </c>
    </row>
    <row r="48" spans="1:27" ht="15.75" customHeight="1" x14ac:dyDescent="0.3">
      <c r="A48" s="1" t="s">
        <v>102</v>
      </c>
      <c r="B48" s="6">
        <f>Historicals!B103</f>
        <v>1262</v>
      </c>
      <c r="C48" s="6">
        <f>Historicals!C103</f>
        <v>748</v>
      </c>
      <c r="D48" s="6">
        <f>Historicals!D103</f>
        <v>703</v>
      </c>
      <c r="E48" s="6">
        <f>Historicals!E103</f>
        <v>529</v>
      </c>
      <c r="F48" s="6">
        <f>Historicals!F103</f>
        <v>757</v>
      </c>
      <c r="G48" s="6">
        <f>Historicals!G103</f>
        <v>1028</v>
      </c>
      <c r="H48" s="6">
        <f>Historicals!H103</f>
        <v>1177</v>
      </c>
      <c r="I48" s="6">
        <f>Historicals!I103</f>
        <v>1231</v>
      </c>
      <c r="J48" s="6">
        <v>1231</v>
      </c>
      <c r="K48" s="6">
        <v>1231</v>
      </c>
      <c r="L48" s="6">
        <v>1231</v>
      </c>
      <c r="M48" s="6">
        <v>1231</v>
      </c>
      <c r="N48" s="6">
        <v>1231</v>
      </c>
    </row>
    <row r="49" spans="1:17" ht="15.75" customHeight="1" x14ac:dyDescent="0.3">
      <c r="A49" s="2" t="s">
        <v>103</v>
      </c>
      <c r="B49" s="7">
        <f t="shared" ref="B49:N49" si="34">B46-B48</f>
        <v>2971</v>
      </c>
      <c r="C49" s="7">
        <f t="shared" si="34"/>
        <v>3894</v>
      </c>
      <c r="D49" s="7">
        <f t="shared" si="34"/>
        <v>4242</v>
      </c>
      <c r="E49" s="7">
        <f t="shared" si="34"/>
        <v>3850</v>
      </c>
      <c r="F49" s="7">
        <f t="shared" si="34"/>
        <v>4093</v>
      </c>
      <c r="G49" s="7">
        <f t="shared" si="34"/>
        <v>1948</v>
      </c>
      <c r="H49" s="7">
        <f t="shared" si="34"/>
        <v>5746</v>
      </c>
      <c r="I49" s="7">
        <f t="shared" si="34"/>
        <v>5625</v>
      </c>
      <c r="J49" s="7">
        <f t="shared" si="34"/>
        <v>5876.2007262407169</v>
      </c>
      <c r="K49" s="7">
        <f t="shared" si="34"/>
        <v>6179.2281944070555</v>
      </c>
      <c r="L49" s="7">
        <f t="shared" si="34"/>
        <v>7970.0732839205666</v>
      </c>
      <c r="M49" s="7">
        <f t="shared" si="34"/>
        <v>9198.0247049336449</v>
      </c>
      <c r="N49" s="7">
        <f t="shared" si="34"/>
        <v>9306.8527837236161</v>
      </c>
    </row>
    <row r="50" spans="1:17" ht="15.75" customHeight="1" x14ac:dyDescent="0.3">
      <c r="A50" s="1" t="s">
        <v>104</v>
      </c>
      <c r="B50" s="6">
        <f>Historicals!B102</f>
        <v>53</v>
      </c>
      <c r="C50" s="6">
        <f>Historicals!C102</f>
        <v>70</v>
      </c>
      <c r="D50" s="6">
        <f>Historicals!D102</f>
        <v>98</v>
      </c>
      <c r="E50" s="6">
        <f>Historicals!E102</f>
        <v>125</v>
      </c>
      <c r="F50" s="6">
        <f>Historicals!F102</f>
        <v>153</v>
      </c>
      <c r="G50" s="6">
        <f>Historicals!G102</f>
        <v>140</v>
      </c>
      <c r="H50" s="6">
        <f>Historicals!H102</f>
        <v>293</v>
      </c>
      <c r="I50" s="6">
        <f>Historicals!I102</f>
        <v>290</v>
      </c>
      <c r="J50" s="6">
        <f>J51*J71</f>
        <v>219.88803588489415</v>
      </c>
      <c r="K50" s="6">
        <f t="shared" ref="K50:N50" si="35">K51*K71</f>
        <v>175.72497549877605</v>
      </c>
      <c r="L50" s="6">
        <f t="shared" si="35"/>
        <v>188.47472924348762</v>
      </c>
      <c r="M50" s="6">
        <f t="shared" si="35"/>
        <v>253.46804357293033</v>
      </c>
      <c r="N50" s="6">
        <f t="shared" si="35"/>
        <v>282.70224246455172</v>
      </c>
      <c r="O50" s="88" t="s">
        <v>280</v>
      </c>
    </row>
    <row r="51" spans="1:17" ht="15.75" customHeight="1" x14ac:dyDescent="0.3">
      <c r="A51" s="80" t="s">
        <v>267</v>
      </c>
      <c r="B51" s="81">
        <f>B50/B71</f>
        <v>-8.6291110387495921E-3</v>
      </c>
      <c r="C51" s="81">
        <f t="shared" ref="C51:I51" si="36">C50/C71</f>
        <v>-1.1323196376577159E-2</v>
      </c>
      <c r="D51" s="81">
        <f t="shared" si="36"/>
        <v>-1.8915267322910635E-2</v>
      </c>
      <c r="E51" s="81">
        <f t="shared" si="36"/>
        <v>-1.5527950310559006E-2</v>
      </c>
      <c r="F51" s="81">
        <f t="shared" si="36"/>
        <v>-1.6913552951580809E-2</v>
      </c>
      <c r="G51" s="81">
        <f t="shared" si="36"/>
        <v>-2.1093867711315353E-2</v>
      </c>
      <c r="H51" s="81">
        <f t="shared" si="36"/>
        <v>-1.5849832305528506E-2</v>
      </c>
      <c r="I51" s="81">
        <f t="shared" si="36"/>
        <v>-1.5719861231569817E-2</v>
      </c>
      <c r="J51" s="81">
        <v>-1.4E-2</v>
      </c>
      <c r="K51" s="81">
        <v>-1.2999999999999999E-2</v>
      </c>
      <c r="L51" s="81">
        <v>-1.4E-2</v>
      </c>
      <c r="M51" s="81">
        <v>-1.6E-2</v>
      </c>
      <c r="N51" s="81">
        <v>-1.4999999999999999E-2</v>
      </c>
      <c r="O51" s="88"/>
      <c r="P51" s="79" t="s">
        <v>268</v>
      </c>
    </row>
    <row r="52" spans="1:17" ht="15.75" customHeight="1" x14ac:dyDescent="0.3">
      <c r="A52" s="1" t="s">
        <v>105</v>
      </c>
      <c r="B52" s="6">
        <v>2443</v>
      </c>
      <c r="C52" s="6">
        <f t="shared" ref="C52:N52" si="37">B23-C23</f>
        <v>-324</v>
      </c>
      <c r="D52" s="6">
        <f t="shared" si="37"/>
        <v>-796</v>
      </c>
      <c r="E52" s="6">
        <f t="shared" si="37"/>
        <v>204</v>
      </c>
      <c r="F52" s="6">
        <f t="shared" si="37"/>
        <v>-802</v>
      </c>
      <c r="G52" s="6">
        <f t="shared" si="37"/>
        <v>-586</v>
      </c>
      <c r="H52" s="6">
        <f t="shared" si="37"/>
        <v>-613</v>
      </c>
      <c r="I52" s="6">
        <f t="shared" si="37"/>
        <v>-1248</v>
      </c>
      <c r="J52" s="6">
        <f t="shared" si="37"/>
        <v>-1268.4303580842825</v>
      </c>
      <c r="K52" s="6">
        <f t="shared" si="37"/>
        <v>-699.00164757971834</v>
      </c>
      <c r="L52" s="6">
        <f t="shared" si="37"/>
        <v>-896.6899946910562</v>
      </c>
      <c r="M52" s="6">
        <f t="shared" si="37"/>
        <v>-948.94714186401688</v>
      </c>
      <c r="N52" s="6">
        <f t="shared" si="37"/>
        <v>-1196.2887644060775</v>
      </c>
      <c r="O52" s="88"/>
    </row>
    <row r="53" spans="1:17" ht="15.75" customHeight="1" x14ac:dyDescent="0.3">
      <c r="A53" s="1" t="s">
        <v>27</v>
      </c>
      <c r="B53" s="6">
        <f>-'Segmental forecast'!B14</f>
        <v>-963</v>
      </c>
      <c r="C53" s="6">
        <f>-'Segmental forecast'!C14</f>
        <v>-1143</v>
      </c>
      <c r="D53" s="6">
        <f>-'Segmental forecast'!D14</f>
        <v>-1105</v>
      </c>
      <c r="E53" s="6">
        <f>-'Segmental forecast'!E14</f>
        <v>-1028</v>
      </c>
      <c r="F53" s="6">
        <f>-'Segmental forecast'!F14</f>
        <v>-1119</v>
      </c>
      <c r="G53" s="6">
        <f>-'Segmental forecast'!G14</f>
        <v>-1086</v>
      </c>
      <c r="H53" s="6">
        <f>-'Segmental forecast'!H14</f>
        <v>-695</v>
      </c>
      <c r="I53" s="6">
        <f>-'Segmental forecast'!I14</f>
        <v>-758</v>
      </c>
      <c r="J53" s="6">
        <f>-'Segmental forecast'!J14</f>
        <v>-886.92114347579206</v>
      </c>
      <c r="K53" s="6">
        <f>-'Segmental forecast'!K14</f>
        <v>-935.40314277899995</v>
      </c>
      <c r="L53" s="6">
        <f>-'Segmental forecast'!L14</f>
        <v>-819.006244450542</v>
      </c>
      <c r="M53" s="6">
        <f>-'Segmental forecast'!M14</f>
        <v>-852.20568550943881</v>
      </c>
      <c r="N53" s="6">
        <f>-'Segmental forecast'!N14</f>
        <v>-890.76000319542857</v>
      </c>
      <c r="O53" s="88"/>
    </row>
    <row r="54" spans="1:17" ht="15.75" customHeight="1" x14ac:dyDescent="0.3">
      <c r="A54" s="2" t="s">
        <v>106</v>
      </c>
      <c r="B54" s="7">
        <f t="shared" ref="B54:I54" si="38">+B49+B47-B50+B52+B53</f>
        <v>5004</v>
      </c>
      <c r="C54" s="7">
        <f t="shared" si="38"/>
        <v>3006</v>
      </c>
      <c r="D54" s="7">
        <f t="shared" si="38"/>
        <v>2949</v>
      </c>
      <c r="E54" s="7">
        <f t="shared" si="38"/>
        <v>3648</v>
      </c>
      <c r="F54" s="7">
        <f t="shared" si="38"/>
        <v>2724</v>
      </c>
      <c r="G54" s="7">
        <f t="shared" si="38"/>
        <v>857</v>
      </c>
      <c r="H54" s="7">
        <f t="shared" si="38"/>
        <v>4889</v>
      </c>
      <c r="I54" s="7">
        <f t="shared" si="38"/>
        <v>4046</v>
      </c>
      <c r="J54" s="7">
        <f>J49+J47-J53-J52</f>
        <v>8759.8152806125872</v>
      </c>
      <c r="K54" s="7">
        <f>K49+K47-K53-K52</f>
        <v>8559.5508333307171</v>
      </c>
      <c r="L54" s="7">
        <f>L49+L47-L53-L52</f>
        <v>10434.758718320873</v>
      </c>
      <c r="M54" s="7">
        <f>M49+M47-M53-M52</f>
        <v>11775.832457768265</v>
      </c>
      <c r="N54" s="7">
        <f>N49+N47-N53-N52</f>
        <v>12214.814553176957</v>
      </c>
    </row>
    <row r="55" spans="1:17" ht="15.75" customHeight="1" x14ac:dyDescent="0.3">
      <c r="A55" s="1" t="s">
        <v>107</v>
      </c>
      <c r="B55" s="6">
        <f>+Historicals!B76-(+B47+B52+B49)</f>
        <v>-1340</v>
      </c>
      <c r="C55" s="6">
        <f>+Historicals!C76-(+C47+C52+C49)</f>
        <v>-1123</v>
      </c>
      <c r="D55" s="6">
        <f>+Historicals!D76-(+D47+D52+D49)</f>
        <v>-306</v>
      </c>
      <c r="E55" s="6">
        <f>+Historicals!E76-(+E47+E52+E49)</f>
        <v>154</v>
      </c>
      <c r="F55" s="6">
        <f>+Historicals!F76-(+F47+F52+F49)</f>
        <v>1907</v>
      </c>
      <c r="G55" s="6">
        <f>+Historicals!G76-(+G47+G52+G49)</f>
        <v>402</v>
      </c>
      <c r="H55" s="6">
        <f>+Historicals!H76-(+H47+H52+H49)</f>
        <v>780</v>
      </c>
      <c r="I55" s="6">
        <f>+Historicals!I76-(+I47+I52+I49)</f>
        <v>94</v>
      </c>
      <c r="J55" s="6">
        <v>94</v>
      </c>
      <c r="K55" s="6">
        <v>94</v>
      </c>
      <c r="L55" s="6">
        <v>94</v>
      </c>
      <c r="M55" s="6">
        <v>94</v>
      </c>
      <c r="N55" s="6">
        <v>94</v>
      </c>
      <c r="O55" s="88" t="s">
        <v>284</v>
      </c>
      <c r="Q55" s="6"/>
    </row>
    <row r="56" spans="1:17" ht="15.75" customHeight="1" x14ac:dyDescent="0.3">
      <c r="A56" s="14" t="s">
        <v>108</v>
      </c>
      <c r="B56" s="13">
        <f t="shared" ref="B56:N56" si="39">+B49+B47+B52+B55</f>
        <v>4680</v>
      </c>
      <c r="C56" s="13">
        <f t="shared" si="39"/>
        <v>3096</v>
      </c>
      <c r="D56" s="13">
        <f t="shared" si="39"/>
        <v>3846</v>
      </c>
      <c r="E56" s="13">
        <f t="shared" si="39"/>
        <v>4955</v>
      </c>
      <c r="F56" s="13">
        <f t="shared" si="39"/>
        <v>5903</v>
      </c>
      <c r="G56" s="13">
        <f t="shared" si="39"/>
        <v>2485</v>
      </c>
      <c r="H56" s="13">
        <f t="shared" si="39"/>
        <v>6657</v>
      </c>
      <c r="I56" s="13">
        <f t="shared" si="39"/>
        <v>5188</v>
      </c>
      <c r="J56" s="13">
        <f t="shared" si="39"/>
        <v>5430.0334209682305</v>
      </c>
      <c r="K56" s="13">
        <f t="shared" si="39"/>
        <v>6320.1443953922808</v>
      </c>
      <c r="L56" s="13">
        <f t="shared" si="39"/>
        <v>7916.3724844882181</v>
      </c>
      <c r="M56" s="13">
        <f t="shared" si="39"/>
        <v>9119.7324885307935</v>
      </c>
      <c r="N56" s="13">
        <f t="shared" si="39"/>
        <v>9025.477021169374</v>
      </c>
      <c r="O56" s="88"/>
    </row>
    <row r="57" spans="1:17" ht="15.75" customHeight="1" x14ac:dyDescent="0.3">
      <c r="A57" s="1" t="s">
        <v>109</v>
      </c>
      <c r="B57" s="6"/>
      <c r="C57" s="6"/>
      <c r="D57" s="6"/>
      <c r="E57" s="6"/>
      <c r="F57" s="6"/>
      <c r="G57" s="6"/>
      <c r="H57" s="6"/>
      <c r="I57" s="6"/>
      <c r="J57" s="6"/>
      <c r="K57" s="6"/>
      <c r="L57" s="6"/>
      <c r="M57" s="6"/>
      <c r="N57" s="6"/>
      <c r="O57" s="88" t="s">
        <v>284</v>
      </c>
    </row>
    <row r="58" spans="1:17" ht="15.75" customHeight="1" x14ac:dyDescent="0.3">
      <c r="A58" s="1" t="s">
        <v>110</v>
      </c>
      <c r="B58" s="6">
        <f>Historicals!B78+Historicals!B79+Historicals!B80+Historicals!B81+Historicals!B83+Historicals!B84</f>
        <v>788</v>
      </c>
      <c r="C58" s="6">
        <f>Historicals!C78+Historicals!C79+Historicals!C80+Historicals!C81+Historicals!C83+Historicals!C84</f>
        <v>109</v>
      </c>
      <c r="D58" s="6">
        <f>Historicals!D78+Historicals!D79+Historicals!D80+Historicals!D81+Historicals!D83+Historicals!D84</f>
        <v>97</v>
      </c>
      <c r="E58" s="6">
        <f>Historicals!E78+Historicals!E79+Historicals!E80+Historicals!E81+Historicals!E83+Historicals!E84</f>
        <v>1304</v>
      </c>
      <c r="F58" s="6">
        <f>Historicals!F78+Historicals!F79+Historicals!F80+Historicals!F81+Historicals!F83+Historicals!F84</f>
        <v>855</v>
      </c>
      <c r="G58" s="6">
        <f>Historicals!G78+Historicals!G79+Historicals!G80+Historicals!G81+Historicals!G83+Historicals!G84</f>
        <v>58</v>
      </c>
      <c r="H58" s="6">
        <f>Historicals!H78+Historicals!H79+Historicals!H80+Historicals!H81+Historicals!H83+Historicals!H84</f>
        <v>-3105</v>
      </c>
      <c r="I58" s="6">
        <f>Historicals!I78+Historicals!I79+Historicals!I80+Historicals!I81+Historicals!I83+Historicals!I84</f>
        <v>-766</v>
      </c>
      <c r="J58" s="6">
        <v>-766</v>
      </c>
      <c r="K58" s="6">
        <v>-766</v>
      </c>
      <c r="L58" s="6">
        <v>-766</v>
      </c>
      <c r="M58" s="6">
        <v>-766</v>
      </c>
      <c r="N58" s="6">
        <v>-766</v>
      </c>
      <c r="O58" s="88"/>
    </row>
    <row r="59" spans="1:17" ht="15.75" customHeight="1" x14ac:dyDescent="0.3">
      <c r="A59" s="14" t="s">
        <v>111</v>
      </c>
      <c r="B59" s="13">
        <f t="shared" ref="B59:N59" si="40">B53+B58</f>
        <v>-175</v>
      </c>
      <c r="C59" s="13">
        <f t="shared" si="40"/>
        <v>-1034</v>
      </c>
      <c r="D59" s="13">
        <f t="shared" si="40"/>
        <v>-1008</v>
      </c>
      <c r="E59" s="13">
        <f t="shared" si="40"/>
        <v>276</v>
      </c>
      <c r="F59" s="13">
        <f t="shared" si="40"/>
        <v>-264</v>
      </c>
      <c r="G59" s="13">
        <f t="shared" si="40"/>
        <v>-1028</v>
      </c>
      <c r="H59" s="13">
        <f t="shared" si="40"/>
        <v>-3800</v>
      </c>
      <c r="I59" s="13">
        <f t="shared" si="40"/>
        <v>-1524</v>
      </c>
      <c r="J59" s="13">
        <f t="shared" si="40"/>
        <v>-1652.9211434757922</v>
      </c>
      <c r="K59" s="13">
        <f t="shared" si="40"/>
        <v>-1701.4031427790001</v>
      </c>
      <c r="L59" s="13">
        <f t="shared" si="40"/>
        <v>-1585.006244450542</v>
      </c>
      <c r="M59" s="13">
        <f t="shared" si="40"/>
        <v>-1618.2056855094388</v>
      </c>
      <c r="N59" s="13">
        <f t="shared" si="40"/>
        <v>-1656.7600031954285</v>
      </c>
    </row>
    <row r="60" spans="1:17" ht="15.75" customHeight="1" x14ac:dyDescent="0.3">
      <c r="A60" s="1" t="s">
        <v>112</v>
      </c>
      <c r="B60" s="6">
        <f>Historicals!B90+Historicals!B91</f>
        <v>-2020</v>
      </c>
      <c r="C60" s="6">
        <f>Historicals!C90+Historicals!C91</f>
        <v>-2731</v>
      </c>
      <c r="D60" s="6">
        <f>Historicals!D90+Historicals!D91</f>
        <v>-2734</v>
      </c>
      <c r="E60" s="6">
        <f>Historicals!E90+Historicals!E91</f>
        <v>-3521</v>
      </c>
      <c r="F60" s="6">
        <f>Historicals!F90+Historicals!F91</f>
        <v>-3586</v>
      </c>
      <c r="G60" s="6">
        <f>Historicals!G90+Historicals!G91</f>
        <v>-2182</v>
      </c>
      <c r="H60" s="6">
        <f>Historicals!H90+Historicals!H91</f>
        <v>564</v>
      </c>
      <c r="I60" s="6">
        <f>Historicals!I90+Historicals!I91</f>
        <v>-2863</v>
      </c>
      <c r="J60" s="6">
        <v>-2863</v>
      </c>
      <c r="K60" s="6">
        <v>-2863</v>
      </c>
      <c r="L60" s="6">
        <v>-2863</v>
      </c>
      <c r="M60" s="6">
        <v>-2863</v>
      </c>
      <c r="N60" s="6">
        <v>-2863</v>
      </c>
      <c r="O60" s="88" t="s">
        <v>281</v>
      </c>
    </row>
    <row r="61" spans="1:17" ht="15.75" customHeight="1" x14ac:dyDescent="0.3">
      <c r="A61" s="17" t="s">
        <v>21</v>
      </c>
      <c r="B61" s="27" t="str">
        <f t="shared" ref="B61:N61" si="41">+IFERROR(B60/A60-1,"nm")</f>
        <v>nm</v>
      </c>
      <c r="C61" s="27">
        <f t="shared" si="41"/>
        <v>0.35198019801980207</v>
      </c>
      <c r="D61" s="27">
        <f t="shared" si="41"/>
        <v>1.0984987184181616E-3</v>
      </c>
      <c r="E61" s="27">
        <f t="shared" si="41"/>
        <v>0.28785662033650339</v>
      </c>
      <c r="F61" s="27">
        <f t="shared" si="41"/>
        <v>1.8460664583924924E-2</v>
      </c>
      <c r="G61" s="27">
        <f t="shared" si="41"/>
        <v>-0.39152258784160621</v>
      </c>
      <c r="H61" s="27">
        <f t="shared" si="41"/>
        <v>-1.2584784601283228</v>
      </c>
      <c r="I61" s="27">
        <f t="shared" si="41"/>
        <v>-6.0762411347517729</v>
      </c>
      <c r="J61" s="27">
        <f t="shared" si="41"/>
        <v>0</v>
      </c>
      <c r="K61" s="27">
        <f t="shared" si="41"/>
        <v>0</v>
      </c>
      <c r="L61" s="27">
        <f t="shared" si="41"/>
        <v>0</v>
      </c>
      <c r="M61" s="27">
        <f t="shared" si="41"/>
        <v>0</v>
      </c>
      <c r="N61" s="27">
        <f t="shared" si="41"/>
        <v>0</v>
      </c>
      <c r="O61" s="88"/>
    </row>
    <row r="62" spans="1:17" ht="15.75" customHeight="1" x14ac:dyDescent="0.3">
      <c r="A62" s="1" t="s">
        <v>113</v>
      </c>
      <c r="B62" s="6">
        <f>Historicals!B92</f>
        <v>-899</v>
      </c>
      <c r="C62" s="6">
        <f>Historicals!C92</f>
        <v>-1022</v>
      </c>
      <c r="D62" s="6">
        <f>Historicals!D92</f>
        <v>-1133</v>
      </c>
      <c r="E62" s="6">
        <f>Historicals!E92</f>
        <v>-1243</v>
      </c>
      <c r="F62" s="6">
        <f>Historicals!F92</f>
        <v>-1332</v>
      </c>
      <c r="G62" s="6">
        <f>Historicals!G92</f>
        <v>-1452</v>
      </c>
      <c r="H62" s="6">
        <f>Historicals!H92</f>
        <v>-1638</v>
      </c>
      <c r="I62" s="6">
        <f>Historicals!I92</f>
        <v>-1837</v>
      </c>
      <c r="J62" s="6">
        <f>-(J17*J15)</f>
        <v>-2061.8240000000001</v>
      </c>
      <c r="K62" s="6">
        <f t="shared" ref="K62:N62" si="42">-(K17*K15)</f>
        <v>-2239.0119999999997</v>
      </c>
      <c r="L62" s="6">
        <f t="shared" si="42"/>
        <v>-2481.9206399999998</v>
      </c>
      <c r="M62" s="6">
        <f t="shared" si="42"/>
        <v>-2687.7003399999999</v>
      </c>
      <c r="N62" s="6">
        <f t="shared" si="42"/>
        <v>-2893.4800399999999</v>
      </c>
      <c r="O62" s="88"/>
    </row>
    <row r="63" spans="1:17" ht="15.75" customHeight="1" x14ac:dyDescent="0.3">
      <c r="A63" s="1" t="s">
        <v>114</v>
      </c>
      <c r="B63" s="6">
        <f>SUM(Historicals!B86:B89)</f>
        <v>-70</v>
      </c>
      <c r="C63" s="6">
        <f>SUM(Historicals!C86:C89)</f>
        <v>808</v>
      </c>
      <c r="D63" s="6">
        <f>SUM(Historicals!D86:D89)</f>
        <v>1765</v>
      </c>
      <c r="E63" s="6">
        <f>SUM(Historicals!E86:E89)</f>
        <v>7</v>
      </c>
      <c r="F63" s="6">
        <f>SUM(Historicals!F86:F89)</f>
        <v>-331</v>
      </c>
      <c r="G63" s="6">
        <f>SUM(Historicals!G86:G89)</f>
        <v>6177</v>
      </c>
      <c r="H63" s="6">
        <f>SUM(Historicals!H86:H89)</f>
        <v>-249</v>
      </c>
      <c r="I63" s="6">
        <f>SUM(Historicals!I86:I89)</f>
        <v>15</v>
      </c>
      <c r="J63" s="6">
        <v>15</v>
      </c>
      <c r="K63" s="6">
        <v>15</v>
      </c>
      <c r="L63" s="6">
        <v>15</v>
      </c>
      <c r="M63" s="6">
        <v>15</v>
      </c>
      <c r="N63" s="6">
        <v>15</v>
      </c>
      <c r="O63" s="88" t="s">
        <v>282</v>
      </c>
    </row>
    <row r="64" spans="1:17" ht="15.75" customHeight="1" x14ac:dyDescent="0.3">
      <c r="A64" s="1" t="s">
        <v>115</v>
      </c>
      <c r="B64" s="6">
        <f>Historicals!B93</f>
        <v>199</v>
      </c>
      <c r="C64" s="6">
        <f>Historicals!C93</f>
        <v>274</v>
      </c>
      <c r="D64" s="6">
        <f>Historicals!D93</f>
        <v>-46</v>
      </c>
      <c r="E64" s="6">
        <f>Historicals!E93</f>
        <v>-78</v>
      </c>
      <c r="F64" s="6">
        <f>Historicals!F93</f>
        <v>-44</v>
      </c>
      <c r="G64" s="6">
        <f>Historicals!G93</f>
        <v>-52</v>
      </c>
      <c r="H64" s="6">
        <f>Historicals!H93</f>
        <v>-136</v>
      </c>
      <c r="I64" s="6">
        <f>Historicals!I93</f>
        <v>-151</v>
      </c>
      <c r="J64" s="6">
        <v>-151</v>
      </c>
      <c r="K64" s="6">
        <v>-151</v>
      </c>
      <c r="L64" s="6">
        <v>-151</v>
      </c>
      <c r="M64" s="6">
        <v>-151</v>
      </c>
      <c r="N64" s="6">
        <v>-151</v>
      </c>
      <c r="O64" s="88" t="s">
        <v>284</v>
      </c>
    </row>
    <row r="65" spans="1:17" ht="15.75" customHeight="1" x14ac:dyDescent="0.3">
      <c r="A65" s="14" t="s">
        <v>116</v>
      </c>
      <c r="B65" s="13">
        <f t="shared" ref="B65:N65" si="43">B60+B62+B63+B64</f>
        <v>-2790</v>
      </c>
      <c r="C65" s="13">
        <f t="shared" si="43"/>
        <v>-2671</v>
      </c>
      <c r="D65" s="13">
        <f t="shared" si="43"/>
        <v>-2148</v>
      </c>
      <c r="E65" s="13">
        <f t="shared" si="43"/>
        <v>-4835</v>
      </c>
      <c r="F65" s="13">
        <f t="shared" si="43"/>
        <v>-5293</v>
      </c>
      <c r="G65" s="13">
        <f t="shared" si="43"/>
        <v>2491</v>
      </c>
      <c r="H65" s="13">
        <f t="shared" si="43"/>
        <v>-1459</v>
      </c>
      <c r="I65" s="13">
        <f t="shared" si="43"/>
        <v>-4836</v>
      </c>
      <c r="J65" s="13">
        <f t="shared" si="43"/>
        <v>-5060.8240000000005</v>
      </c>
      <c r="K65" s="13">
        <f t="shared" si="43"/>
        <v>-5238.0119999999997</v>
      </c>
      <c r="L65" s="13">
        <f t="shared" si="43"/>
        <v>-5480.9206400000003</v>
      </c>
      <c r="M65" s="13">
        <f t="shared" si="43"/>
        <v>-5686.7003399999994</v>
      </c>
      <c r="N65" s="13">
        <f t="shared" si="43"/>
        <v>-5892.4800400000004</v>
      </c>
      <c r="O65" s="88"/>
    </row>
    <row r="66" spans="1:17" ht="15.75" customHeight="1" x14ac:dyDescent="0.3">
      <c r="A66" s="1" t="s">
        <v>117</v>
      </c>
      <c r="B66" s="6">
        <f>Historicals!B95</f>
        <v>-83</v>
      </c>
      <c r="C66" s="6">
        <f>Historicals!C95</f>
        <v>-105</v>
      </c>
      <c r="D66" s="6">
        <f>Historicals!D95</f>
        <v>-20</v>
      </c>
      <c r="E66" s="6">
        <f>Historicals!E95</f>
        <v>45</v>
      </c>
      <c r="F66" s="6">
        <f>Historicals!F95</f>
        <v>-129</v>
      </c>
      <c r="G66" s="6">
        <f>Historicals!G95</f>
        <v>-66</v>
      </c>
      <c r="H66" s="6">
        <f>Historicals!H95</f>
        <v>143</v>
      </c>
      <c r="I66" s="6">
        <f>Historicals!I95</f>
        <v>-143</v>
      </c>
      <c r="J66" s="6">
        <v>-143</v>
      </c>
      <c r="K66" s="6">
        <v>-143</v>
      </c>
      <c r="L66" s="6">
        <v>-143</v>
      </c>
      <c r="M66" s="6">
        <v>-143</v>
      </c>
      <c r="N66" s="6">
        <v>-143</v>
      </c>
      <c r="O66" s="88" t="s">
        <v>284</v>
      </c>
    </row>
    <row r="67" spans="1:17" ht="15.75" customHeight="1" x14ac:dyDescent="0.3">
      <c r="A67" s="14" t="s">
        <v>118</v>
      </c>
      <c r="B67" s="13">
        <f t="shared" ref="B67:N67" si="44">B56+B59+B65+B66</f>
        <v>1632</v>
      </c>
      <c r="C67" s="13">
        <f t="shared" si="44"/>
        <v>-714</v>
      </c>
      <c r="D67" s="13">
        <f t="shared" si="44"/>
        <v>670</v>
      </c>
      <c r="E67" s="13">
        <f t="shared" si="44"/>
        <v>441</v>
      </c>
      <c r="F67" s="13">
        <f t="shared" si="44"/>
        <v>217</v>
      </c>
      <c r="G67" s="13">
        <f t="shared" si="44"/>
        <v>3882</v>
      </c>
      <c r="H67" s="13">
        <f t="shared" si="44"/>
        <v>1541</v>
      </c>
      <c r="I67" s="13">
        <f t="shared" si="44"/>
        <v>-1315</v>
      </c>
      <c r="J67" s="13">
        <f t="shared" si="44"/>
        <v>-1426.7117225075622</v>
      </c>
      <c r="K67" s="13">
        <f t="shared" si="44"/>
        <v>-762.27074738671854</v>
      </c>
      <c r="L67" s="13">
        <f t="shared" si="44"/>
        <v>707.44560003767583</v>
      </c>
      <c r="M67" s="13">
        <f t="shared" si="44"/>
        <v>1671.8264630213553</v>
      </c>
      <c r="N67" s="13">
        <f t="shared" si="44"/>
        <v>1333.2369779739456</v>
      </c>
      <c r="O67" s="88"/>
    </row>
    <row r="68" spans="1:17" ht="15.75" customHeight="1" x14ac:dyDescent="0.3">
      <c r="A68" s="1" t="s">
        <v>119</v>
      </c>
      <c r="B68" s="6">
        <f>Historicals!B97</f>
        <v>2220</v>
      </c>
      <c r="C68" s="6">
        <f t="shared" ref="C68:N68" si="45">B69</f>
        <v>3852</v>
      </c>
      <c r="D68" s="6">
        <f t="shared" si="45"/>
        <v>3138</v>
      </c>
      <c r="E68" s="6">
        <f t="shared" si="45"/>
        <v>3808</v>
      </c>
      <c r="F68" s="6">
        <f t="shared" si="45"/>
        <v>4249</v>
      </c>
      <c r="G68" s="6">
        <f t="shared" si="45"/>
        <v>4466</v>
      </c>
      <c r="H68" s="6">
        <f t="shared" si="45"/>
        <v>8348</v>
      </c>
      <c r="I68" s="6">
        <f t="shared" si="45"/>
        <v>9889</v>
      </c>
      <c r="J68" s="6">
        <f t="shared" si="45"/>
        <v>8574</v>
      </c>
      <c r="K68" s="6">
        <f t="shared" si="45"/>
        <v>7147.2882774924383</v>
      </c>
      <c r="L68" s="6">
        <f t="shared" si="45"/>
        <v>6385.0175301057197</v>
      </c>
      <c r="M68" s="6">
        <f t="shared" si="45"/>
        <v>7092.4631301433956</v>
      </c>
      <c r="N68" s="6">
        <f t="shared" si="45"/>
        <v>8764.2895931647508</v>
      </c>
      <c r="O68" s="88"/>
      <c r="Q68" s="7"/>
    </row>
    <row r="69" spans="1:17" ht="15.75" customHeight="1" thickBot="1" x14ac:dyDescent="0.35">
      <c r="A69" s="10" t="s">
        <v>120</v>
      </c>
      <c r="B69" s="11">
        <f t="shared" ref="B69:N69" si="46">B67+B68</f>
        <v>3852</v>
      </c>
      <c r="C69" s="11">
        <f t="shared" si="46"/>
        <v>3138</v>
      </c>
      <c r="D69" s="11">
        <f t="shared" si="46"/>
        <v>3808</v>
      </c>
      <c r="E69" s="11">
        <f t="shared" si="46"/>
        <v>4249</v>
      </c>
      <c r="F69" s="11">
        <f t="shared" si="46"/>
        <v>4466</v>
      </c>
      <c r="G69" s="11">
        <f t="shared" si="46"/>
        <v>8348</v>
      </c>
      <c r="H69" s="11">
        <f t="shared" si="46"/>
        <v>9889</v>
      </c>
      <c r="I69" s="11">
        <f>I67+I68</f>
        <v>8574</v>
      </c>
      <c r="J69" s="11">
        <f t="shared" si="46"/>
        <v>7147.2882774924383</v>
      </c>
      <c r="K69" s="11">
        <f t="shared" si="46"/>
        <v>6385.0175301057197</v>
      </c>
      <c r="L69" s="11">
        <f t="shared" si="46"/>
        <v>7092.4631301433956</v>
      </c>
      <c r="M69" s="11">
        <f t="shared" si="46"/>
        <v>8764.2895931647508</v>
      </c>
      <c r="N69" s="11">
        <f t="shared" si="46"/>
        <v>10097.526571138696</v>
      </c>
      <c r="O69" s="88"/>
    </row>
    <row r="70" spans="1:17" ht="15.75" customHeight="1" thickTop="1" x14ac:dyDescent="0.3">
      <c r="A70" s="31" t="s">
        <v>100</v>
      </c>
      <c r="B70" s="12">
        <f t="shared" ref="B70:I70" si="47">+B69-B21</f>
        <v>0</v>
      </c>
      <c r="C70" s="12">
        <f t="shared" si="47"/>
        <v>0</v>
      </c>
      <c r="D70" s="12">
        <f t="shared" si="47"/>
        <v>0</v>
      </c>
      <c r="E70" s="12">
        <f t="shared" si="47"/>
        <v>0</v>
      </c>
      <c r="F70" s="12">
        <f t="shared" si="47"/>
        <v>0</v>
      </c>
      <c r="G70" s="12">
        <f t="shared" si="47"/>
        <v>0</v>
      </c>
      <c r="H70" s="12">
        <f t="shared" si="47"/>
        <v>0</v>
      </c>
      <c r="I70" s="12">
        <f t="shared" si="47"/>
        <v>0</v>
      </c>
      <c r="J70" s="7"/>
      <c r="K70" s="7"/>
      <c r="L70" s="7"/>
      <c r="M70" s="7"/>
      <c r="N70" s="7"/>
      <c r="O70" s="88"/>
    </row>
    <row r="71" spans="1:17" ht="15.75" customHeight="1" x14ac:dyDescent="0.3">
      <c r="A71" s="2" t="s">
        <v>121</v>
      </c>
      <c r="B71" s="7">
        <f t="shared" ref="B71:N71" si="48">B63-(B69+B68)</f>
        <v>-6142</v>
      </c>
      <c r="C71" s="7">
        <f t="shared" si="48"/>
        <v>-6182</v>
      </c>
      <c r="D71" s="7">
        <f t="shared" si="48"/>
        <v>-5181</v>
      </c>
      <c r="E71" s="7">
        <f t="shared" si="48"/>
        <v>-8050</v>
      </c>
      <c r="F71" s="7">
        <f t="shared" si="48"/>
        <v>-9046</v>
      </c>
      <c r="G71" s="7">
        <f t="shared" si="48"/>
        <v>-6637</v>
      </c>
      <c r="H71" s="7">
        <f t="shared" si="48"/>
        <v>-18486</v>
      </c>
      <c r="I71" s="7">
        <f t="shared" si="48"/>
        <v>-18448</v>
      </c>
      <c r="J71" s="7">
        <f t="shared" si="48"/>
        <v>-15706.288277492438</v>
      </c>
      <c r="K71" s="7">
        <f t="shared" si="48"/>
        <v>-13517.305807598157</v>
      </c>
      <c r="L71" s="7">
        <f t="shared" si="48"/>
        <v>-13462.480660249115</v>
      </c>
      <c r="M71" s="7">
        <f t="shared" si="48"/>
        <v>-15841.752723308146</v>
      </c>
      <c r="N71" s="7">
        <f t="shared" si="48"/>
        <v>-18846.816164303447</v>
      </c>
      <c r="O71" s="88" t="s">
        <v>283</v>
      </c>
    </row>
    <row r="72" spans="1:17" ht="15.75" customHeight="1" x14ac:dyDescent="0.3"/>
    <row r="73" spans="1:17" ht="15.75" customHeight="1" x14ac:dyDescent="0.3"/>
    <row r="74" spans="1:17" ht="15.75" customHeight="1" x14ac:dyDescent="0.3"/>
    <row r="75" spans="1:17" ht="15.75" customHeight="1" x14ac:dyDescent="0.3"/>
    <row r="76" spans="1:17" ht="15.75" customHeight="1" x14ac:dyDescent="0.3"/>
    <row r="77" spans="1:17" ht="15.75" customHeight="1" x14ac:dyDescent="0.3"/>
    <row r="78" spans="1:17" ht="15.75" customHeight="1" x14ac:dyDescent="0.3"/>
    <row r="79" spans="1:17" ht="15.75" customHeight="1" x14ac:dyDescent="0.3"/>
    <row r="80" spans="1:17"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16:Z1000"/>
  <sheetViews>
    <sheetView workbookViewId="0">
      <selection activeCell="S24" sqref="S24"/>
    </sheetView>
  </sheetViews>
  <sheetFormatPr defaultColWidth="14.44140625" defaultRowHeight="15" customHeight="1" x14ac:dyDescent="0.3"/>
  <cols>
    <col min="1" max="94" width="8.6640625" customWidth="1"/>
  </cols>
  <sheetData>
    <row r="16" spans="17:23" ht="15" customHeight="1" x14ac:dyDescent="0.3">
      <c r="Q16" s="83" t="s">
        <v>269</v>
      </c>
      <c r="R16" s="84"/>
      <c r="S16" s="84"/>
      <c r="T16" s="84"/>
      <c r="U16" s="84"/>
      <c r="V16" s="84"/>
      <c r="W16" s="84"/>
    </row>
    <row r="17" spans="17:26" ht="15" customHeight="1" x14ac:dyDescent="0.3">
      <c r="Q17" s="79" t="s">
        <v>270</v>
      </c>
    </row>
    <row r="18" spans="17:26" ht="15" customHeight="1" x14ac:dyDescent="0.3">
      <c r="Q18" s="85" t="s">
        <v>271</v>
      </c>
      <c r="R18" s="86"/>
      <c r="S18" s="86"/>
      <c r="T18" s="86"/>
      <c r="U18" s="86"/>
      <c r="V18" s="86"/>
      <c r="W18" s="86"/>
      <c r="X18" s="86"/>
      <c r="Y18" s="86"/>
    </row>
    <row r="19" spans="17:26" ht="15" customHeight="1" x14ac:dyDescent="0.3">
      <c r="Q19" s="85" t="s">
        <v>273</v>
      </c>
      <c r="R19" s="85"/>
      <c r="S19" s="85"/>
      <c r="T19" s="85"/>
      <c r="U19" s="85"/>
      <c r="V19" s="85"/>
      <c r="W19" s="85"/>
      <c r="X19" s="85"/>
      <c r="Y19" s="85"/>
      <c r="Z19" s="85"/>
    </row>
    <row r="21" spans="17:26" ht="15.75" customHeight="1" x14ac:dyDescent="0.3"/>
    <row r="22" spans="17:26" ht="15.75" customHeight="1" x14ac:dyDescent="0.3"/>
    <row r="23" spans="17:26" ht="15.75" customHeight="1" x14ac:dyDescent="0.3"/>
    <row r="24" spans="17:26" ht="15.75" customHeight="1" x14ac:dyDescent="0.3"/>
    <row r="25" spans="17:26" ht="15.75" customHeight="1" x14ac:dyDescent="0.3"/>
    <row r="26" spans="17:26" ht="15.75" customHeight="1" x14ac:dyDescent="0.3"/>
    <row r="27" spans="17:26" ht="15.75" customHeight="1" x14ac:dyDescent="0.3"/>
    <row r="28" spans="17:26" ht="15.75" customHeight="1" x14ac:dyDescent="0.3"/>
    <row r="29" spans="17:26" ht="15.75" customHeight="1" x14ac:dyDescent="0.3"/>
    <row r="30" spans="17:26" ht="15.75" customHeight="1" x14ac:dyDescent="0.3"/>
    <row r="31" spans="17:26" ht="15.75" customHeight="1" x14ac:dyDescent="0.3"/>
    <row r="32" spans="17: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Q16:W16"/>
    <mergeCell ref="Q18:Y18"/>
    <mergeCell ref="Q19:Z1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Sidharth Nambiath</dc:creator>
  <cp:lastModifiedBy>Shamla Yoosoof</cp:lastModifiedBy>
  <dcterms:created xsi:type="dcterms:W3CDTF">2023-11-23T18:09:26Z</dcterms:created>
  <dcterms:modified xsi:type="dcterms:W3CDTF">2023-12-04T20:29:28Z</dcterms:modified>
</cp:coreProperties>
</file>