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0688BC3-0C04-438A-AA25-2F526F1F4151}" xr6:coauthVersionLast="47" xr6:coauthVersionMax="47" xr10:uidLastSave="{00000000-0000-0000-0000-000000000000}"/>
  <bookViews>
    <workbookView xWindow="-108" yWindow="-108" windowWidth="23256" windowHeight="13896" activeTab="5" xr2:uid="{00000000-000D-0000-FFFF-FFFF00000000}"/>
  </bookViews>
  <sheets>
    <sheet name="Historicals" sheetId="1" r:id="rId1"/>
    <sheet name="Segmental forecast" sheetId="3" r:id="rId2"/>
    <sheet name="Sheet1" sheetId="2" r:id="rId3"/>
    <sheet name="Sheet3" sheetId="6" r:id="rId4"/>
    <sheet name="Three Statements" sheetId="4" r:id="rId5"/>
    <sheet name="Schedules" sheetId="5" r:id="rId6"/>
    <sheet name="Sheet4" sheetId="7"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 l="1"/>
  <c r="B19" i="5"/>
  <c r="B23" i="5"/>
  <c r="E7" i="7"/>
  <c r="C15" i="5"/>
  <c r="D15" i="5"/>
  <c r="E15" i="5"/>
  <c r="F15" i="5"/>
  <c r="F16" i="5" s="1"/>
  <c r="G15" i="5"/>
  <c r="H15" i="5"/>
  <c r="H16" i="5" s="1"/>
  <c r="I15" i="5"/>
  <c r="I16" i="5" s="1"/>
  <c r="B15" i="5"/>
  <c r="B11" i="5"/>
  <c r="B10" i="5"/>
  <c r="F9" i="5"/>
  <c r="G9" i="5"/>
  <c r="H9" i="5"/>
  <c r="I9" i="5"/>
  <c r="B9" i="5"/>
  <c r="E7" i="5"/>
  <c r="F7" i="5"/>
  <c r="H7" i="5"/>
  <c r="I7" i="5"/>
  <c r="D6" i="5"/>
  <c r="E6" i="5"/>
  <c r="F6" i="5"/>
  <c r="G6" i="5"/>
  <c r="H6" i="5"/>
  <c r="B6" i="5"/>
  <c r="C45" i="4"/>
  <c r="C11" i="5" s="1"/>
  <c r="D45" i="4"/>
  <c r="D11" i="5" s="1"/>
  <c r="E45" i="4"/>
  <c r="E11" i="5" s="1"/>
  <c r="F45" i="4"/>
  <c r="F11" i="5" s="1"/>
  <c r="G45" i="4"/>
  <c r="G11" i="5" s="1"/>
  <c r="H45" i="4"/>
  <c r="H10" i="5" s="1"/>
  <c r="I45" i="4"/>
  <c r="I6" i="5" s="1"/>
  <c r="B45" i="4"/>
  <c r="L3" i="5"/>
  <c r="M3" i="5"/>
  <c r="N3" i="5"/>
  <c r="O3" i="5"/>
  <c r="K3" i="5"/>
  <c r="C5" i="5"/>
  <c r="D5" i="5"/>
  <c r="E5" i="5"/>
  <c r="F5" i="5"/>
  <c r="G5" i="5"/>
  <c r="H5" i="5"/>
  <c r="I5" i="5"/>
  <c r="B5" i="5"/>
  <c r="C4" i="5"/>
  <c r="C7" i="5" s="1"/>
  <c r="D4" i="5"/>
  <c r="D7" i="5" s="1"/>
  <c r="E4" i="5"/>
  <c r="E8" i="5" s="1"/>
  <c r="F4" i="5"/>
  <c r="F8" i="5" s="1"/>
  <c r="G4" i="5"/>
  <c r="G8" i="5" s="1"/>
  <c r="H4" i="5"/>
  <c r="H8" i="5" s="1"/>
  <c r="I4" i="5"/>
  <c r="I8" i="5" s="1"/>
  <c r="B4" i="5"/>
  <c r="B7" i="5" s="1"/>
  <c r="C1" i="5"/>
  <c r="D1" i="5" s="1"/>
  <c r="E1" i="5" s="1"/>
  <c r="F1" i="5" s="1"/>
  <c r="G1" i="5" s="1"/>
  <c r="H1" i="5" s="1"/>
  <c r="I1" i="5" s="1"/>
  <c r="K1" i="5" s="1"/>
  <c r="L1" i="5" s="1"/>
  <c r="M1" i="5" s="1"/>
  <c r="N1" i="5" s="1"/>
  <c r="O1" i="5" s="1"/>
  <c r="P1" i="5" s="1"/>
  <c r="Q1" i="5" s="1"/>
  <c r="R1" i="5" s="1"/>
  <c r="S1" i="5" s="1"/>
  <c r="T1" i="5" s="1"/>
  <c r="G7" i="5" l="1"/>
  <c r="I11" i="5"/>
  <c r="H11" i="5"/>
  <c r="C6" i="5"/>
  <c r="B8" i="5"/>
  <c r="E9" i="5"/>
  <c r="G10" i="5"/>
  <c r="D9" i="5"/>
  <c r="F10" i="5"/>
  <c r="G16" i="5"/>
  <c r="B25" i="5"/>
  <c r="B17" i="5" s="1"/>
  <c r="C9" i="5"/>
  <c r="E10" i="5"/>
  <c r="B26" i="5"/>
  <c r="I10" i="5"/>
  <c r="D10" i="5"/>
  <c r="E16" i="5"/>
  <c r="C10" i="5"/>
  <c r="C16" i="5"/>
  <c r="D8" i="5"/>
  <c r="C8" i="5"/>
  <c r="D16" i="5"/>
  <c r="I72" i="4"/>
  <c r="H72" i="4"/>
  <c r="G72" i="4"/>
  <c r="F72" i="4"/>
  <c r="E72" i="4"/>
  <c r="J68" i="4"/>
  <c r="R60" i="4"/>
  <c r="J60" i="4" s="1"/>
  <c r="J15" i="4" s="1"/>
  <c r="J58" i="4"/>
  <c r="W53" i="4"/>
  <c r="V53" i="4"/>
  <c r="U53" i="4"/>
  <c r="T53" i="4"/>
  <c r="S53" i="4"/>
  <c r="J42" i="4"/>
  <c r="K42" i="4" s="1"/>
  <c r="L42" i="4" s="1"/>
  <c r="M42" i="4" s="1"/>
  <c r="N42" i="4" s="1"/>
  <c r="J40" i="4"/>
  <c r="J38" i="4"/>
  <c r="K38" i="4" s="1"/>
  <c r="L38" i="4" s="1"/>
  <c r="M38" i="4" s="1"/>
  <c r="N38" i="4" s="1"/>
  <c r="J37" i="4"/>
  <c r="K37" i="4" s="1"/>
  <c r="L37" i="4" s="1"/>
  <c r="M37" i="4" s="1"/>
  <c r="N37" i="4" s="1"/>
  <c r="S36" i="4"/>
  <c r="J36" i="4" s="1"/>
  <c r="J35" i="4"/>
  <c r="K35" i="4" s="1"/>
  <c r="L35" i="4" s="1"/>
  <c r="M35" i="4" s="1"/>
  <c r="N35" i="4" s="1"/>
  <c r="J33" i="4"/>
  <c r="K33" i="4" s="1"/>
  <c r="L33" i="4" s="1"/>
  <c r="M33" i="4" s="1"/>
  <c r="N33" i="4" s="1"/>
  <c r="J30" i="4"/>
  <c r="K30" i="4" s="1"/>
  <c r="L30" i="4" s="1"/>
  <c r="M30" i="4" s="1"/>
  <c r="N30" i="4" s="1"/>
  <c r="J29" i="4"/>
  <c r="K29" i="4" s="1"/>
  <c r="L29" i="4" s="1"/>
  <c r="M29" i="4" s="1"/>
  <c r="N29" i="4" s="1"/>
  <c r="J28" i="4"/>
  <c r="K28" i="4" s="1"/>
  <c r="L28" i="4" s="1"/>
  <c r="M28" i="4" s="1"/>
  <c r="N28" i="4" s="1"/>
  <c r="J27" i="4"/>
  <c r="K27" i="4" s="1"/>
  <c r="L27" i="4" s="1"/>
  <c r="M27" i="4" s="1"/>
  <c r="N27" i="4" s="1"/>
  <c r="J25" i="4"/>
  <c r="K25" i="4" s="1"/>
  <c r="L25" i="4" s="1"/>
  <c r="M25" i="4" s="1"/>
  <c r="N25" i="4" s="1"/>
  <c r="R24" i="4"/>
  <c r="J22" i="4"/>
  <c r="K22" i="4" s="1"/>
  <c r="L22" i="4" s="1"/>
  <c r="M22" i="4" s="1"/>
  <c r="N22" i="4" s="1"/>
  <c r="S19" i="4"/>
  <c r="S13" i="4"/>
  <c r="N7" i="4"/>
  <c r="N47" i="4" s="1"/>
  <c r="M7" i="4"/>
  <c r="M47" i="4" s="1"/>
  <c r="L7" i="4"/>
  <c r="K7" i="4"/>
  <c r="J7" i="4"/>
  <c r="J47" i="4" s="1"/>
  <c r="N6" i="4"/>
  <c r="M6" i="4"/>
  <c r="L6" i="4"/>
  <c r="K6" i="4"/>
  <c r="J6" i="4"/>
  <c r="N5" i="4"/>
  <c r="M5" i="4"/>
  <c r="L5" i="4"/>
  <c r="K5" i="4"/>
  <c r="J5" i="4"/>
  <c r="N3" i="4"/>
  <c r="M3" i="4"/>
  <c r="L3" i="4"/>
  <c r="L23" i="4" s="1"/>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B227" i="3"/>
  <c r="I225" i="3"/>
  <c r="J225" i="3" s="1"/>
  <c r="K225" i="3" s="1"/>
  <c r="L225" i="3" s="1"/>
  <c r="M225" i="3" s="1"/>
  <c r="N225" i="3" s="1"/>
  <c r="H225" i="3"/>
  <c r="H227" i="3" s="1"/>
  <c r="G225" i="3"/>
  <c r="F225" i="3"/>
  <c r="E225" i="3"/>
  <c r="D225" i="3"/>
  <c r="C225" i="3"/>
  <c r="B225" i="3"/>
  <c r="B226" i="3" s="1"/>
  <c r="K224" i="3"/>
  <c r="K223" i="3"/>
  <c r="L223" i="3" s="1"/>
  <c r="J222" i="3"/>
  <c r="J221" i="3" s="1"/>
  <c r="I222" i="3"/>
  <c r="I224" i="3" s="1"/>
  <c r="H222" i="3"/>
  <c r="H224" i="3" s="1"/>
  <c r="G222" i="3"/>
  <c r="G224" i="3" s="1"/>
  <c r="F222" i="3"/>
  <c r="F224" i="3" s="1"/>
  <c r="E222" i="3"/>
  <c r="E224" i="3" s="1"/>
  <c r="D222" i="3"/>
  <c r="D224" i="3" s="1"/>
  <c r="C222" i="3"/>
  <c r="C224" i="3" s="1"/>
  <c r="B222" i="3"/>
  <c r="B224" i="3" s="1"/>
  <c r="K220" i="3"/>
  <c r="L220" i="3" s="1"/>
  <c r="M220" i="3" s="1"/>
  <c r="N220" i="3" s="1"/>
  <c r="K219" i="3"/>
  <c r="K218" i="3" s="1"/>
  <c r="J218" i="3"/>
  <c r="J217" i="3" s="1"/>
  <c r="I218" i="3"/>
  <c r="I220" i="3" s="1"/>
  <c r="H218" i="3"/>
  <c r="H220" i="3" s="1"/>
  <c r="G218" i="3"/>
  <c r="G220" i="3" s="1"/>
  <c r="F218" i="3"/>
  <c r="F220" i="3" s="1"/>
  <c r="E218" i="3"/>
  <c r="E220" i="3" s="1"/>
  <c r="D218" i="3"/>
  <c r="D220" i="3" s="1"/>
  <c r="C218" i="3"/>
  <c r="C220" i="3" s="1"/>
  <c r="B218" i="3"/>
  <c r="B220" i="3" s="1"/>
  <c r="K216" i="3"/>
  <c r="L216" i="3" s="1"/>
  <c r="M216" i="3" s="1"/>
  <c r="N216" i="3" s="1"/>
  <c r="K215" i="3"/>
  <c r="J214" i="3"/>
  <c r="J213" i="3" s="1"/>
  <c r="I214" i="3"/>
  <c r="I216" i="3" s="1"/>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D196" i="3"/>
  <c r="I194" i="3"/>
  <c r="I196" i="3" s="1"/>
  <c r="J196" i="3" s="1"/>
  <c r="K196" i="3" s="1"/>
  <c r="L196" i="3" s="1"/>
  <c r="M196" i="3" s="1"/>
  <c r="N196" i="3" s="1"/>
  <c r="H194" i="3"/>
  <c r="H196" i="3" s="1"/>
  <c r="G194" i="3"/>
  <c r="F194" i="3"/>
  <c r="E194" i="3"/>
  <c r="E195" i="3" s="1"/>
  <c r="D194" i="3"/>
  <c r="D195" i="3" s="1"/>
  <c r="C194" i="3"/>
  <c r="C196" i="3" s="1"/>
  <c r="B194" i="3"/>
  <c r="B196" i="3" s="1"/>
  <c r="K193" i="3"/>
  <c r="L193" i="3" s="1"/>
  <c r="K192" i="3"/>
  <c r="L192" i="3" s="1"/>
  <c r="M192" i="3" s="1"/>
  <c r="N192" i="3" s="1"/>
  <c r="J191" i="3"/>
  <c r="J190" i="3" s="1"/>
  <c r="I191" i="3"/>
  <c r="I193" i="3" s="1"/>
  <c r="H191" i="3"/>
  <c r="H193" i="3" s="1"/>
  <c r="G191" i="3"/>
  <c r="G193" i="3" s="1"/>
  <c r="F191" i="3"/>
  <c r="F193" i="3" s="1"/>
  <c r="E191" i="3"/>
  <c r="E193" i="3" s="1"/>
  <c r="D191" i="3"/>
  <c r="D193" i="3" s="1"/>
  <c r="C191" i="3"/>
  <c r="C193" i="3" s="1"/>
  <c r="B191" i="3"/>
  <c r="B193" i="3" s="1"/>
  <c r="K189" i="3"/>
  <c r="L189" i="3" s="1"/>
  <c r="M189" i="3" s="1"/>
  <c r="N189" i="3" s="1"/>
  <c r="D189" i="3"/>
  <c r="C189" i="3"/>
  <c r="K188" i="3"/>
  <c r="L188" i="3" s="1"/>
  <c r="M188" i="3" s="1"/>
  <c r="N188" i="3" s="1"/>
  <c r="J187" i="3"/>
  <c r="J186" i="3" s="1"/>
  <c r="I187" i="3"/>
  <c r="I189" i="3" s="1"/>
  <c r="H187" i="3"/>
  <c r="H189" i="3" s="1"/>
  <c r="G187" i="3"/>
  <c r="G189" i="3" s="1"/>
  <c r="F187" i="3"/>
  <c r="F189" i="3" s="1"/>
  <c r="E187" i="3"/>
  <c r="E189" i="3" s="1"/>
  <c r="D187" i="3"/>
  <c r="C187" i="3"/>
  <c r="B187" i="3"/>
  <c r="B189" i="3" s="1"/>
  <c r="K185" i="3"/>
  <c r="E185" i="3"/>
  <c r="K184" i="3"/>
  <c r="L184" i="3" s="1"/>
  <c r="M184" i="3" s="1"/>
  <c r="N184" i="3" s="1"/>
  <c r="J183" i="3"/>
  <c r="J182" i="3" s="1"/>
  <c r="I183" i="3"/>
  <c r="I185" i="3" s="1"/>
  <c r="H183" i="3"/>
  <c r="H185" i="3" s="1"/>
  <c r="G183" i="3"/>
  <c r="G185" i="3" s="1"/>
  <c r="F183" i="3"/>
  <c r="F185" i="3" s="1"/>
  <c r="E183" i="3"/>
  <c r="D183" i="3"/>
  <c r="D185" i="3" s="1"/>
  <c r="C183" i="3"/>
  <c r="C185" i="3" s="1"/>
  <c r="B183" i="3"/>
  <c r="B185" i="3" s="1"/>
  <c r="K181" i="3"/>
  <c r="G181" i="3"/>
  <c r="K180" i="3"/>
  <c r="L180" i="3" s="1"/>
  <c r="M180" i="3" s="1"/>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I159" i="3"/>
  <c r="I160" i="3" s="1"/>
  <c r="H159" i="3"/>
  <c r="H161" i="3" s="1"/>
  <c r="G159" i="3"/>
  <c r="G161" i="3" s="1"/>
  <c r="F159" i="3"/>
  <c r="F161" i="3" s="1"/>
  <c r="E159" i="3"/>
  <c r="E161" i="3" s="1"/>
  <c r="D159" i="3"/>
  <c r="D161" i="3" s="1"/>
  <c r="C159" i="3"/>
  <c r="C161" i="3" s="1"/>
  <c r="B159" i="3"/>
  <c r="B161" i="3" s="1"/>
  <c r="K158" i="3"/>
  <c r="L158" i="3" s="1"/>
  <c r="M158" i="3" s="1"/>
  <c r="N158" i="3" s="1"/>
  <c r="K157" i="3"/>
  <c r="J156" i="3"/>
  <c r="J155" i="3" s="1"/>
  <c r="I156" i="3"/>
  <c r="I158" i="3" s="1"/>
  <c r="H156" i="3"/>
  <c r="H158" i="3" s="1"/>
  <c r="G156" i="3"/>
  <c r="G158" i="3" s="1"/>
  <c r="F156" i="3"/>
  <c r="F158" i="3" s="1"/>
  <c r="E156" i="3"/>
  <c r="E158" i="3" s="1"/>
  <c r="D156" i="3"/>
  <c r="D158" i="3" s="1"/>
  <c r="C156" i="3"/>
  <c r="C158" i="3" s="1"/>
  <c r="B156" i="3"/>
  <c r="B158" i="3" s="1"/>
  <c r="K154" i="3"/>
  <c r="L154" i="3" s="1"/>
  <c r="M154" i="3" s="1"/>
  <c r="N154" i="3" s="1"/>
  <c r="K153" i="3"/>
  <c r="J152" i="3"/>
  <c r="J151" i="3" s="1"/>
  <c r="I152" i="3"/>
  <c r="I154" i="3" s="1"/>
  <c r="H152" i="3"/>
  <c r="H154" i="3" s="1"/>
  <c r="G152" i="3"/>
  <c r="G154" i="3" s="1"/>
  <c r="F152" i="3"/>
  <c r="F154" i="3" s="1"/>
  <c r="E152" i="3"/>
  <c r="E154" i="3" s="1"/>
  <c r="D152" i="3"/>
  <c r="D154" i="3" s="1"/>
  <c r="C152" i="3"/>
  <c r="C154" i="3" s="1"/>
  <c r="B152" i="3"/>
  <c r="B154" i="3" s="1"/>
  <c r="K150" i="3"/>
  <c r="L150" i="3" s="1"/>
  <c r="M150" i="3" s="1"/>
  <c r="N150" i="3" s="1"/>
  <c r="K149" i="3"/>
  <c r="L149" i="3" s="1"/>
  <c r="M149" i="3" s="1"/>
  <c r="N149" i="3" s="1"/>
  <c r="K148" i="3"/>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F128" i="3"/>
  <c r="E128" i="3"/>
  <c r="D128" i="3"/>
  <c r="C128" i="3"/>
  <c r="B128" i="3"/>
  <c r="B129" i="3" s="1"/>
  <c r="K127" i="3"/>
  <c r="L127" i="3" s="1"/>
  <c r="M127" i="3" s="1"/>
  <c r="N127" i="3" s="1"/>
  <c r="E127" i="3"/>
  <c r="K126" i="3"/>
  <c r="J125" i="3"/>
  <c r="J124" i="3" s="1"/>
  <c r="I125" i="3"/>
  <c r="I127" i="3" s="1"/>
  <c r="H125" i="3"/>
  <c r="H127" i="3" s="1"/>
  <c r="G125" i="3"/>
  <c r="G127" i="3" s="1"/>
  <c r="F125" i="3"/>
  <c r="F127" i="3" s="1"/>
  <c r="E125" i="3"/>
  <c r="D125" i="3"/>
  <c r="D127" i="3" s="1"/>
  <c r="C125" i="3"/>
  <c r="C127" i="3" s="1"/>
  <c r="B125" i="3"/>
  <c r="B127" i="3" s="1"/>
  <c r="K123" i="3"/>
  <c r="K122" i="3"/>
  <c r="L122" i="3" s="1"/>
  <c r="J121" i="3"/>
  <c r="J120" i="3" s="1"/>
  <c r="I121" i="3"/>
  <c r="I123" i="3" s="1"/>
  <c r="H121" i="3"/>
  <c r="H123" i="3" s="1"/>
  <c r="G121" i="3"/>
  <c r="G123" i="3" s="1"/>
  <c r="F121" i="3"/>
  <c r="F123" i="3" s="1"/>
  <c r="E121" i="3"/>
  <c r="E123" i="3" s="1"/>
  <c r="D121" i="3"/>
  <c r="D123" i="3" s="1"/>
  <c r="C121" i="3"/>
  <c r="C123" i="3" s="1"/>
  <c r="B121" i="3"/>
  <c r="B123" i="3" s="1"/>
  <c r="K119" i="3"/>
  <c r="L119" i="3" s="1"/>
  <c r="M119" i="3" s="1"/>
  <c r="K118" i="3"/>
  <c r="L118" i="3" s="1"/>
  <c r="M118" i="3" s="1"/>
  <c r="N118" i="3" s="1"/>
  <c r="J117" i="3"/>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F99" i="3"/>
  <c r="G98" i="3"/>
  <c r="F98" i="3"/>
  <c r="I97" i="3"/>
  <c r="I98" i="3" s="1"/>
  <c r="H97" i="3"/>
  <c r="H99" i="3" s="1"/>
  <c r="G97" i="3"/>
  <c r="G99" i="3" s="1"/>
  <c r="F97" i="3"/>
  <c r="E97" i="3"/>
  <c r="E99" i="3" s="1"/>
  <c r="D97" i="3"/>
  <c r="D99" i="3" s="1"/>
  <c r="C97" i="3"/>
  <c r="C99" i="3" s="1"/>
  <c r="B97" i="3"/>
  <c r="B99" i="3" s="1"/>
  <c r="K96" i="3"/>
  <c r="L96" i="3" s="1"/>
  <c r="M96" i="3" s="1"/>
  <c r="N96" i="3" s="1"/>
  <c r="K95" i="3"/>
  <c r="J94" i="3"/>
  <c r="I94" i="3"/>
  <c r="I96" i="3" s="1"/>
  <c r="H94" i="3"/>
  <c r="H96" i="3" s="1"/>
  <c r="G94" i="3"/>
  <c r="G96" i="3" s="1"/>
  <c r="F94" i="3"/>
  <c r="F96" i="3" s="1"/>
  <c r="E94" i="3"/>
  <c r="E96" i="3" s="1"/>
  <c r="D94" i="3"/>
  <c r="D96" i="3" s="1"/>
  <c r="C94" i="3"/>
  <c r="C96" i="3" s="1"/>
  <c r="B94" i="3"/>
  <c r="B96" i="3" s="1"/>
  <c r="J93" i="3"/>
  <c r="K92" i="3"/>
  <c r="L92" i="3" s="1"/>
  <c r="M92" i="3" s="1"/>
  <c r="N92" i="3" s="1"/>
  <c r="K91" i="3"/>
  <c r="L91" i="3" s="1"/>
  <c r="M91" i="3" s="1"/>
  <c r="N91" i="3" s="1"/>
  <c r="N90" i="3" s="1"/>
  <c r="J90" i="3"/>
  <c r="J89" i="3" s="1"/>
  <c r="I90" i="3"/>
  <c r="I92" i="3" s="1"/>
  <c r="H90" i="3"/>
  <c r="H92" i="3" s="1"/>
  <c r="G90" i="3"/>
  <c r="G92" i="3" s="1"/>
  <c r="F90" i="3"/>
  <c r="F92" i="3" s="1"/>
  <c r="E90" i="3"/>
  <c r="E92" i="3" s="1"/>
  <c r="D90" i="3"/>
  <c r="D92" i="3" s="1"/>
  <c r="C90" i="3"/>
  <c r="C92" i="3" s="1"/>
  <c r="B90" i="3"/>
  <c r="B92" i="3" s="1"/>
  <c r="K88" i="3"/>
  <c r="L88" i="3" s="1"/>
  <c r="M88" i="3" s="1"/>
  <c r="N88" i="3" s="1"/>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I66" i="3"/>
  <c r="H66" i="3"/>
  <c r="G66" i="3"/>
  <c r="F66" i="3"/>
  <c r="E66" i="3"/>
  <c r="D66" i="3"/>
  <c r="C66" i="3"/>
  <c r="B66" i="3"/>
  <c r="B67" i="3" s="1"/>
  <c r="K65" i="3"/>
  <c r="L65" i="3" s="1"/>
  <c r="M65" i="3" s="1"/>
  <c r="N65" i="3" s="1"/>
  <c r="K64" i="3"/>
  <c r="K63" i="3" s="1"/>
  <c r="J63" i="3"/>
  <c r="J62" i="3" s="1"/>
  <c r="I63" i="3"/>
  <c r="I65" i="3" s="1"/>
  <c r="H63" i="3"/>
  <c r="H65" i="3" s="1"/>
  <c r="G63" i="3"/>
  <c r="G65" i="3" s="1"/>
  <c r="F63" i="3"/>
  <c r="F65" i="3" s="1"/>
  <c r="E63" i="3"/>
  <c r="E65" i="3" s="1"/>
  <c r="D63" i="3"/>
  <c r="D65" i="3" s="1"/>
  <c r="C63" i="3"/>
  <c r="C65" i="3" s="1"/>
  <c r="B63" i="3"/>
  <c r="B65" i="3" s="1"/>
  <c r="K61" i="3"/>
  <c r="H61" i="3"/>
  <c r="D61" i="3"/>
  <c r="C61" i="3"/>
  <c r="K60" i="3"/>
  <c r="L60" i="3" s="1"/>
  <c r="J59" i="3"/>
  <c r="J58" i="3" s="1"/>
  <c r="I59" i="3"/>
  <c r="I61" i="3" s="1"/>
  <c r="H59" i="3"/>
  <c r="G59" i="3"/>
  <c r="G61" i="3" s="1"/>
  <c r="F59" i="3"/>
  <c r="F61" i="3" s="1"/>
  <c r="E59" i="3"/>
  <c r="E61" i="3" s="1"/>
  <c r="D59" i="3"/>
  <c r="C59" i="3"/>
  <c r="B59" i="3"/>
  <c r="B61" i="3" s="1"/>
  <c r="K57" i="3"/>
  <c r="L57" i="3" s="1"/>
  <c r="K56" i="3"/>
  <c r="L56" i="3" s="1"/>
  <c r="M56" i="3" s="1"/>
  <c r="N56" i="3" s="1"/>
  <c r="J55" i="3"/>
  <c r="J54" i="3" s="1"/>
  <c r="I55" i="3"/>
  <c r="I57" i="3" s="1"/>
  <c r="H55" i="3"/>
  <c r="H57" i="3" s="1"/>
  <c r="G55" i="3"/>
  <c r="G57" i="3" s="1"/>
  <c r="F55" i="3"/>
  <c r="F57" i="3" s="1"/>
  <c r="E55" i="3"/>
  <c r="E57" i="3" s="1"/>
  <c r="D55" i="3"/>
  <c r="D57" i="3" s="1"/>
  <c r="C55" i="3"/>
  <c r="C57" i="3" s="1"/>
  <c r="B55" i="3"/>
  <c r="B57" i="3" s="1"/>
  <c r="I53" i="3"/>
  <c r="H53" i="3"/>
  <c r="G53" i="3"/>
  <c r="F53" i="3"/>
  <c r="E53" i="3"/>
  <c r="D53" i="3"/>
  <c r="C53" i="3"/>
  <c r="B53" i="3"/>
  <c r="I50" i="3"/>
  <c r="J50" i="3" s="1"/>
  <c r="J49"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I41" i="3"/>
  <c r="J41" i="3" s="1"/>
  <c r="H41" i="3"/>
  <c r="G41" i="3"/>
  <c r="F41" i="3"/>
  <c r="E41" i="3"/>
  <c r="D41" i="3"/>
  <c r="C41" i="3"/>
  <c r="B41" i="3"/>
  <c r="I40" i="3"/>
  <c r="H40" i="3"/>
  <c r="G40" i="3"/>
  <c r="F40" i="3"/>
  <c r="E40" i="3"/>
  <c r="D40" i="3"/>
  <c r="C40" i="3"/>
  <c r="B40" i="3"/>
  <c r="I39" i="3"/>
  <c r="H39" i="3"/>
  <c r="G39" i="3"/>
  <c r="F39" i="3"/>
  <c r="E39" i="3"/>
  <c r="D39" i="3"/>
  <c r="C39" i="3"/>
  <c r="B39" i="3"/>
  <c r="G37" i="3"/>
  <c r="E37" i="3"/>
  <c r="D37" i="3"/>
  <c r="I35" i="3"/>
  <c r="H35" i="3"/>
  <c r="H36" i="3" s="1"/>
  <c r="G35" i="3"/>
  <c r="G36" i="3" s="1"/>
  <c r="F35" i="3"/>
  <c r="F37" i="3" s="1"/>
  <c r="E35" i="3"/>
  <c r="D35" i="3"/>
  <c r="C35" i="3"/>
  <c r="C37" i="3" s="1"/>
  <c r="B35" i="3"/>
  <c r="B37" i="3" s="1"/>
  <c r="L34" i="3"/>
  <c r="K34" i="3"/>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K28" i="3" s="1"/>
  <c r="J28" i="3"/>
  <c r="J27" i="3" s="1"/>
  <c r="I28" i="3"/>
  <c r="I30" i="3" s="1"/>
  <c r="H28" i="3"/>
  <c r="H30" i="3" s="1"/>
  <c r="G28" i="3"/>
  <c r="G30" i="3" s="1"/>
  <c r="F28" i="3"/>
  <c r="F30" i="3" s="1"/>
  <c r="E28" i="3"/>
  <c r="E30" i="3" s="1"/>
  <c r="D28" i="3"/>
  <c r="D30" i="3" s="1"/>
  <c r="C28" i="3"/>
  <c r="C30" i="3" s="1"/>
  <c r="B28" i="3"/>
  <c r="B30" i="3" s="1"/>
  <c r="K26" i="3"/>
  <c r="L26" i="3" s="1"/>
  <c r="M26" i="3" s="1"/>
  <c r="N26" i="3" s="1"/>
  <c r="K25" i="3"/>
  <c r="J24" i="3"/>
  <c r="J23" i="3" s="1"/>
  <c r="I24" i="3"/>
  <c r="I26" i="3" s="1"/>
  <c r="H24" i="3"/>
  <c r="H26" i="3" s="1"/>
  <c r="G24" i="3"/>
  <c r="G26" i="3" s="1"/>
  <c r="F24" i="3"/>
  <c r="F26" i="3" s="1"/>
  <c r="E24" i="3"/>
  <c r="E26" i="3" s="1"/>
  <c r="D24" i="3"/>
  <c r="D26" i="3" s="1"/>
  <c r="C24" i="3"/>
  <c r="C26" i="3" s="1"/>
  <c r="B24" i="3"/>
  <c r="B26" i="3" s="1"/>
  <c r="I22" i="3"/>
  <c r="H22" i="3"/>
  <c r="G22" i="3"/>
  <c r="F22" i="3"/>
  <c r="E22" i="3"/>
  <c r="D22" i="3"/>
  <c r="C22" i="3"/>
  <c r="B22" i="3"/>
  <c r="I17" i="3"/>
  <c r="H17" i="3"/>
  <c r="G17" i="3"/>
  <c r="G18" i="3" s="1"/>
  <c r="F17" i="3"/>
  <c r="F18" i="3" s="1"/>
  <c r="E17" i="3"/>
  <c r="E18" i="3" s="1"/>
  <c r="D17" i="3"/>
  <c r="C17" i="3"/>
  <c r="C18" i="3" s="1"/>
  <c r="B17" i="3"/>
  <c r="B18" i="3" s="1"/>
  <c r="I16" i="3"/>
  <c r="I14" i="3"/>
  <c r="H14" i="3"/>
  <c r="G14" i="3"/>
  <c r="F14" i="3"/>
  <c r="F15" i="3" s="1"/>
  <c r="E14" i="3"/>
  <c r="E15" i="3" s="1"/>
  <c r="D14" i="3"/>
  <c r="C14" i="3"/>
  <c r="B14" i="3"/>
  <c r="C15" i="3" s="1"/>
  <c r="F9" i="3"/>
  <c r="E9" i="3"/>
  <c r="B9" i="3"/>
  <c r="I8" i="3"/>
  <c r="H8" i="3"/>
  <c r="H9" i="3" s="1"/>
  <c r="G8" i="3"/>
  <c r="G9" i="3" s="1"/>
  <c r="F8" i="3"/>
  <c r="E8" i="3"/>
  <c r="D8" i="3"/>
  <c r="C8" i="3"/>
  <c r="D9" i="3" s="1"/>
  <c r="B8" i="3"/>
  <c r="B4" i="3"/>
  <c r="I3" i="3"/>
  <c r="H3" i="3"/>
  <c r="I4" i="3" s="1"/>
  <c r="G3" i="3"/>
  <c r="F3" i="3"/>
  <c r="E3" i="3"/>
  <c r="D3" i="3"/>
  <c r="D4" i="3" s="1"/>
  <c r="C3" i="3"/>
  <c r="B3" i="3"/>
  <c r="F175" i="1"/>
  <c r="F176" i="1" s="1"/>
  <c r="E175" i="1"/>
  <c r="E176" i="1" s="1"/>
  <c r="D175" i="1"/>
  <c r="D176" i="1" s="1"/>
  <c r="C175" i="1"/>
  <c r="C176" i="1" s="1"/>
  <c r="I172" i="1"/>
  <c r="I175" i="1" s="1"/>
  <c r="I176" i="1" s="1"/>
  <c r="H172" i="1"/>
  <c r="H175" i="1" s="1"/>
  <c r="H176" i="1" s="1"/>
  <c r="G172" i="1"/>
  <c r="G175" i="1" s="1"/>
  <c r="G176" i="1" s="1"/>
  <c r="F172" i="1"/>
  <c r="E172" i="1"/>
  <c r="D172" i="1"/>
  <c r="C172" i="1"/>
  <c r="B172" i="1"/>
  <c r="B175" i="1" s="1"/>
  <c r="B176" i="1" s="1"/>
  <c r="I163" i="1"/>
  <c r="H163" i="1"/>
  <c r="G163" i="1"/>
  <c r="F163" i="1"/>
  <c r="I161" i="1"/>
  <c r="H161" i="1"/>
  <c r="G161" i="1"/>
  <c r="F161" i="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F142" i="1"/>
  <c r="I139" i="1"/>
  <c r="I142" i="1" s="1"/>
  <c r="H139" i="1"/>
  <c r="H142" i="1" s="1"/>
  <c r="G139" i="1"/>
  <c r="G142" i="1" s="1"/>
  <c r="F139" i="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G124" i="1" s="1"/>
  <c r="G131" i="1" s="1"/>
  <c r="G132" i="1" s="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F59" i="1" s="1"/>
  <c r="E45" i="1"/>
  <c r="E59" i="1" s="1"/>
  <c r="D45" i="1"/>
  <c r="D59" i="1" s="1"/>
  <c r="C45" i="1"/>
  <c r="C59" i="1" s="1"/>
  <c r="C60" i="1" s="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F10" i="1" s="1"/>
  <c r="F12" i="1" s="1"/>
  <c r="E4" i="1"/>
  <c r="E10" i="1" s="1"/>
  <c r="E12" i="1" s="1"/>
  <c r="D4" i="1"/>
  <c r="D10" i="1" s="1"/>
  <c r="D12" i="1" s="1"/>
  <c r="C4" i="1"/>
  <c r="C10" i="1" s="1"/>
  <c r="C12" i="1" s="1"/>
  <c r="B4" i="1"/>
  <c r="K36" i="4" l="1"/>
  <c r="B30" i="5"/>
  <c r="I226" i="3"/>
  <c r="D18" i="3"/>
  <c r="D36" i="3"/>
  <c r="D160" i="3"/>
  <c r="K191" i="3"/>
  <c r="K190" i="3" s="1"/>
  <c r="B195" i="3"/>
  <c r="K40" i="4"/>
  <c r="B10" i="3"/>
  <c r="E36" i="3"/>
  <c r="L148" i="3"/>
  <c r="F160" i="3"/>
  <c r="C195" i="3"/>
  <c r="K222" i="3"/>
  <c r="K221" i="3" s="1"/>
  <c r="I227" i="3"/>
  <c r="D16" i="3"/>
  <c r="M148" i="3"/>
  <c r="G160" i="3"/>
  <c r="B10" i="1"/>
  <c r="B12" i="1" s="1"/>
  <c r="B59" i="1"/>
  <c r="D10" i="3"/>
  <c r="H160" i="3"/>
  <c r="H195" i="3"/>
  <c r="D60" i="1"/>
  <c r="H124" i="1"/>
  <c r="H131" i="1" s="1"/>
  <c r="H132" i="1" s="1"/>
  <c r="L32" i="3"/>
  <c r="E60" i="1"/>
  <c r="I124" i="1"/>
  <c r="I131" i="1" s="1"/>
  <c r="B132" i="1" s="1"/>
  <c r="H15" i="3"/>
  <c r="F36" i="3"/>
  <c r="C98" i="3"/>
  <c r="K125" i="3"/>
  <c r="K9" i="4"/>
  <c r="F60" i="1"/>
  <c r="D98" i="3"/>
  <c r="I10" i="3"/>
  <c r="E98" i="3"/>
  <c r="J63" i="4"/>
  <c r="S51" i="4"/>
  <c r="J51" i="4" s="1"/>
  <c r="J10" i="4" s="1"/>
  <c r="J11" i="4" s="1"/>
  <c r="M9" i="4"/>
  <c r="M8" i="4"/>
  <c r="J145" i="3"/>
  <c r="K89" i="3"/>
  <c r="N119" i="3"/>
  <c r="M117" i="3"/>
  <c r="N148" i="3"/>
  <c r="L224" i="3"/>
  <c r="M224" i="3" s="1"/>
  <c r="N224" i="3" s="1"/>
  <c r="K117" i="3"/>
  <c r="K116" i="3" s="1"/>
  <c r="I129" i="3"/>
  <c r="H10" i="1"/>
  <c r="H12" i="1" s="1"/>
  <c r="H20" i="1" s="1"/>
  <c r="H59" i="1"/>
  <c r="H60" i="1" s="1"/>
  <c r="G164" i="1"/>
  <c r="G165" i="1" s="1"/>
  <c r="I15" i="3"/>
  <c r="G19" i="3"/>
  <c r="K55" i="3"/>
  <c r="L117" i="3"/>
  <c r="K187" i="3"/>
  <c r="K186" i="3" s="1"/>
  <c r="I195" i="3"/>
  <c r="B19" i="3"/>
  <c r="C19" i="3"/>
  <c r="K182" i="3"/>
  <c r="G59" i="1"/>
  <c r="G60" i="1" s="1"/>
  <c r="D19" i="3"/>
  <c r="K179" i="3"/>
  <c r="K183" i="3"/>
  <c r="N187" i="3"/>
  <c r="B124" i="1"/>
  <c r="B131" i="1" s="1"/>
  <c r="I164" i="1"/>
  <c r="I165" i="1" s="1"/>
  <c r="D15" i="3"/>
  <c r="H37" i="3"/>
  <c r="K86" i="3"/>
  <c r="K85" i="3" s="1"/>
  <c r="N117" i="3"/>
  <c r="R72" i="4"/>
  <c r="H164" i="1"/>
  <c r="H165" i="1" s="1"/>
  <c r="C124" i="1"/>
  <c r="C131" i="1" s="1"/>
  <c r="C132" i="1" s="1"/>
  <c r="C10" i="3"/>
  <c r="K90" i="3"/>
  <c r="K217" i="3"/>
  <c r="D124" i="1"/>
  <c r="D131" i="1" s="1"/>
  <c r="D132" i="1" s="1"/>
  <c r="C4" i="3"/>
  <c r="H98" i="3"/>
  <c r="I99" i="3"/>
  <c r="J99" i="3" s="1"/>
  <c r="K99" i="3" s="1"/>
  <c r="L99" i="3" s="1"/>
  <c r="M99" i="3" s="1"/>
  <c r="N99" i="3" s="1"/>
  <c r="K155" i="3"/>
  <c r="J159" i="3"/>
  <c r="K159" i="3" s="1"/>
  <c r="E196" i="3"/>
  <c r="L8" i="4"/>
  <c r="L126" i="3"/>
  <c r="I59" i="1"/>
  <c r="I60" i="1" s="1"/>
  <c r="B5" i="3"/>
  <c r="L86" i="3"/>
  <c r="E124" i="1"/>
  <c r="E131" i="1" s="1"/>
  <c r="E132" i="1" s="1"/>
  <c r="B16" i="3"/>
  <c r="K156" i="3"/>
  <c r="B160" i="3"/>
  <c r="M34" i="3"/>
  <c r="N34" i="3" s="1"/>
  <c r="K62" i="3"/>
  <c r="G10" i="1"/>
  <c r="G12" i="1" s="1"/>
  <c r="G64" i="1" s="1"/>
  <c r="G76" i="1" s="1"/>
  <c r="G94" i="1" s="1"/>
  <c r="G96" i="1" s="1"/>
  <c r="G97" i="1" s="1"/>
  <c r="F164" i="1"/>
  <c r="F165" i="1" s="1"/>
  <c r="I10" i="1"/>
  <c r="I12" i="1" s="1"/>
  <c r="H19" i="3"/>
  <c r="B68" i="3"/>
  <c r="I161" i="3"/>
  <c r="B60" i="1"/>
  <c r="F124" i="1"/>
  <c r="F131" i="1" s="1"/>
  <c r="F132" i="1" s="1"/>
  <c r="K32" i="3"/>
  <c r="K31" i="3" s="1"/>
  <c r="L31" i="3" s="1"/>
  <c r="K94" i="3"/>
  <c r="K93" i="3" s="1"/>
  <c r="B98" i="3"/>
  <c r="C160" i="3"/>
  <c r="N4" i="4"/>
  <c r="N8" i="4"/>
  <c r="J9" i="4"/>
  <c r="L9" i="4"/>
  <c r="N9" i="4"/>
  <c r="K52" i="4"/>
  <c r="K8" i="4"/>
  <c r="L52" i="4"/>
  <c r="K47" i="4"/>
  <c r="L47" i="4"/>
  <c r="M4" i="4"/>
  <c r="M23" i="4"/>
  <c r="M52" i="4" s="1"/>
  <c r="N23" i="4"/>
  <c r="L4" i="4"/>
  <c r="J8" i="4"/>
  <c r="L36" i="4"/>
  <c r="K60" i="4"/>
  <c r="K15" i="4" s="1"/>
  <c r="K51" i="4"/>
  <c r="K10" i="4" s="1"/>
  <c r="K11" i="4" s="1"/>
  <c r="J52" i="4"/>
  <c r="K58" i="4"/>
  <c r="J61" i="4"/>
  <c r="J4" i="4"/>
  <c r="K4" i="4"/>
  <c r="J111" i="3"/>
  <c r="K112" i="3"/>
  <c r="J146" i="3"/>
  <c r="J169" i="3"/>
  <c r="J170" i="3" s="1"/>
  <c r="J172" i="3"/>
  <c r="J162" i="3" s="1"/>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J114" i="3"/>
  <c r="K54" i="3"/>
  <c r="J52" i="3"/>
  <c r="F68" i="3"/>
  <c r="F67" i="3"/>
  <c r="F5" i="3"/>
  <c r="G4" i="3"/>
  <c r="L64" i="3"/>
  <c r="J208" i="3"/>
  <c r="K209" i="3"/>
  <c r="M193" i="3"/>
  <c r="N193" i="3" s="1"/>
  <c r="N191" i="3" s="1"/>
  <c r="L191" i="3"/>
  <c r="C227" i="3"/>
  <c r="C226" i="3"/>
  <c r="J211" i="3"/>
  <c r="F16" i="3"/>
  <c r="J142" i="3"/>
  <c r="K143" i="3"/>
  <c r="K152" i="3"/>
  <c r="K151" i="3" s="1"/>
  <c r="G68" i="3"/>
  <c r="K72" i="3"/>
  <c r="L153" i="3"/>
  <c r="H16" i="3"/>
  <c r="L157" i="3"/>
  <c r="L123" i="3"/>
  <c r="M123" i="3" s="1"/>
  <c r="N123" i="3" s="1"/>
  <c r="K121" i="3"/>
  <c r="K120" i="3" s="1"/>
  <c r="L90" i="3"/>
  <c r="L187" i="3"/>
  <c r="B130" i="3"/>
  <c r="E4" i="3"/>
  <c r="E19" i="3"/>
  <c r="E16" i="3"/>
  <c r="E10" i="3"/>
  <c r="L89" i="3"/>
  <c r="B6" i="3"/>
  <c r="L61" i="3"/>
  <c r="M61" i="3" s="1"/>
  <c r="N61" i="3" s="1"/>
  <c r="K59" i="3"/>
  <c r="K58" i="3" s="1"/>
  <c r="K41" i="3"/>
  <c r="D227" i="3"/>
  <c r="D226" i="3"/>
  <c r="I36" i="3"/>
  <c r="I5" i="3"/>
  <c r="E227" i="3"/>
  <c r="E226" i="3"/>
  <c r="K178" i="3"/>
  <c r="J176" i="3"/>
  <c r="K27" i="3"/>
  <c r="B36" i="3"/>
  <c r="M90" i="3"/>
  <c r="L185" i="3"/>
  <c r="M187" i="3"/>
  <c r="L219" i="3"/>
  <c r="E68" i="3"/>
  <c r="E67" i="3"/>
  <c r="E5" i="3"/>
  <c r="J80" i="3"/>
  <c r="K81" i="3"/>
  <c r="H10" i="3"/>
  <c r="C9" i="3"/>
  <c r="I37" i="3"/>
  <c r="J37" i="3" s="1"/>
  <c r="K37" i="3" s="1"/>
  <c r="L37" i="3" s="1"/>
  <c r="M37" i="3" s="1"/>
  <c r="N37" i="3" s="1"/>
  <c r="M126" i="3"/>
  <c r="H68" i="3"/>
  <c r="B15" i="3"/>
  <c r="C36" i="3"/>
  <c r="N180" i="3"/>
  <c r="M223" i="3"/>
  <c r="F227" i="3"/>
  <c r="F226" i="3"/>
  <c r="H18" i="3"/>
  <c r="E130" i="3"/>
  <c r="E129" i="3"/>
  <c r="G10" i="3"/>
  <c r="D129" i="3"/>
  <c r="D130" i="3"/>
  <c r="K174" i="3"/>
  <c r="J173" i="3"/>
  <c r="K50" i="3"/>
  <c r="F130" i="3"/>
  <c r="F129" i="3"/>
  <c r="L165" i="3"/>
  <c r="K24" i="3"/>
  <c r="K23" i="3" s="1"/>
  <c r="M60" i="3"/>
  <c r="G130" i="3"/>
  <c r="G129" i="3"/>
  <c r="C129" i="3"/>
  <c r="C130" i="3"/>
  <c r="K214" i="3"/>
  <c r="K213" i="3" s="1"/>
  <c r="L215" i="3"/>
  <c r="J21" i="3"/>
  <c r="J83" i="3"/>
  <c r="K134" i="3"/>
  <c r="I18" i="3"/>
  <c r="I19" i="3"/>
  <c r="L181" i="3"/>
  <c r="G15" i="3"/>
  <c r="G16" i="3"/>
  <c r="L25" i="3"/>
  <c r="M86" i="3"/>
  <c r="K124" i="3"/>
  <c r="L124" i="3" s="1"/>
  <c r="H129" i="3"/>
  <c r="G227" i="3"/>
  <c r="H226" i="3"/>
  <c r="G226" i="3"/>
  <c r="I9" i="3"/>
  <c r="N33" i="3"/>
  <c r="N86" i="3"/>
  <c r="E160" i="3"/>
  <c r="F195" i="3"/>
  <c r="F196" i="3"/>
  <c r="G195" i="3"/>
  <c r="G196" i="3"/>
  <c r="C16" i="3"/>
  <c r="M122"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I20" i="1"/>
  <c r="I64" i="1"/>
  <c r="I76" i="1" s="1"/>
  <c r="I94" i="1" s="1"/>
  <c r="B143" i="1"/>
  <c r="F143" i="1"/>
  <c r="C143" i="1"/>
  <c r="D143" i="1"/>
  <c r="E143" i="1"/>
  <c r="B164" i="1"/>
  <c r="B165" i="1" s="1"/>
  <c r="C164" i="1"/>
  <c r="C165" i="1" s="1"/>
  <c r="D164" i="1"/>
  <c r="D165" i="1" s="1"/>
  <c r="I143" i="1"/>
  <c r="E164" i="1"/>
  <c r="E165" i="1" s="1"/>
  <c r="L40" i="4" l="1"/>
  <c r="L190" i="3"/>
  <c r="J166" i="3"/>
  <c r="L121" i="3"/>
  <c r="L120" i="3" s="1"/>
  <c r="L63" i="4"/>
  <c r="L59" i="3"/>
  <c r="L58" i="3" s="1"/>
  <c r="M58" i="3" s="1"/>
  <c r="L222" i="3"/>
  <c r="L221" i="3" s="1"/>
  <c r="K63" i="4"/>
  <c r="M89" i="3"/>
  <c r="N89" i="3" s="1"/>
  <c r="J161" i="3"/>
  <c r="G20" i="1"/>
  <c r="H143" i="1"/>
  <c r="L186" i="3"/>
  <c r="M186" i="3" s="1"/>
  <c r="N186" i="3" s="1"/>
  <c r="N32" i="3"/>
  <c r="M191" i="3"/>
  <c r="M190" i="3" s="1"/>
  <c r="N190" i="3" s="1"/>
  <c r="M32" i="3"/>
  <c r="M31" i="3" s="1"/>
  <c r="H64" i="1"/>
  <c r="H76" i="1" s="1"/>
  <c r="H94" i="1" s="1"/>
  <c r="H96" i="1" s="1"/>
  <c r="I95" i="1" s="1"/>
  <c r="I96" i="1" s="1"/>
  <c r="I97" i="1" s="1"/>
  <c r="G143" i="1"/>
  <c r="N52" i="4"/>
  <c r="J12" i="4"/>
  <c r="J49" i="4" s="1"/>
  <c r="J50" i="4" s="1"/>
  <c r="L58" i="4"/>
  <c r="K12" i="4"/>
  <c r="K49" i="4" s="1"/>
  <c r="K50" i="4" s="1"/>
  <c r="L60" i="4"/>
  <c r="L15" i="4" s="1"/>
  <c r="K61" i="4"/>
  <c r="L51" i="4"/>
  <c r="L10" i="4" s="1"/>
  <c r="L11" i="4" s="1"/>
  <c r="M36" i="4"/>
  <c r="K21" i="3"/>
  <c r="J167" i="3"/>
  <c r="J168" i="3"/>
  <c r="F11" i="3"/>
  <c r="F7" i="3"/>
  <c r="F6" i="3"/>
  <c r="M95" i="3"/>
  <c r="L94" i="3"/>
  <c r="L93"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N122" i="3"/>
  <c r="N121" i="3" s="1"/>
  <c r="K83" i="3"/>
  <c r="L85" i="3"/>
  <c r="K49" i="3"/>
  <c r="L50" i="3"/>
  <c r="L41" i="3"/>
  <c r="B12" i="3"/>
  <c r="B13" i="3"/>
  <c r="L72" i="3"/>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N223" i="3"/>
  <c r="N222" i="3" s="1"/>
  <c r="M222" i="3"/>
  <c r="J22" i="3"/>
  <c r="J45" i="3"/>
  <c r="J3" i="3"/>
  <c r="J4" i="3" s="1"/>
  <c r="J35" i="3"/>
  <c r="J48" i="3"/>
  <c r="K173" i="3"/>
  <c r="L174" i="3"/>
  <c r="M125" i="3"/>
  <c r="M124" i="3" s="1"/>
  <c r="N124" i="3" s="1"/>
  <c r="N126" i="3"/>
  <c r="N125" i="3" s="1"/>
  <c r="L152" i="3"/>
  <c r="L151" i="3" s="1"/>
  <c r="M153" i="3"/>
  <c r="L63" i="3"/>
  <c r="L62" i="3" s="1"/>
  <c r="M64" i="3"/>
  <c r="K145" i="3"/>
  <c r="L147" i="3"/>
  <c r="D11" i="3"/>
  <c r="D6" i="3"/>
  <c r="D7" i="3"/>
  <c r="H97" i="1"/>
  <c r="M63" i="4" l="1"/>
  <c r="M120" i="3"/>
  <c r="N120" i="3" s="1"/>
  <c r="M221" i="3"/>
  <c r="M40" i="4"/>
  <c r="N31" i="3"/>
  <c r="N58" i="3"/>
  <c r="L12" i="4"/>
  <c r="L49" i="4" s="1"/>
  <c r="L50" i="4" s="1"/>
  <c r="N36" i="4"/>
  <c r="M51" i="4"/>
  <c r="M10" i="4" s="1"/>
  <c r="M11" i="4" s="1"/>
  <c r="M60" i="4"/>
  <c r="M15" i="4" s="1"/>
  <c r="L61" i="4"/>
  <c r="K14" i="4"/>
  <c r="M58" i="4"/>
  <c r="J14" i="4"/>
  <c r="L21" i="3"/>
  <c r="K207" i="3"/>
  <c r="K197" i="3" s="1"/>
  <c r="K194" i="3"/>
  <c r="K177" i="3"/>
  <c r="K204" i="3"/>
  <c r="K205" i="3" s="1"/>
  <c r="K146" i="3"/>
  <c r="K172" i="3"/>
  <c r="K162" i="3" s="1"/>
  <c r="K169" i="3"/>
  <c r="K170" i="3" s="1"/>
  <c r="L176" i="3"/>
  <c r="M63" i="3"/>
  <c r="M62" i="3" s="1"/>
  <c r="N64" i="3"/>
  <c r="N63" i="3" s="1"/>
  <c r="L208" i="3"/>
  <c r="M209" i="3"/>
  <c r="M72" i="3"/>
  <c r="M28" i="3"/>
  <c r="M27" i="3" s="1"/>
  <c r="N29" i="3"/>
  <c r="N28" i="3" s="1"/>
  <c r="M214" i="3"/>
  <c r="M213" i="3" s="1"/>
  <c r="N215" i="3"/>
  <c r="N214" i="3" s="1"/>
  <c r="L173" i="3"/>
  <c r="M174" i="3"/>
  <c r="N219" i="3"/>
  <c r="N218" i="3" s="1"/>
  <c r="M218" i="3"/>
  <c r="M217" i="3" s="1"/>
  <c r="N217" i="3" s="1"/>
  <c r="M41" i="3"/>
  <c r="F12" i="3"/>
  <c r="F13" i="3"/>
  <c r="N181" i="3"/>
  <c r="N179" i="3" s="1"/>
  <c r="M179" i="3"/>
  <c r="M178" i="3" s="1"/>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3" i="3"/>
  <c r="N152" i="3" s="1"/>
  <c r="N157" i="3"/>
  <c r="N156" i="3" s="1"/>
  <c r="M156" i="3"/>
  <c r="M155" i="3" s="1"/>
  <c r="M183" i="3"/>
  <c r="M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50" i="3"/>
  <c r="L49" i="3"/>
  <c r="N221" i="3"/>
  <c r="M85" i="3"/>
  <c r="L83" i="3"/>
  <c r="M134" i="3"/>
  <c r="J14" i="3"/>
  <c r="J53" i="4" s="1"/>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N40" i="4" l="1"/>
  <c r="N62" i="3"/>
  <c r="N63" i="4"/>
  <c r="N151" i="3"/>
  <c r="N27" i="3"/>
  <c r="J59" i="4"/>
  <c r="N155" i="3"/>
  <c r="N182" i="3"/>
  <c r="L14" i="4"/>
  <c r="M12" i="4"/>
  <c r="M49" i="4" s="1"/>
  <c r="M50" i="4" s="1"/>
  <c r="N51" i="4"/>
  <c r="N10" i="4" s="1"/>
  <c r="N11" i="4" s="1"/>
  <c r="J16" i="4"/>
  <c r="L16" i="4"/>
  <c r="M61" i="4"/>
  <c r="N60" i="4"/>
  <c r="N15" i="4" s="1"/>
  <c r="N58" i="4"/>
  <c r="K16" i="4"/>
  <c r="M21" i="3"/>
  <c r="N23" i="3"/>
  <c r="N213" i="3"/>
  <c r="N211" i="3" s="1"/>
  <c r="M211" i="3"/>
  <c r="N103" i="3"/>
  <c r="L146" i="3"/>
  <c r="L172" i="3"/>
  <c r="L162" i="3" s="1"/>
  <c r="L169" i="3"/>
  <c r="L170" i="3" s="1"/>
  <c r="M145" i="3"/>
  <c r="N147" i="3"/>
  <c r="M208" i="3"/>
  <c r="N209" i="3"/>
  <c r="N208" i="3" s="1"/>
  <c r="N50" i="3"/>
  <c r="N49" i="3" s="1"/>
  <c r="M49" i="3"/>
  <c r="M80" i="3"/>
  <c r="N81" i="3"/>
  <c r="N80" i="3" s="1"/>
  <c r="J234" i="3"/>
  <c r="J233" i="3"/>
  <c r="K98" i="3"/>
  <c r="K104" i="3"/>
  <c r="N41" i="3"/>
  <c r="K17" i="3"/>
  <c r="K38" i="3"/>
  <c r="K36" i="3"/>
  <c r="K42" i="3"/>
  <c r="K5" i="3"/>
  <c r="K67" i="3"/>
  <c r="K73" i="3"/>
  <c r="K14" i="3"/>
  <c r="K53" i="4" s="1"/>
  <c r="K59" i="4" s="1"/>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J11" i="3" l="1"/>
  <c r="J48" i="4"/>
  <c r="N145" i="3"/>
  <c r="N169" i="3" s="1"/>
  <c r="N21" i="3"/>
  <c r="L17" i="4"/>
  <c r="L62" i="4" s="1"/>
  <c r="L65" i="4" s="1"/>
  <c r="M5" i="5"/>
  <c r="J17" i="4"/>
  <c r="J62" i="4" s="1"/>
  <c r="J41" i="4" s="1"/>
  <c r="J45" i="4" s="1"/>
  <c r="K5" i="5"/>
  <c r="K17" i="4"/>
  <c r="K62" i="4" s="1"/>
  <c r="L5" i="5"/>
  <c r="M14" i="4"/>
  <c r="N61" i="4"/>
  <c r="N12" i="4"/>
  <c r="N49" i="4" s="1"/>
  <c r="N50" i="4" s="1"/>
  <c r="K18" i="4"/>
  <c r="L17" i="3"/>
  <c r="L38" i="3"/>
  <c r="L42" i="3" s="1"/>
  <c r="K15" i="3"/>
  <c r="K16" i="3"/>
  <c r="M207" i="3"/>
  <c r="M197" i="3" s="1"/>
  <c r="M177" i="3"/>
  <c r="M194" i="3"/>
  <c r="M204" i="3"/>
  <c r="M205" i="3" s="1"/>
  <c r="K7" i="3"/>
  <c r="K6" i="3"/>
  <c r="K11" i="3"/>
  <c r="N172" i="3"/>
  <c r="N162" i="3" s="1"/>
  <c r="N166" i="3" s="1"/>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8" i="4" s="1"/>
  <c r="K40" i="3"/>
  <c r="L229" i="3"/>
  <c r="L230" i="3"/>
  <c r="L232" i="3"/>
  <c r="N161" i="3"/>
  <c r="L104" i="3"/>
  <c r="L98" i="3"/>
  <c r="M107" i="3"/>
  <c r="M108" i="3" s="1"/>
  <c r="M110" i="3"/>
  <c r="M100" i="3" s="1"/>
  <c r="M97" i="3"/>
  <c r="M84" i="3"/>
  <c r="L73" i="3"/>
  <c r="L67" i="3"/>
  <c r="L14" i="3"/>
  <c r="L53" i="4" s="1"/>
  <c r="L59" i="4" s="1"/>
  <c r="L46" i="3"/>
  <c r="M66" i="3"/>
  <c r="M53" i="3"/>
  <c r="M76" i="3"/>
  <c r="M77" i="3" s="1"/>
  <c r="M79" i="3"/>
  <c r="M69" i="3" s="1"/>
  <c r="N131" i="3"/>
  <c r="L201" i="3"/>
  <c r="L195" i="3"/>
  <c r="L163" i="3"/>
  <c r="L164" i="3"/>
  <c r="L166" i="3"/>
  <c r="N212" i="3"/>
  <c r="N238" i="3"/>
  <c r="N228" i="3" s="1"/>
  <c r="N235" i="3"/>
  <c r="N227" i="3"/>
  <c r="N107" i="3"/>
  <c r="N110" i="3"/>
  <c r="N100" i="3" s="1"/>
  <c r="N84" i="3"/>
  <c r="N97" i="3"/>
  <c r="L36" i="3"/>
  <c r="L5" i="3"/>
  <c r="M128" i="3"/>
  <c r="M138" i="3"/>
  <c r="M139" i="3" s="1"/>
  <c r="M115" i="3"/>
  <c r="M141" i="3"/>
  <c r="M131" i="3" s="1"/>
  <c r="N45" i="3"/>
  <c r="N48" i="3"/>
  <c r="N38" i="3" s="1"/>
  <c r="N22" i="3"/>
  <c r="N3" i="3"/>
  <c r="N35" i="3"/>
  <c r="N207" i="3"/>
  <c r="N197" i="3" s="1"/>
  <c r="N177" i="3"/>
  <c r="N194" i="3"/>
  <c r="N204" i="3"/>
  <c r="K75" i="3"/>
  <c r="K74" i="3"/>
  <c r="N66" i="3"/>
  <c r="N53" i="3"/>
  <c r="N76" i="3"/>
  <c r="N79" i="3"/>
  <c r="N69" i="3" s="1"/>
  <c r="K19" i="3"/>
  <c r="K18" i="3"/>
  <c r="K234" i="3"/>
  <c r="K233" i="3"/>
  <c r="K106" i="3"/>
  <c r="K105" i="3"/>
  <c r="J13" i="3"/>
  <c r="J12" i="3"/>
  <c r="J9" i="3"/>
  <c r="J10" i="3"/>
  <c r="K202" i="3"/>
  <c r="K203" i="3"/>
  <c r="L70" i="3"/>
  <c r="L71" i="3"/>
  <c r="N128" i="3"/>
  <c r="N138" i="3"/>
  <c r="N141" i="3"/>
  <c r="N115" i="3"/>
  <c r="M45" i="3"/>
  <c r="M48" i="3"/>
  <c r="M22" i="3"/>
  <c r="M3" i="3"/>
  <c r="M4" i="3" s="1"/>
  <c r="M35" i="3"/>
  <c r="K6" i="5" l="1"/>
  <c r="K9" i="5"/>
  <c r="K10" i="5"/>
  <c r="K11" i="5"/>
  <c r="J18" i="4"/>
  <c r="K54" i="4"/>
  <c r="L15" i="5" s="1"/>
  <c r="K56" i="4"/>
  <c r="L18" i="4"/>
  <c r="J54" i="4"/>
  <c r="K15" i="5" s="1"/>
  <c r="J56" i="4"/>
  <c r="J26" i="4"/>
  <c r="K26" i="4" s="1"/>
  <c r="N146" i="3"/>
  <c r="O37" i="4"/>
  <c r="K41" i="4"/>
  <c r="N108" i="3"/>
  <c r="N205" i="3"/>
  <c r="N139" i="3"/>
  <c r="J65" i="4"/>
  <c r="J43" i="4"/>
  <c r="N56" i="4"/>
  <c r="N54" i="4"/>
  <c r="O15" i="5" s="1"/>
  <c r="K65" i="4"/>
  <c r="N14" i="4"/>
  <c r="M16" i="4"/>
  <c r="N102" i="3"/>
  <c r="N101" i="3"/>
  <c r="N40" i="3"/>
  <c r="N8" i="3"/>
  <c r="N48" i="4" s="1"/>
  <c r="L106" i="3"/>
  <c r="L105" i="3"/>
  <c r="N170" i="3"/>
  <c r="N98" i="3"/>
  <c r="N104" i="3"/>
  <c r="M73" i="3"/>
  <c r="M67" i="3"/>
  <c r="M17" i="3"/>
  <c r="M38" i="3"/>
  <c r="M42" i="3" s="1"/>
  <c r="L6" i="3"/>
  <c r="L7" i="3"/>
  <c r="L137" i="3"/>
  <c r="L136" i="3"/>
  <c r="N132" i="3"/>
  <c r="N133" i="3"/>
  <c r="K12" i="3"/>
  <c r="K13" i="3"/>
  <c r="N36" i="3"/>
  <c r="N42" i="3"/>
  <c r="N5" i="3"/>
  <c r="N4" i="3"/>
  <c r="M201" i="3"/>
  <c r="M195" i="3"/>
  <c r="N46" i="3"/>
  <c r="N14" i="3"/>
  <c r="N53" i="4" s="1"/>
  <c r="N59" i="4" s="1"/>
  <c r="M163" i="3"/>
  <c r="M164" i="3"/>
  <c r="M166" i="3"/>
  <c r="N167" i="3" s="1"/>
  <c r="L202" i="3"/>
  <c r="L203" i="3"/>
  <c r="M70" i="3"/>
  <c r="M71" i="3"/>
  <c r="N236" i="3"/>
  <c r="L74" i="3"/>
  <c r="L75" i="3"/>
  <c r="M104" i="3"/>
  <c r="M98" i="3"/>
  <c r="N168" i="3"/>
  <c r="N163" i="3"/>
  <c r="N164" i="3"/>
  <c r="M36" i="3"/>
  <c r="M5" i="3"/>
  <c r="N198" i="3"/>
  <c r="N199" i="3"/>
  <c r="M230" i="3"/>
  <c r="M232" i="3"/>
  <c r="M229" i="3"/>
  <c r="L16" i="3"/>
  <c r="L15" i="3"/>
  <c r="M14" i="3"/>
  <c r="M53" i="4" s="1"/>
  <c r="M59" i="4" s="1"/>
  <c r="M46" i="3"/>
  <c r="M198" i="3"/>
  <c r="M199" i="3"/>
  <c r="N77" i="3"/>
  <c r="L167" i="3"/>
  <c r="L168" i="3"/>
  <c r="M102" i="3"/>
  <c r="M101" i="3"/>
  <c r="L39" i="3"/>
  <c r="L40" i="3"/>
  <c r="L8" i="3"/>
  <c r="L48" i="4" s="1"/>
  <c r="N73" i="3"/>
  <c r="N67" i="3"/>
  <c r="M129" i="3"/>
  <c r="M135" i="3"/>
  <c r="N70" i="3"/>
  <c r="N71" i="3"/>
  <c r="L44" i="3"/>
  <c r="L43" i="3"/>
  <c r="L234" i="3"/>
  <c r="L233" i="3"/>
  <c r="N201" i="3"/>
  <c r="N195" i="3"/>
  <c r="K9" i="3"/>
  <c r="K10" i="3"/>
  <c r="N230" i="3"/>
  <c r="N232" i="3"/>
  <c r="N229" i="3"/>
  <c r="N17" i="3"/>
  <c r="M132" i="3"/>
  <c r="M133" i="3"/>
  <c r="N135" i="3"/>
  <c r="N129" i="3"/>
  <c r="L19" i="3"/>
  <c r="L18" i="3"/>
  <c r="L16" i="5" l="1"/>
  <c r="L24" i="5"/>
  <c r="O24" i="5"/>
  <c r="J67" i="4"/>
  <c r="J69" i="4" s="1"/>
  <c r="J71" i="4" s="1"/>
  <c r="L41" i="4"/>
  <c r="K45" i="4"/>
  <c r="L54" i="4"/>
  <c r="M15" i="5" s="1"/>
  <c r="L56" i="4"/>
  <c r="L67" i="4" s="1"/>
  <c r="K16" i="5"/>
  <c r="K24" i="5"/>
  <c r="K43" i="4"/>
  <c r="K67" i="4"/>
  <c r="L26" i="4"/>
  <c r="M17" i="4"/>
  <c r="M62" i="4" s="1"/>
  <c r="N5" i="5"/>
  <c r="K68" i="4"/>
  <c r="K69" i="4" s="1"/>
  <c r="K71" i="4" s="1"/>
  <c r="J21" i="4"/>
  <c r="J70" i="4"/>
  <c r="N16" i="4"/>
  <c r="N15" i="3"/>
  <c r="N16" i="3"/>
  <c r="M40" i="3"/>
  <c r="M8" i="3"/>
  <c r="M39" i="3"/>
  <c r="M16" i="3"/>
  <c r="M15" i="3"/>
  <c r="N6" i="3"/>
  <c r="N7" i="3"/>
  <c r="N11" i="3"/>
  <c r="L10" i="3"/>
  <c r="L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M16" i="5" l="1"/>
  <c r="M24" i="5"/>
  <c r="L45" i="4"/>
  <c r="L43" i="4"/>
  <c r="M41" i="4"/>
  <c r="M45" i="4" s="1"/>
  <c r="L6" i="5"/>
  <c r="L9" i="5"/>
  <c r="L10" i="5"/>
  <c r="L11" i="5"/>
  <c r="N9" i="3"/>
  <c r="M48" i="4"/>
  <c r="M26" i="4" s="1"/>
  <c r="N26" i="4" s="1"/>
  <c r="N17" i="4"/>
  <c r="N62" i="4" s="1"/>
  <c r="O5" i="5"/>
  <c r="J31" i="4"/>
  <c r="J44" i="4" s="1"/>
  <c r="K4" i="5"/>
  <c r="M18" i="4"/>
  <c r="M65" i="4"/>
  <c r="M43" i="4"/>
  <c r="N18" i="4"/>
  <c r="L68" i="4"/>
  <c r="L69" i="4" s="1"/>
  <c r="L71" i="4" s="1"/>
  <c r="K21" i="4"/>
  <c r="K70" i="4"/>
  <c r="M9" i="3"/>
  <c r="M10" i="3"/>
  <c r="N13" i="3"/>
  <c r="M11" i="3"/>
  <c r="L12" i="3"/>
  <c r="L13" i="3"/>
  <c r="M6" i="5" l="1"/>
  <c r="M10" i="5"/>
  <c r="M9" i="5"/>
  <c r="M11" i="5"/>
  <c r="M54" i="4"/>
  <c r="N15" i="5" s="1"/>
  <c r="M56" i="4"/>
  <c r="N6" i="5"/>
  <c r="N10" i="5"/>
  <c r="N9" i="5"/>
  <c r="N11" i="5"/>
  <c r="N41" i="4"/>
  <c r="N45" i="4" s="1"/>
  <c r="M67" i="4"/>
  <c r="K8" i="5"/>
  <c r="K7" i="5"/>
  <c r="K31" i="4"/>
  <c r="K44" i="4" s="1"/>
  <c r="L4" i="5"/>
  <c r="M68" i="4"/>
  <c r="L21" i="4"/>
  <c r="L70" i="4"/>
  <c r="N65" i="4"/>
  <c r="N67" i="4" s="1"/>
  <c r="M12" i="3"/>
  <c r="M13" i="3"/>
  <c r="N12" i="3"/>
  <c r="O6" i="5" l="1"/>
  <c r="O10" i="5"/>
  <c r="O9" i="5"/>
  <c r="O11" i="5"/>
  <c r="M69" i="4"/>
  <c r="M71" i="4" s="1"/>
  <c r="N43" i="4"/>
  <c r="N16" i="5"/>
  <c r="J16" i="5" s="1"/>
  <c r="N24" i="5"/>
  <c r="O16" i="5"/>
  <c r="L7" i="5"/>
  <c r="L8" i="5"/>
  <c r="L31" i="4"/>
  <c r="L44" i="4" s="1"/>
  <c r="M4" i="5"/>
  <c r="M70" i="4"/>
  <c r="P15" i="5" l="1"/>
  <c r="N68" i="4"/>
  <c r="N69" i="4" s="1"/>
  <c r="N71" i="4" s="1"/>
  <c r="M21" i="4"/>
  <c r="M8" i="5"/>
  <c r="M7" i="5"/>
  <c r="M31" i="4"/>
  <c r="M44" i="4" s="1"/>
  <c r="N4" i="5"/>
  <c r="N21" i="4"/>
  <c r="N70" i="4"/>
  <c r="P24" i="5" l="1"/>
  <c r="Q15" i="5"/>
  <c r="P16" i="5"/>
  <c r="N8" i="5"/>
  <c r="N7" i="5"/>
  <c r="N31" i="4"/>
  <c r="N44" i="4" s="1"/>
  <c r="O4" i="5"/>
  <c r="J1" i="4"/>
  <c r="K1" i="4" s="1"/>
  <c r="L1" i="4" s="1"/>
  <c r="M1" i="4" s="1"/>
  <c r="N1" i="4" s="1"/>
  <c r="H1" i="4"/>
  <c r="G1" i="4" s="1"/>
  <c r="F1" i="4" s="1"/>
  <c r="E1" i="4" s="1"/>
  <c r="D1" i="4" s="1"/>
  <c r="C1" i="4" s="1"/>
  <c r="B1" i="4" s="1"/>
  <c r="Q24" i="5" l="1"/>
  <c r="Q16" i="5"/>
  <c r="R15" i="5"/>
  <c r="O8" i="5"/>
  <c r="O7" i="5"/>
  <c r="A51" i="3"/>
  <c r="R24" i="5" l="1"/>
  <c r="S15" i="5"/>
  <c r="R16" i="5"/>
  <c r="A20" i="3"/>
  <c r="J1" i="3"/>
  <c r="K1" i="3" s="1"/>
  <c r="L1" i="3" s="1"/>
  <c r="M1" i="3" s="1"/>
  <c r="N1" i="3" s="1"/>
  <c r="H1" i="3"/>
  <c r="G1" i="3" s="1"/>
  <c r="F1" i="3" s="1"/>
  <c r="E1" i="3" s="1"/>
  <c r="D1" i="3" s="1"/>
  <c r="C1" i="3" s="1"/>
  <c r="B1" i="3" s="1"/>
  <c r="S24" i="5" l="1"/>
  <c r="S16" i="5"/>
  <c r="T15" i="5"/>
  <c r="H1" i="1"/>
  <c r="G1" i="1" s="1"/>
  <c r="F1" i="1" s="1"/>
  <c r="E1" i="1" s="1"/>
  <c r="D1" i="1" s="1"/>
  <c r="C1" i="1" s="1"/>
  <c r="B1" i="1" s="1"/>
  <c r="U15" i="5" l="1"/>
  <c r="B28" i="5" s="1"/>
  <c r="T24" i="5"/>
  <c r="B27" i="5" s="1"/>
  <c r="B29" i="5" s="1"/>
  <c r="B31" i="5" s="1"/>
  <c r="B32" i="5" s="1"/>
  <c r="T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<sst xmlns="http://schemas.openxmlformats.org/spreadsheetml/2006/main" count="418" uniqueCount="282">
  <si>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</si>
  <si>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</si>
  <si>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</si>
  <si>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</si>
  <si>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</si>
  <si>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</si>
  <si>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</si>
  <si>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</si>
  <si>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</si>
  <si>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</si>
  <si>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</si>
  <si>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</si>
  <si>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</si>
  <si>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</si>
  <si>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</si>
  <si>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</si>
  <si>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</si>
  <si>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</si>
  <si>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</si>
  <si>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</si>
  <si>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</si>
  <si>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</si>
  <si>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</si>
  <si>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</si>
  <si>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</si>
  <si>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</si>
  <si>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</si>
  <si>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</si>
  <si>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</si>
  <si>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</si>
  <si>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</si>
  <si>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</si>
  <si>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</si>
  <si>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</si>
  <si>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</si>
  <si>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</si>
  <si>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</si>
  <si>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</si>
  <si>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</si>
  <si>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</si>
  <si>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</si>
  <si>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</si>
  <si>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</si>
  <si>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</si>
  <si>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</si>
  <si>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</si>
  <si>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</si>
  <si>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</si>
  <si>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</si>
  <si>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</si>
  <si>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</si>
  <si>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</si>
  <si>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</si>
  <si>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</si>
  <si>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</si>
  <si>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</si>
  <si>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</si>
  <si>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</si>
  <si>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</si>
  <si>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</si>
  <si>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</si>
  <si>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</si>
  <si>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</si>
  <si>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</si>
  <si>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</si>
  <si>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</si>
  <si>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</si>
  <si>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</si>
  <si>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</si>
  <si>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</si>
  <si>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</si>
  <si>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</si>
  <si>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</si>
  <si>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</si>
  <si>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</si>
  <si>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</si>
  <si>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</si>
  <si>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</si>
  <si>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</si>
  <si>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</si>
  <si>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</si>
  <si>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</si>
  <si>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</si>
  <si>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</si>
  <si>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</si>
  <si>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</si>
  <si>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</si>
  <si>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</si>
  <si>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</si>
  <si>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</si>
  <si>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</si>
  <si>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</si>
  <si>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</si>
  <si>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</si>
  <si>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</si>
  <si>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</si>
  <si>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</si>
  <si>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</si>
  <si>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</si>
  <si>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</si>
  <si>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</si>
  <si>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</si>
  <si>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</si>
  <si>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</si>
  <si>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</si>
  <si>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</si>
  <si>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</si>
  <si>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</si>
  <si>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</si>
  <si>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</si>
  <si>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</si>
  <si>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</si>
  <si>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</si>
  <si>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</si>
  <si>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</si>
  <si>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</si>
  <si>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</si>
  <si>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</si>
  <si>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</si>
  <si>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</si>
  <si>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</si>
  <si>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</si>
  <si>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</si>
  <si>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</si>
  <si>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</si>
  <si>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</si>
  <si>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</si>
  <si>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</si>
  <si>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</si>
  <si>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</si>
  <si>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</si>
  <si>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</si>
  <si>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</si>
  <si>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</si>
  <si>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</si>
  <si>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</si>
  <si>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</si>
  <si>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</si>
  <si>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</si>
  <si>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</si>
  <si>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</si>
  <si>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</si>
  <si>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</si>
  <si>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</si>
  <si>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</si>
  <si>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</si>
  <si>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</si>
  <si>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</si>
  <si>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</si>
  <si>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</si>
  <si>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</si>
  <si>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</si>
  <si>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</si>
  <si>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</si>
  <si>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</si>
  <si>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</si>
  <si>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</si>
  <si>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</si>
  <si>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</si>
  <si>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</si>
  <si>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</si>
  <si>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</si>
  <si>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</si>
  <si>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</si>
  <si>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</si>
  <si>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</si>
  <si>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</si>
  <si>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</si>
  <si>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</si>
  <si>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</si>
  <si>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</si>
  <si>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</si>
  <si>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</si>
  <si>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</si>
  <si>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</si>
  <si>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</si>
  <si>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</si>
  <si>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</si>
  <si>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</si>
  <si>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</si>
  <si>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</si>
  <si>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</si>
  <si>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</si>
  <si>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</si>
  <si>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</si>
  <si>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</si>
  <si>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</si>
  <si>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</si>
  <si>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</si>
  <si>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</si>
  <si>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</si>
  <si>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</si>
  <si>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</si>
  <si>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</si>
  <si>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</si>
  <si>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</si>
  <si>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</si>
  <si>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</si>
  <si>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</si>
  <si>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</si>
  <si>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</si>
  <si>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</si>
  <si>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</si>
  <si>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</si>
  <si>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</si>
  <si>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</si>
  <si>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</si>
  <si>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</si>
  <si>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</si>
  <si>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</si>
  <si>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</si>
  <si>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</si>
  <si>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</si>
  <si>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</si>
  <si>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</si>
  <si>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</si>
  <si>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</si>
  <si>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</si>
  <si>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</si>
  <si>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</si>
  <si>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</si>
  <si>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</si>
  <si>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</si>
  <si>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</si>
  <si>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</si>
  <si>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</si>
  <si>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</si>
  <si>
    <t>Remove external link</t>
  </si>
  <si>
    <t>Opening balance + Capex - D&amp;A</t>
  </si>
  <si>
    <t xml:space="preserve">Remove row 33 from this </t>
  </si>
  <si>
    <t>Should be linked to Segmental forecast</t>
  </si>
  <si>
    <t>Opening Retained earnings + Net income - Dividends paid - Shares repurchased</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</si>
  <si>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</si>
  <si>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</si>
  <si>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</si>
  <si>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</si>
  <si>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</si>
  <si>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</si>
  <si>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</si>
  <si>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</si>
  <si>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</si>
  <si>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</si>
  <si>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</si>
  <si>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</si>
  <si>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</si>
  <si>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</si>
  <si>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</si>
  <si>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</si>
  <si>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</si>
  <si>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Cost of Equity</t>
  </si>
  <si>
    <t>CAPM</t>
  </si>
  <si>
    <t>Rf</t>
  </si>
  <si>
    <t>https://www.treasury.gov/resource-center/data-chart-center/interest-rates/Pages/TextView.aspx?data=longtermrate</t>
  </si>
  <si>
    <t>Rm</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</si>
  <si>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</si>
  <si>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</si>
  <si>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</si>
  <si>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</si>
  <si>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</si>
  <si>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</si>
  <si>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</si>
  <si>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</si>
  <si>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</si>
  <si>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</si>
  <si>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</si>
  <si>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</si>
  <si>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</si>
  <si>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</si>
  <si>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</si>
  <si>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</si>
  <si>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</si>
  <si>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book value</t>
  </si>
  <si>
    <t>Source from a financial website (5Y monthly beta from yahoo finance)</t>
  </si>
  <si>
    <t>Calculate from Income statement sheet (2022 values)</t>
  </si>
  <si>
    <t>weight of debt</t>
  </si>
  <si>
    <t>weight of equity</t>
  </si>
  <si>
    <t>terminal G rate assumed 10% (less than WACC)</t>
  </si>
  <si>
    <t xml:space="preserve">2023 growth rate not inlcuded due to being outlier </t>
  </si>
  <si>
    <t>Link this to cell I10 from above</t>
  </si>
  <si>
    <t>Calculate discounted termanl value as well</t>
  </si>
  <si>
    <t>TV should be discounted</t>
  </si>
  <si>
    <t>Taper down growth rate to less than 10% (its not high growth phase anymore)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</si>
</sst>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_(* \(#,##0\);_(* &quot;-&quot;??_);_(@_)"/>
    <numFmt numFmtId="166" formatCode="0.0%"/>
    <numFmt numFmtId="167" formatCode="\$\ #,##0"/>
    <numFmt numFmtId="168" formatCode="\$\ 0"/>
    <numFmt numFmtId="169" formatCode="0_);\(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
      <u/>
      <sz val="11"/>
      <color theme="10"/>
      <name val="Calibri"/>
      <family val="2"/>
      <scheme val="minor"/>
    </font>
    <font>
      <sz val="9"/>
      <color theme="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12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164" fontId="0" fillId="0" borderId="0" xfId="0" applyNumberFormat="1"/>
    <xf numFmtId="0" fontId="0" fillId="9" borderId="0" xfId="0" applyFill="1" applyAlignment="1">
      <alignment horizontal="left" indent="1"/>
    </xf>
    <xf numFmtId="0" fontId="6" fillId="2" borderId="0" xfId="0" applyFont="1" applyFill="1" applyAlignment="1">
      <alignment vertical="center" wrapText="1"/>
    </xf>
    <xf numFmtId="0" fontId="6" fillId="2" borderId="0" xfId="0" applyFont="1" applyFill="1" applyAlignment="1">
      <alignment wrapText="1"/>
    </xf>
    <xf numFmtId="0" fontId="6" fillId="10" borderId="0" xfId="0" applyFont="1" applyFill="1" applyAlignment="1">
      <alignment horizontal="right"/>
    </xf>
    <xf numFmtId="0" fontId="6" fillId="10" borderId="0" xfId="0" applyFont="1" applyFill="1" applyAlignment="1">
      <alignment horizontal="right" wrapText="1"/>
    </xf>
    <xf numFmtId="0" fontId="0" fillId="11" borderId="0" xfId="0" applyFill="1"/>
    <xf numFmtId="166" fontId="0" fillId="0" borderId="0" xfId="2" applyNumberFormat="1" applyFont="1"/>
    <xf numFmtId="10" fontId="13" fillId="0" borderId="0" xfId="2" applyNumberFormat="1" applyFont="1" applyBorder="1" applyAlignment="1">
      <alignment horizontal="left"/>
    </xf>
    <xf numFmtId="10" fontId="21" fillId="0" borderId="0" xfId="1" applyNumberFormat="1" applyFont="1" applyBorder="1" applyAlignment="1">
      <alignment horizontal="right"/>
    </xf>
    <xf numFmtId="10" fontId="21" fillId="0" borderId="0" xfId="2" applyNumberFormat="1" applyFont="1" applyBorder="1"/>
    <xf numFmtId="0" fontId="21" fillId="12" borderId="0" xfId="0" applyFont="1" applyFill="1"/>
    <xf numFmtId="0" fontId="21" fillId="0" borderId="0" xfId="0" applyFont="1"/>
    <xf numFmtId="166" fontId="0" fillId="0" borderId="0" xfId="2" applyNumberFormat="1" applyFont="1" applyFill="1"/>
    <xf numFmtId="0" fontId="20" fillId="0" borderId="0" xfId="6" applyAlignment="1">
      <alignment horizontal="left" indent="1"/>
    </xf>
    <xf numFmtId="0" fontId="0" fillId="0" borderId="7" xfId="0" applyBorder="1"/>
    <xf numFmtId="0" fontId="0" fillId="0" borderId="9" xfId="0" applyBorder="1"/>
    <xf numFmtId="0" fontId="0" fillId="0" borderId="10" xfId="0" applyBorder="1"/>
    <xf numFmtId="0" fontId="0" fillId="0" borderId="11" xfId="0" applyBorder="1"/>
    <xf numFmtId="0" fontId="0" fillId="0" borderId="0" xfId="0" applyAlignment="1">
      <alignment horizontal="left" wrapText="1"/>
    </xf>
    <xf numFmtId="0" fontId="0" fillId="9" borderId="0" xfId="0" applyFill="1" applyAlignment="1">
      <alignment horizontal="left" wrapText="1"/>
    </xf>
    <xf numFmtId="0" fontId="20" fillId="9" borderId="0" xfId="6" applyFill="1" applyAlignment="1">
      <alignment horizontal="left" wrapText="1"/>
    </xf>
    <xf numFmtId="164" fontId="0" fillId="0" borderId="0" xfId="2" applyNumberFormat="1" applyFont="1"/>
    <xf numFmtId="14" fontId="0" fillId="0" borderId="0" xfId="0" applyNumberFormat="1" applyAlignment="1">
      <alignment vertical="center" wrapText="1"/>
    </xf>
    <xf numFmtId="4" fontId="0" fillId="0" borderId="0" xfId="0" applyNumberFormat="1"/>
    <xf numFmtId="4" fontId="0" fillId="0" borderId="0" xfId="0" applyNumberFormat="1" applyAlignment="1">
      <alignment vertical="center" wrapText="1" readingOrder="1"/>
    </xf>
    <xf numFmtId="4" fontId="0" fillId="0" borderId="0" xfId="0" applyNumberFormat="1" applyAlignment="1">
      <alignment vertical="center" wrapText="1"/>
    </xf>
    <xf numFmtId="0" fontId="0" fillId="0" borderId="0" xfId="0" applyAlignment="1">
      <alignment vertical="center" wrapText="1"/>
    </xf>
    <xf numFmtId="10" fontId="0" fillId="0" borderId="0" xfId="0" applyNumberFormat="1" applyAlignment="1">
      <alignment vertical="center" wrapText="1" readingOrder="1"/>
    </xf>
    <xf numFmtId="10" fontId="0" fillId="0" borderId="0" xfId="2" applyNumberFormat="1" applyFont="1" applyFill="1"/>
    <xf numFmtId="2" fontId="21" fillId="0" borderId="0" xfId="0" applyNumberFormat="1" applyFont="1"/>
    <xf numFmtId="10" fontId="0" fillId="0" borderId="0" xfId="2" applyNumberFormat="1" applyFont="1"/>
    <xf numFmtId="165" fontId="0" fillId="0" borderId="8" xfId="0" applyNumberFormat="1" applyBorder="1"/>
    <xf numFmtId="164" fontId="0" fillId="0" borderId="10" xfId="0" applyNumberFormat="1" applyBorder="1"/>
    <xf numFmtId="165" fontId="0" fillId="0" borderId="10" xfId="0" applyNumberFormat="1" applyBorder="1"/>
    <xf numFmtId="164" fontId="0" fillId="0" borderId="12" xfId="0" applyNumberFormat="1" applyBorder="1"/>
    <xf numFmtId="10" fontId="21" fillId="9" borderId="0" xfId="2" applyNumberFormat="1" applyFont="1" applyFill="1" applyBorder="1"/>
  </cellXfs>
  <cellStyles count="7">
    <cellStyle name="60% - Accent1" xfId="5" builtinId="32"/>
    <cellStyle name="Accent1" xfId="4" builtinId="29"/>
    <cellStyle name="Comma" xfId="1" builtinId="3"/>
    <cellStyle name="Comma 2" xfId="3" xr:uid="{00000000-0005-0000-0000-000003000000}"/>
    <cellStyle name="Hyperlink 2" xfId="6" xr:uid="{0AF67D1E-24D9-4F1D-A096-77351A8C84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Users/syoos/Downloads/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61">
        <v>4466</v>
      </c>
      <c r="G25" s="62">
        <v>8348</v>
      </c>
      <c r="H25" s="3">
        <v>9889</v>
      </c>
      <c r="I25" s="3">
        <v>8574</v>
      </c>
    </row>
    <row r="26" spans="1:9" x14ac:dyDescent="0.3">
      <c r="A26" s="11" t="s">
        <v>33</v>
      </c>
      <c r="B26" s="3">
        <v>2072</v>
      </c>
      <c r="C26" s="3">
        <v>2319</v>
      </c>
      <c r="D26" s="3">
        <v>2371</v>
      </c>
      <c r="E26" s="3">
        <v>996</v>
      </c>
      <c r="F26" s="63">
        <v>197</v>
      </c>
      <c r="G26" s="64">
        <v>439</v>
      </c>
      <c r="H26" s="3">
        <v>3587</v>
      </c>
      <c r="I26" s="3">
        <v>4423</v>
      </c>
    </row>
    <row r="27" spans="1:9" x14ac:dyDescent="0.3">
      <c r="A27" s="11" t="s">
        <v>34</v>
      </c>
      <c r="B27" s="3">
        <v>3358</v>
      </c>
      <c r="C27" s="3">
        <v>3241</v>
      </c>
      <c r="D27" s="3">
        <v>3677</v>
      </c>
      <c r="E27" s="3">
        <v>3498</v>
      </c>
      <c r="F27" s="65">
        <v>4272</v>
      </c>
      <c r="G27" s="66">
        <v>2749</v>
      </c>
      <c r="H27" s="3">
        <v>4463</v>
      </c>
      <c r="I27" s="3">
        <v>4667</v>
      </c>
    </row>
    <row r="28" spans="1:9" x14ac:dyDescent="0.3">
      <c r="A28" s="11" t="s">
        <v>35</v>
      </c>
      <c r="B28" s="3">
        <v>4337</v>
      </c>
      <c r="C28" s="3">
        <v>4838</v>
      </c>
      <c r="D28" s="3">
        <v>5055</v>
      </c>
      <c r="E28" s="3">
        <v>5261</v>
      </c>
      <c r="F28" s="65">
        <v>5622</v>
      </c>
      <c r="G28" s="66">
        <v>7367</v>
      </c>
      <c r="H28" s="3">
        <v>6854</v>
      </c>
      <c r="I28" s="3">
        <v>8420</v>
      </c>
    </row>
    <row r="29" spans="1:9" x14ac:dyDescent="0.3">
      <c r="A29" s="11" t="s">
        <v>36</v>
      </c>
      <c r="B29" s="3">
        <v>1968</v>
      </c>
      <c r="C29" s="3">
        <v>1489</v>
      </c>
      <c r="D29" s="3">
        <v>1150</v>
      </c>
      <c r="E29" s="3">
        <v>1130</v>
      </c>
      <c r="F29" s="67">
        <v>1968</v>
      </c>
      <c r="G29" s="6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65">
        <v>4744</v>
      </c>
      <c r="G31" s="66">
        <v>4866</v>
      </c>
      <c r="H31" s="3">
        <v>4904</v>
      </c>
      <c r="I31" s="3">
        <v>4791</v>
      </c>
    </row>
    <row r="32" spans="1:9" x14ac:dyDescent="0.3">
      <c r="A32" s="2" t="s">
        <v>38</v>
      </c>
      <c r="B32" s="3"/>
      <c r="C32" s="3"/>
      <c r="D32" s="3">
        <v>0</v>
      </c>
      <c r="E32" s="3">
        <v>0</v>
      </c>
      <c r="F32" s="3">
        <v>0</v>
      </c>
      <c r="G32" s="66">
        <v>3097</v>
      </c>
      <c r="H32" s="3">
        <v>3113</v>
      </c>
      <c r="I32" s="3">
        <v>2926</v>
      </c>
    </row>
    <row r="33" spans="1:9" x14ac:dyDescent="0.3">
      <c r="A33" s="2" t="s">
        <v>39</v>
      </c>
      <c r="B33" s="3">
        <v>281</v>
      </c>
      <c r="C33" s="3">
        <v>281</v>
      </c>
      <c r="D33" s="3">
        <v>283</v>
      </c>
      <c r="E33" s="3">
        <v>285</v>
      </c>
      <c r="F33" s="63">
        <v>283</v>
      </c>
      <c r="G33" s="64">
        <v>274</v>
      </c>
      <c r="H33" s="3">
        <v>269</v>
      </c>
      <c r="I33" s="3">
        <v>286</v>
      </c>
    </row>
    <row r="34" spans="1:9" x14ac:dyDescent="0.3">
      <c r="A34" s="2" t="s">
        <v>40</v>
      </c>
      <c r="B34" s="3">
        <v>131</v>
      </c>
      <c r="C34" s="3">
        <v>131</v>
      </c>
      <c r="D34" s="3">
        <v>139</v>
      </c>
      <c r="E34" s="3">
        <v>154</v>
      </c>
      <c r="F34" s="63">
        <v>154</v>
      </c>
      <c r="G34" s="64">
        <v>223</v>
      </c>
      <c r="H34" s="3">
        <v>242</v>
      </c>
      <c r="I34" s="3">
        <v>284</v>
      </c>
    </row>
    <row r="35" spans="1:9" x14ac:dyDescent="0.3">
      <c r="A35" s="2" t="s">
        <v>41</v>
      </c>
      <c r="B35" s="3">
        <v>2587</v>
      </c>
      <c r="C35" s="3">
        <v>2439</v>
      </c>
      <c r="D35" s="3">
        <v>2787</v>
      </c>
      <c r="E35" s="3">
        <v>2509</v>
      </c>
      <c r="F35" s="67">
        <v>2011</v>
      </c>
      <c r="G35" s="68">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69">
        <v>6</v>
      </c>
      <c r="G39" s="70">
        <v>3</v>
      </c>
      <c r="H39" s="3">
        <v>0</v>
      </c>
      <c r="I39" s="3">
        <v>500</v>
      </c>
    </row>
    <row r="40" spans="1:9" x14ac:dyDescent="0.3">
      <c r="A40" s="11" t="s">
        <v>46</v>
      </c>
      <c r="B40" s="3">
        <v>74</v>
      </c>
      <c r="C40" s="3">
        <v>1</v>
      </c>
      <c r="D40" s="3">
        <v>325</v>
      </c>
      <c r="E40" s="3">
        <v>336</v>
      </c>
      <c r="F40" s="63">
        <v>9</v>
      </c>
      <c r="G40" s="64">
        <v>248</v>
      </c>
      <c r="H40" s="3">
        <v>2</v>
      </c>
      <c r="I40" s="3">
        <v>10</v>
      </c>
    </row>
    <row r="41" spans="1:9" x14ac:dyDescent="0.3">
      <c r="A41" s="11" t="s">
        <v>11</v>
      </c>
      <c r="B41" s="3">
        <v>2131</v>
      </c>
      <c r="C41" s="3">
        <v>2191</v>
      </c>
      <c r="D41" s="3">
        <v>2048</v>
      </c>
      <c r="E41" s="3">
        <v>2279</v>
      </c>
      <c r="F41" s="65">
        <v>2612</v>
      </c>
      <c r="G41" s="66">
        <v>2248</v>
      </c>
      <c r="H41" s="3">
        <v>2836</v>
      </c>
      <c r="I41" s="3">
        <v>3358</v>
      </c>
    </row>
    <row r="42" spans="1:9" x14ac:dyDescent="0.3">
      <c r="A42" s="11" t="s">
        <v>47</v>
      </c>
      <c r="B42" s="3"/>
      <c r="C42" s="3"/>
      <c r="D42" s="3"/>
      <c r="E42" s="3"/>
      <c r="F42" s="71">
        <v>0</v>
      </c>
      <c r="G42" s="64">
        <v>445</v>
      </c>
      <c r="H42" s="3">
        <v>467</v>
      </c>
      <c r="I42" s="3">
        <v>420</v>
      </c>
    </row>
    <row r="43" spans="1:9" x14ac:dyDescent="0.3">
      <c r="A43" s="11" t="s">
        <v>12</v>
      </c>
      <c r="B43" s="3">
        <v>3949</v>
      </c>
      <c r="C43" s="3">
        <v>3037</v>
      </c>
      <c r="D43" s="3">
        <v>3011</v>
      </c>
      <c r="E43" s="3">
        <v>3269</v>
      </c>
      <c r="F43" s="65">
        <v>5010</v>
      </c>
      <c r="G43" s="66">
        <v>5184</v>
      </c>
      <c r="H43" s="3">
        <v>6063</v>
      </c>
      <c r="I43" s="3">
        <v>6220</v>
      </c>
    </row>
    <row r="44" spans="1:9" x14ac:dyDescent="0.3">
      <c r="A44" s="11" t="s">
        <v>48</v>
      </c>
      <c r="B44" s="3">
        <v>71</v>
      </c>
      <c r="C44" s="3">
        <v>85</v>
      </c>
      <c r="D44" s="3">
        <v>84</v>
      </c>
      <c r="E44" s="3">
        <v>150</v>
      </c>
      <c r="F44" s="72">
        <v>229</v>
      </c>
      <c r="G44" s="7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65">
        <v>3464</v>
      </c>
      <c r="G46" s="66">
        <v>9406</v>
      </c>
      <c r="H46" s="3">
        <v>9413</v>
      </c>
      <c r="I46" s="3">
        <v>8920</v>
      </c>
    </row>
    <row r="47" spans="1:9" x14ac:dyDescent="0.3">
      <c r="A47" s="2" t="s">
        <v>50</v>
      </c>
      <c r="B47" s="3"/>
      <c r="C47" s="3"/>
      <c r="D47" s="3"/>
      <c r="E47" s="3">
        <v>0</v>
      </c>
      <c r="F47" s="71">
        <v>0</v>
      </c>
      <c r="G47" s="66">
        <v>2913</v>
      </c>
      <c r="H47" s="3">
        <v>2931</v>
      </c>
      <c r="I47" s="3">
        <v>2777</v>
      </c>
    </row>
    <row r="48" spans="1:9" x14ac:dyDescent="0.3">
      <c r="A48" s="2" t="s">
        <v>51</v>
      </c>
      <c r="B48" s="3">
        <v>1479</v>
      </c>
      <c r="C48" s="3">
        <v>1770</v>
      </c>
      <c r="D48" s="3">
        <v>1907</v>
      </c>
      <c r="E48" s="3">
        <v>3216</v>
      </c>
      <c r="F48" s="65">
        <v>3347</v>
      </c>
      <c r="G48" s="66">
        <v>2684</v>
      </c>
      <c r="H48" s="3">
        <v>2955</v>
      </c>
      <c r="I48" s="3">
        <v>2613</v>
      </c>
    </row>
    <row r="49" spans="1:9" x14ac:dyDescent="0.3">
      <c r="A49" s="2" t="s">
        <v>52</v>
      </c>
      <c r="B49" s="3"/>
      <c r="C49" s="3"/>
      <c r="D49" s="3"/>
      <c r="E49" s="3"/>
      <c r="F49" s="74"/>
      <c r="G49" s="74"/>
      <c r="H49" s="3"/>
      <c r="I49" s="3"/>
    </row>
    <row r="50" spans="1:9" x14ac:dyDescent="0.3">
      <c r="A50" s="11" t="s">
        <v>53</v>
      </c>
      <c r="B50" s="3"/>
      <c r="C50" s="3"/>
      <c r="D50" s="3"/>
      <c r="E50" s="3"/>
      <c r="F50" s="71">
        <v>0</v>
      </c>
      <c r="G50" s="75">
        <v>0</v>
      </c>
      <c r="H50" s="3">
        <v>0</v>
      </c>
      <c r="I50" s="3">
        <v>0</v>
      </c>
    </row>
    <row r="51" spans="1:9" x14ac:dyDescent="0.3">
      <c r="A51" s="2" t="s">
        <v>54</v>
      </c>
      <c r="B51" s="3"/>
      <c r="C51" s="3"/>
      <c r="D51" s="3"/>
      <c r="E51" s="3"/>
      <c r="F51" s="74"/>
      <c r="G51" s="74"/>
      <c r="H51" s="3"/>
      <c r="I51" s="3"/>
    </row>
    <row r="52" spans="1:9" x14ac:dyDescent="0.3">
      <c r="A52" s="11" t="s">
        <v>55</v>
      </c>
      <c r="B52" s="3"/>
      <c r="C52" s="3"/>
      <c r="D52" s="3"/>
      <c r="E52" s="3"/>
      <c r="F52" s="74"/>
      <c r="G52" s="74"/>
      <c r="H52" s="3"/>
      <c r="I52" s="3"/>
    </row>
    <row r="53" spans="1:9" x14ac:dyDescent="0.3">
      <c r="A53" s="17" t="s">
        <v>56</v>
      </c>
      <c r="B53" s="3"/>
      <c r="C53" s="3"/>
      <c r="D53" s="3"/>
      <c r="E53" s="3"/>
      <c r="F53" s="71">
        <v>0</v>
      </c>
      <c r="G53" s="75">
        <v>0</v>
      </c>
      <c r="H53" s="3"/>
      <c r="I53" s="3"/>
    </row>
    <row r="54" spans="1:9" x14ac:dyDescent="0.3">
      <c r="A54" s="17" t="s">
        <v>57</v>
      </c>
      <c r="B54" s="3">
        <v>3</v>
      </c>
      <c r="C54" s="3">
        <v>3</v>
      </c>
      <c r="D54" s="3">
        <v>3</v>
      </c>
      <c r="E54" s="3">
        <v>3</v>
      </c>
      <c r="F54" s="63">
        <v>3</v>
      </c>
      <c r="G54" s="64">
        <v>3</v>
      </c>
      <c r="H54" s="3">
        <v>3</v>
      </c>
      <c r="I54" s="3">
        <v>3</v>
      </c>
    </row>
    <row r="55" spans="1:9" x14ac:dyDescent="0.3">
      <c r="A55" s="17" t="s">
        <v>58</v>
      </c>
      <c r="B55" s="3">
        <v>6773</v>
      </c>
      <c r="C55" s="3">
        <v>7786</v>
      </c>
      <c r="D55" s="3">
        <v>5710</v>
      </c>
      <c r="E55" s="3">
        <v>6384</v>
      </c>
      <c r="F55" s="65">
        <v>7163</v>
      </c>
      <c r="G55" s="66">
        <v>8299</v>
      </c>
      <c r="H55" s="3">
        <v>9965</v>
      </c>
      <c r="I55" s="3">
        <v>11484</v>
      </c>
    </row>
    <row r="56" spans="1:9" x14ac:dyDescent="0.3">
      <c r="A56" s="17" t="s">
        <v>59</v>
      </c>
      <c r="B56" s="3">
        <v>1246</v>
      </c>
      <c r="C56" s="3">
        <v>318</v>
      </c>
      <c r="D56" s="3">
        <v>-213</v>
      </c>
      <c r="E56" s="3">
        <v>-92</v>
      </c>
      <c r="F56" s="63">
        <v>231</v>
      </c>
      <c r="G56" s="76">
        <v>-56</v>
      </c>
      <c r="H56" s="3">
        <v>-380</v>
      </c>
      <c r="I56" s="3">
        <v>318</v>
      </c>
    </row>
    <row r="57" spans="1:9" x14ac:dyDescent="0.3">
      <c r="A57" s="17" t="s">
        <v>60</v>
      </c>
      <c r="B57" s="3">
        <v>4685</v>
      </c>
      <c r="C57" s="3">
        <v>4151</v>
      </c>
      <c r="D57" s="3">
        <v>6907</v>
      </c>
      <c r="E57" s="3">
        <v>3517</v>
      </c>
      <c r="F57" s="67">
        <v>1643</v>
      </c>
      <c r="G57" s="77">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64">
        <v>721</v>
      </c>
      <c r="H66" s="3">
        <v>744</v>
      </c>
      <c r="I66" s="3">
        <v>717</v>
      </c>
    </row>
    <row r="67" spans="1:9" x14ac:dyDescent="0.3">
      <c r="A67" s="11" t="s">
        <v>67</v>
      </c>
      <c r="B67" s="3">
        <v>-113</v>
      </c>
      <c r="C67" s="3">
        <v>-80</v>
      </c>
      <c r="D67" s="3">
        <v>-273</v>
      </c>
      <c r="E67" s="3">
        <v>647</v>
      </c>
      <c r="F67" s="3">
        <v>34</v>
      </c>
      <c r="G67" s="76">
        <v>-380</v>
      </c>
      <c r="H67" s="3">
        <v>-385</v>
      </c>
      <c r="I67" s="3">
        <v>-650</v>
      </c>
    </row>
    <row r="68" spans="1:9" x14ac:dyDescent="0.3">
      <c r="A68" s="11" t="s">
        <v>68</v>
      </c>
      <c r="B68" s="3">
        <v>191</v>
      </c>
      <c r="C68" s="3">
        <v>236</v>
      </c>
      <c r="D68" s="3">
        <v>215</v>
      </c>
      <c r="E68" s="3">
        <v>218</v>
      </c>
      <c r="F68" s="3">
        <v>325</v>
      </c>
      <c r="G68" s="64">
        <v>429</v>
      </c>
      <c r="H68" s="3">
        <v>611</v>
      </c>
      <c r="I68" s="3">
        <v>638</v>
      </c>
    </row>
    <row r="69" spans="1:9" x14ac:dyDescent="0.3">
      <c r="A69" s="11" t="s">
        <v>69</v>
      </c>
      <c r="B69" s="3">
        <v>43</v>
      </c>
      <c r="C69" s="3">
        <v>13</v>
      </c>
      <c r="D69" s="3">
        <v>10</v>
      </c>
      <c r="E69" s="3">
        <v>27</v>
      </c>
      <c r="F69" s="3">
        <v>15</v>
      </c>
      <c r="G69" s="64">
        <v>398</v>
      </c>
      <c r="H69" s="3">
        <v>53</v>
      </c>
      <c r="I69" s="3">
        <v>123</v>
      </c>
    </row>
    <row r="70" spans="1:9" x14ac:dyDescent="0.3">
      <c r="A70" s="11" t="s">
        <v>70</v>
      </c>
      <c r="B70" s="3">
        <v>424</v>
      </c>
      <c r="C70" s="3">
        <v>98</v>
      </c>
      <c r="D70" s="3">
        <v>-117</v>
      </c>
      <c r="E70" s="3">
        <v>-99</v>
      </c>
      <c r="F70" s="3">
        <v>233</v>
      </c>
      <c r="G70" s="64">
        <v>23</v>
      </c>
      <c r="H70" s="3">
        <v>-138</v>
      </c>
      <c r="I70" s="3">
        <v>-26</v>
      </c>
    </row>
    <row r="71" spans="1:9" x14ac:dyDescent="0.3">
      <c r="A71" s="2" t="s">
        <v>71</v>
      </c>
      <c r="B71" s="3"/>
      <c r="C71" s="3"/>
      <c r="D71" s="3"/>
      <c r="E71" s="3"/>
      <c r="F71" s="3"/>
      <c r="G71" s="74"/>
      <c r="H71" s="3"/>
      <c r="I71" s="3"/>
    </row>
    <row r="72" spans="1:9" x14ac:dyDescent="0.3">
      <c r="A72" s="11" t="s">
        <v>72</v>
      </c>
      <c r="B72" s="3">
        <v>-216</v>
      </c>
      <c r="C72" s="3">
        <v>60</v>
      </c>
      <c r="D72" s="3">
        <v>-426</v>
      </c>
      <c r="E72" s="3">
        <v>187</v>
      </c>
      <c r="F72" s="3">
        <v>-270</v>
      </c>
      <c r="G72" s="66">
        <v>1239</v>
      </c>
      <c r="H72" s="3">
        <v>-1606</v>
      </c>
      <c r="I72" s="3">
        <v>-504</v>
      </c>
    </row>
    <row r="73" spans="1:9" x14ac:dyDescent="0.3">
      <c r="A73" s="11" t="s">
        <v>73</v>
      </c>
      <c r="B73" s="3">
        <v>-621</v>
      </c>
      <c r="C73" s="3">
        <v>-590</v>
      </c>
      <c r="D73" s="3">
        <v>-231</v>
      </c>
      <c r="E73" s="3">
        <v>-255</v>
      </c>
      <c r="F73" s="3">
        <v>-490</v>
      </c>
      <c r="G73" s="78">
        <v>-1854</v>
      </c>
      <c r="H73" s="3">
        <v>507</v>
      </c>
      <c r="I73" s="3">
        <v>-1676</v>
      </c>
    </row>
    <row r="74" spans="1:9" x14ac:dyDescent="0.3">
      <c r="A74" s="11" t="s">
        <v>98</v>
      </c>
      <c r="B74" s="3">
        <v>-144</v>
      </c>
      <c r="C74" s="3">
        <v>-161</v>
      </c>
      <c r="D74" s="3">
        <v>-120</v>
      </c>
      <c r="E74" s="3">
        <v>35</v>
      </c>
      <c r="F74" s="3">
        <v>-203</v>
      </c>
      <c r="G74" s="79">
        <v>-654</v>
      </c>
      <c r="H74" s="3">
        <v>-182</v>
      </c>
      <c r="I74" s="3">
        <v>-845</v>
      </c>
    </row>
    <row r="75" spans="1:9" x14ac:dyDescent="0.3">
      <c r="A75" s="11" t="s">
        <v>97</v>
      </c>
      <c r="B75" s="3">
        <v>1237</v>
      </c>
      <c r="C75" s="3">
        <v>-889</v>
      </c>
      <c r="D75" s="3">
        <v>-158</v>
      </c>
      <c r="E75" s="3">
        <v>1515</v>
      </c>
      <c r="F75" s="3">
        <v>1525</v>
      </c>
      <c r="G75" s="80">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78">
        <v>-2426</v>
      </c>
      <c r="H78" s="3">
        <v>-9961</v>
      </c>
      <c r="I78" s="3">
        <v>-12913</v>
      </c>
    </row>
    <row r="79" spans="1:9" x14ac:dyDescent="0.3">
      <c r="A79" s="2" t="s">
        <v>77</v>
      </c>
      <c r="B79" s="3">
        <v>3655</v>
      </c>
      <c r="C79" s="3">
        <v>2924</v>
      </c>
      <c r="D79" s="3">
        <v>3623</v>
      </c>
      <c r="E79" s="3">
        <v>3613</v>
      </c>
      <c r="F79" s="3">
        <v>1715</v>
      </c>
      <c r="G79" s="64">
        <v>74</v>
      </c>
      <c r="H79" s="3">
        <v>4236</v>
      </c>
      <c r="I79" s="3">
        <v>8199</v>
      </c>
    </row>
    <row r="80" spans="1:9" x14ac:dyDescent="0.3">
      <c r="A80" s="2" t="s">
        <v>78</v>
      </c>
      <c r="B80" s="3">
        <v>2216</v>
      </c>
      <c r="C80" s="3">
        <v>2536</v>
      </c>
      <c r="D80" s="3">
        <v>2423</v>
      </c>
      <c r="E80" s="3">
        <v>2496</v>
      </c>
      <c r="F80" s="3">
        <v>2072</v>
      </c>
      <c r="G80" s="66">
        <v>2379</v>
      </c>
      <c r="H80" s="3">
        <v>2449</v>
      </c>
      <c r="I80" s="3">
        <v>3967</v>
      </c>
    </row>
    <row r="81" spans="1:9" x14ac:dyDescent="0.3">
      <c r="A81" s="2" t="s">
        <v>14</v>
      </c>
      <c r="B81" s="3">
        <v>-1113</v>
      </c>
      <c r="C81" s="3">
        <v>-1143</v>
      </c>
      <c r="D81" s="3">
        <v>-1105</v>
      </c>
      <c r="E81" s="3">
        <v>-1028</v>
      </c>
      <c r="F81" s="3">
        <v>-1119</v>
      </c>
      <c r="G81" s="78">
        <v>-1086</v>
      </c>
      <c r="H81" s="3">
        <v>-695</v>
      </c>
      <c r="I81" s="3">
        <v>-758</v>
      </c>
    </row>
    <row r="82" spans="1:9" x14ac:dyDescent="0.3">
      <c r="A82" s="2" t="s">
        <v>79</v>
      </c>
      <c r="B82" s="3">
        <v>3</v>
      </c>
      <c r="C82" s="3">
        <v>16</v>
      </c>
      <c r="D82" s="3">
        <v>-21</v>
      </c>
      <c r="E82" s="3">
        <v>-22</v>
      </c>
      <c r="F82" s="3">
        <v>5</v>
      </c>
      <c r="G82" s="73">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81">
        <v>6134</v>
      </c>
      <c r="H85" s="3">
        <v>0</v>
      </c>
      <c r="I85" s="3">
        <v>0</v>
      </c>
    </row>
    <row r="86" spans="1:9" x14ac:dyDescent="0.3">
      <c r="A86" s="2" t="s">
        <v>83</v>
      </c>
      <c r="B86" s="3">
        <v>-63</v>
      </c>
      <c r="C86" s="3">
        <v>-67</v>
      </c>
      <c r="D86" s="3">
        <v>327</v>
      </c>
      <c r="E86" s="3">
        <v>13</v>
      </c>
      <c r="F86" s="3">
        <v>-325</v>
      </c>
      <c r="G86" s="81">
        <v>49</v>
      </c>
      <c r="H86" s="3">
        <v>-52</v>
      </c>
      <c r="I86" s="3">
        <v>15</v>
      </c>
    </row>
    <row r="87" spans="1:9" x14ac:dyDescent="0.3">
      <c r="A87" s="2" t="s">
        <v>84</v>
      </c>
      <c r="B87" s="3">
        <v>-26</v>
      </c>
      <c r="C87" s="3">
        <v>-113</v>
      </c>
      <c r="D87" s="3"/>
      <c r="E87" s="3">
        <v>0</v>
      </c>
      <c r="F87" s="3">
        <v>0</v>
      </c>
      <c r="G87" s="81">
        <v>0</v>
      </c>
      <c r="H87" s="3">
        <v>-197</v>
      </c>
      <c r="I87" s="3">
        <v>0</v>
      </c>
    </row>
    <row r="88" spans="1:9" x14ac:dyDescent="0.3">
      <c r="A88" s="2" t="s">
        <v>85</v>
      </c>
      <c r="B88" s="3">
        <v>732</v>
      </c>
      <c r="C88" s="3">
        <v>788</v>
      </c>
      <c r="D88" s="3">
        <v>489</v>
      </c>
      <c r="E88" s="3">
        <v>733</v>
      </c>
      <c r="F88" s="3">
        <v>700</v>
      </c>
      <c r="G88" s="81">
        <v>885</v>
      </c>
      <c r="H88" s="3">
        <v>1172</v>
      </c>
      <c r="I88" s="3">
        <v>1151</v>
      </c>
    </row>
    <row r="89" spans="1:9" x14ac:dyDescent="0.3">
      <c r="A89" s="2" t="s">
        <v>16</v>
      </c>
      <c r="B89" s="3">
        <v>-2534</v>
      </c>
      <c r="C89" s="3">
        <v>-3238</v>
      </c>
      <c r="D89" s="3">
        <v>-3223</v>
      </c>
      <c r="E89" s="3">
        <v>-4254</v>
      </c>
      <c r="F89" s="3">
        <v>-4286</v>
      </c>
      <c r="G89" s="81">
        <v>-3067</v>
      </c>
      <c r="H89" s="3">
        <v>-608</v>
      </c>
      <c r="I89" s="3">
        <v>-4014</v>
      </c>
    </row>
    <row r="90" spans="1:9" x14ac:dyDescent="0.3">
      <c r="A90" s="2" t="s">
        <v>86</v>
      </c>
      <c r="B90" s="3">
        <v>-899</v>
      </c>
      <c r="C90" s="3">
        <v>-1022</v>
      </c>
      <c r="D90" s="3">
        <v>-1133</v>
      </c>
      <c r="E90" s="3">
        <v>-1243</v>
      </c>
      <c r="F90" s="3">
        <v>-1332</v>
      </c>
      <c r="G90" s="81">
        <v>-1452</v>
      </c>
      <c r="H90" s="3">
        <v>-1638</v>
      </c>
      <c r="I90" s="3">
        <v>-1837</v>
      </c>
    </row>
    <row r="91" spans="1:9" x14ac:dyDescent="0.3">
      <c r="A91" s="2" t="s">
        <v>87</v>
      </c>
      <c r="B91" s="3">
        <v>0</v>
      </c>
      <c r="C91" s="3">
        <v>0</v>
      </c>
      <c r="D91" s="3">
        <v>-90</v>
      </c>
      <c r="E91" s="3">
        <v>-84</v>
      </c>
      <c r="F91" s="3">
        <v>-50</v>
      </c>
      <c r="G91" s="8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8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8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70">
        <v>140</v>
      </c>
      <c r="H100" s="3">
        <v>293</v>
      </c>
      <c r="I100" s="3">
        <v>290</v>
      </c>
    </row>
    <row r="101" spans="1:9" x14ac:dyDescent="0.3">
      <c r="A101" s="11" t="s">
        <v>18</v>
      </c>
      <c r="B101" s="3">
        <v>1262</v>
      </c>
      <c r="C101" s="3">
        <v>748</v>
      </c>
      <c r="D101" s="3">
        <v>703</v>
      </c>
      <c r="E101" s="3">
        <v>529</v>
      </c>
      <c r="F101" s="3">
        <v>757</v>
      </c>
      <c r="G101" s="66">
        <v>1028</v>
      </c>
      <c r="H101" s="3">
        <v>1177</v>
      </c>
      <c r="I101" s="3">
        <v>1231</v>
      </c>
    </row>
    <row r="102" spans="1:9" x14ac:dyDescent="0.3">
      <c r="A102" s="11" t="s">
        <v>95</v>
      </c>
      <c r="B102" s="3">
        <v>206</v>
      </c>
      <c r="C102" s="3">
        <v>252</v>
      </c>
      <c r="D102" s="3">
        <v>266</v>
      </c>
      <c r="E102" s="3">
        <v>294</v>
      </c>
      <c r="F102" s="3">
        <v>160</v>
      </c>
      <c r="G102" s="64">
        <v>121</v>
      </c>
      <c r="H102" s="3">
        <v>179</v>
      </c>
      <c r="I102" s="3">
        <v>160</v>
      </c>
    </row>
    <row r="103" spans="1:9" x14ac:dyDescent="0.3">
      <c r="A103" s="11" t="s">
        <v>96</v>
      </c>
      <c r="B103" s="3">
        <v>240</v>
      </c>
      <c r="C103" s="3">
        <v>271</v>
      </c>
      <c r="D103" s="3">
        <v>300</v>
      </c>
      <c r="E103" s="3">
        <v>320</v>
      </c>
      <c r="F103" s="3">
        <v>347</v>
      </c>
      <c r="G103" s="73">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81">
        <v>9329</v>
      </c>
      <c r="H108" s="8">
        <v>11644</v>
      </c>
      <c r="I108" s="8">
        <v>12228</v>
      </c>
    </row>
    <row r="109" spans="1:9" x14ac:dyDescent="0.3">
      <c r="A109" s="11" t="s">
        <v>114</v>
      </c>
      <c r="B109">
        <v>4410</v>
      </c>
      <c r="C109">
        <v>4746</v>
      </c>
      <c r="D109">
        <v>4886</v>
      </c>
      <c r="E109">
        <v>4938</v>
      </c>
      <c r="F109" s="3">
        <v>5260</v>
      </c>
      <c r="G109" s="8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81">
        <v>5892</v>
      </c>
      <c r="H112" s="8">
        <v>6970</v>
      </c>
      <c r="I112" s="8">
        <v>7388</v>
      </c>
    </row>
    <row r="113" spans="1:9" x14ac:dyDescent="0.3">
      <c r="A113" s="11" t="s">
        <v>114</v>
      </c>
      <c r="B113">
        <v>2051</v>
      </c>
      <c r="C113">
        <v>2149</v>
      </c>
      <c r="D113">
        <v>2395</v>
      </c>
      <c r="E113">
        <v>2940</v>
      </c>
      <c r="F113" s="3">
        <v>3087</v>
      </c>
      <c r="G113" s="81">
        <v>3053</v>
      </c>
      <c r="H113" s="8">
        <v>3996</v>
      </c>
      <c r="I113" s="8">
        <v>4527</v>
      </c>
    </row>
    <row r="114" spans="1:9" x14ac:dyDescent="0.3">
      <c r="A114" s="11" t="s">
        <v>115</v>
      </c>
      <c r="B114">
        <v>372</v>
      </c>
      <c r="C114">
        <v>376</v>
      </c>
      <c r="D114">
        <v>383</v>
      </c>
      <c r="E114">
        <v>427</v>
      </c>
      <c r="F114" s="3">
        <v>432</v>
      </c>
      <c r="G114" s="8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81">
        <v>4635</v>
      </c>
      <c r="H116" s="8">
        <v>5748</v>
      </c>
      <c r="I116" s="8">
        <v>5416</v>
      </c>
    </row>
    <row r="117" spans="1:9" x14ac:dyDescent="0.3">
      <c r="A117" s="11" t="s">
        <v>114</v>
      </c>
      <c r="B117">
        <v>925</v>
      </c>
      <c r="C117">
        <v>1055</v>
      </c>
      <c r="D117">
        <v>1188</v>
      </c>
      <c r="E117">
        <v>1508</v>
      </c>
      <c r="F117" s="3">
        <v>1808</v>
      </c>
      <c r="G117" s="81">
        <v>1896</v>
      </c>
      <c r="H117" s="8">
        <v>2347</v>
      </c>
      <c r="I117" s="8">
        <v>1938</v>
      </c>
    </row>
    <row r="118" spans="1:9" x14ac:dyDescent="0.3">
      <c r="A118" s="11" t="s">
        <v>115</v>
      </c>
      <c r="B118">
        <v>126</v>
      </c>
      <c r="C118">
        <v>131</v>
      </c>
      <c r="D118">
        <v>129</v>
      </c>
      <c r="E118">
        <v>130</v>
      </c>
      <c r="F118" s="3">
        <v>138</v>
      </c>
      <c r="G118" s="8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81">
        <v>3449</v>
      </c>
      <c r="H120" s="8">
        <v>3659</v>
      </c>
      <c r="I120" s="8">
        <v>4111</v>
      </c>
    </row>
    <row r="121" spans="1:9" x14ac:dyDescent="0.3">
      <c r="A121" s="11" t="s">
        <v>114</v>
      </c>
      <c r="B121">
        <v>1251</v>
      </c>
      <c r="C121">
        <v>1117</v>
      </c>
      <c r="D121">
        <v>1185</v>
      </c>
      <c r="E121">
        <v>1347</v>
      </c>
      <c r="F121" s="3">
        <v>1395</v>
      </c>
      <c r="G121" s="81">
        <v>1365</v>
      </c>
      <c r="H121" s="8">
        <v>1494</v>
      </c>
      <c r="I121" s="8">
        <v>1610</v>
      </c>
    </row>
    <row r="122" spans="1:9" x14ac:dyDescent="0.3">
      <c r="A122" s="11" t="s">
        <v>115</v>
      </c>
      <c r="B122">
        <v>309</v>
      </c>
      <c r="C122">
        <v>270</v>
      </c>
      <c r="D122">
        <v>267</v>
      </c>
      <c r="E122">
        <v>244</v>
      </c>
      <c r="F122" s="3">
        <v>237</v>
      </c>
      <c r="G122" s="81">
        <v>214</v>
      </c>
      <c r="H122">
        <v>190</v>
      </c>
      <c r="I122">
        <v>234</v>
      </c>
    </row>
    <row r="123" spans="1:9" x14ac:dyDescent="0.3">
      <c r="A123" s="2" t="s">
        <v>107</v>
      </c>
      <c r="B123" s="3">
        <v>115</v>
      </c>
      <c r="C123" s="3">
        <v>73</v>
      </c>
      <c r="D123" s="3">
        <v>73</v>
      </c>
      <c r="E123" s="3">
        <v>88</v>
      </c>
      <c r="F123" s="3">
        <v>42</v>
      </c>
      <c r="G123" s="8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8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J14" sqref="J14"/>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
      <c r="A51" s="41" t="str">
        <f>+Historicals!A111</f>
        <v>Europe, Middle East &amp; Africa</v>
      </c>
      <c r="B51" s="41"/>
      <c r="C51" s="41"/>
      <c r="D51" s="41"/>
      <c r="E51" s="41"/>
      <c r="F51" s="41"/>
      <c r="G51" s="41"/>
      <c r="H51" s="41"/>
      <c r="I51" s="41"/>
      <c r="J51" s="37"/>
      <c r="K51" s="37"/>
      <c r="L51" s="37"/>
      <c r="M51" s="37"/>
      <c r="N51" s="37"/>
    </row>
    <row r="52" spans="1:14" x14ac:dyDescent="0.3">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
      <c r="B82" s="41"/>
      <c r="C82" s="41"/>
      <c r="D82" s="41"/>
      <c r="E82" s="41"/>
      <c r="F82" s="41"/>
      <c r="G82" s="41"/>
      <c r="H82" s="41"/>
      <c r="I82" s="41"/>
      <c r="J82" s="37"/>
      <c r="K82" s="37"/>
      <c r="L82" s="37"/>
      <c r="M82" s="37"/>
      <c r="N82" s="37"/>
    </row>
    <row r="83" spans="2:14" x14ac:dyDescent="0.3">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
      <c r="B113" s="41"/>
      <c r="C113" s="41"/>
      <c r="D113" s="41"/>
      <c r="E113" s="41"/>
      <c r="F113" s="41"/>
      <c r="G113" s="41"/>
      <c r="H113" s="41"/>
      <c r="I113" s="41"/>
      <c r="J113" s="37"/>
      <c r="K113" s="37"/>
      <c r="L113" s="37"/>
      <c r="M113" s="37"/>
      <c r="N113" s="37"/>
    </row>
    <row r="114" spans="2:14" x14ac:dyDescent="0.3">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
      <c r="B144" s="41"/>
      <c r="C144" s="41"/>
      <c r="D144" s="41"/>
      <c r="E144" s="41"/>
      <c r="F144" s="41"/>
      <c r="G144" s="41"/>
      <c r="H144" s="41"/>
      <c r="I144" s="41"/>
      <c r="J144" s="37"/>
      <c r="K144" s="37"/>
      <c r="L144" s="37"/>
      <c r="M144" s="37"/>
      <c r="N144" s="37"/>
    </row>
    <row r="145" spans="2:14" x14ac:dyDescent="0.3">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
      <c r="B175" s="41"/>
      <c r="C175" s="41"/>
      <c r="D175" s="41"/>
      <c r="E175" s="41"/>
      <c r="F175" s="41"/>
      <c r="G175" s="41"/>
      <c r="H175" s="41"/>
      <c r="I175" s="41"/>
      <c r="J175" s="37"/>
      <c r="K175" s="37"/>
      <c r="L175" s="37"/>
      <c r="M175" s="37"/>
      <c r="N175" s="37"/>
    </row>
    <row r="176" spans="2:14" x14ac:dyDescent="0.3">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
      <c r="B210" s="41"/>
      <c r="C210" s="41"/>
      <c r="D210" s="41"/>
      <c r="E210" s="41"/>
      <c r="F210" s="41"/>
      <c r="G210" s="41"/>
      <c r="H210" s="41"/>
      <c r="I210" s="41"/>
      <c r="J210" s="37"/>
      <c r="K210" s="37"/>
      <c r="L210" s="37"/>
      <c r="M210" s="37"/>
      <c r="N210" s="37"/>
    </row>
    <row r="211" spans="2:14" x14ac:dyDescent="0.3">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4" x14ac:dyDescent="0.3"/>
  <cols>
    <col min="1" max="1" width="176.109375" style="19" customWidth="1"/>
  </cols>
  <sheetData>
    <row r="1" spans="1:1" ht="23.4" x14ac:dyDescent="0.45">
      <c r="A1" s="18" t="s">
        <v>20</v>
      </c>
    </row>
    <row r="2" spans="1:1" x14ac:dyDescent="0.3">
      <c r="A2" s="1" t="s">
        <v>197</v>
      </c>
    </row>
    <row r="3" spans="1:1" x14ac:dyDescent="0.3">
      <c r="A3" s="84" t="s">
        <v>198</v>
      </c>
    </row>
    <row r="4" spans="1:1" x14ac:dyDescent="0.3">
      <c r="A4" s="84" t="s">
        <v>199</v>
      </c>
    </row>
    <row r="5" spans="1:1" x14ac:dyDescent="0.3">
      <c r="A5" s="84" t="s">
        <v>200</v>
      </c>
    </row>
    <row r="6" spans="1:1" x14ac:dyDescent="0.3">
      <c r="A6" s="84" t="s">
        <v>201</v>
      </c>
    </row>
    <row r="7" spans="1:1" x14ac:dyDescent="0.3">
      <c r="A7" s="84" t="s">
        <v>206</v>
      </c>
    </row>
    <row r="8" spans="1:1" x14ac:dyDescent="0.3">
      <c r="A8" s="87" t="s">
        <v>202</v>
      </c>
    </row>
    <row r="9" spans="1:1" x14ac:dyDescent="0.3">
      <c r="A9" t="s">
        <v>203</v>
      </c>
    </row>
    <row r="10" spans="1:1" x14ac:dyDescent="0.3">
      <c r="A10"/>
    </row>
    <row r="11" spans="1:1" x14ac:dyDescent="0.3">
      <c r="A11" t="s">
        <v>204</v>
      </c>
    </row>
    <row r="12" spans="1:1" x14ac:dyDescent="0.3">
      <c r="A12" t="s">
        <v>207</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3EBB-CDFC-4469-A4CF-7C1DE83F6D0B}">
  <dimension ref="A1:A5"/>
  <sheetViews>
    <sheetView workbookViewId="0"/>
  </sheetViews>
  <sheetFormatPr defaultRowHeight="14.4" x14ac:dyDescent="0.3"/>
  <cols>
    <col min="1" max="1" width="104.21875" customWidth="1"/>
  </cols>
  <sheetData>
    <row r="1" spans="1:1" x14ac:dyDescent="0.3">
      <c r="A1" s="105" t="s">
        <v>266</v>
      </c>
    </row>
    <row r="2" spans="1:1" ht="28.8" x14ac:dyDescent="0.3">
      <c r="A2" s="106" t="s">
        <v>267</v>
      </c>
    </row>
    <row r="3" spans="1:1" x14ac:dyDescent="0.3">
      <c r="A3" s="107" t="s">
        <v>268</v>
      </c>
    </row>
    <row r="4" spans="1:1" x14ac:dyDescent="0.3">
      <c r="A4" s="105" t="s">
        <v>269</v>
      </c>
    </row>
    <row r="5" spans="1:1" x14ac:dyDescent="0.3">
      <c r="A5" s="19" t="s">
        <v>270</v>
      </c>
    </row>
  </sheetData>
  <hyperlinks>
    <hyperlink ref="A3" r:id="rId1" xr:uid="{6565CB79-4A32-4073-9A27-4A790F954B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7"/>
  <sheetViews>
    <sheetView zoomScale="79" workbookViewId="0">
      <selection activeCell="I33" sqref="I33"/>
    </sheetView>
  </sheetViews>
  <sheetFormatPr defaultColWidth="8.88671875" defaultRowHeight="14.4" x14ac:dyDescent="0.3"/>
  <cols>
    <col min="1" max="1" width="48.77734375" customWidth="1"/>
    <col min="2" max="14" width="11.77734375" customWidth="1"/>
    <col min="15" max="16" width="52.5546875"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c r="P1" s="59" t="s">
        <v>196</v>
      </c>
    </row>
    <row r="2" spans="1:19" x14ac:dyDescent="0.3">
      <c r="A2" s="38" t="s">
        <v>148</v>
      </c>
      <c r="B2" s="38"/>
      <c r="C2" s="38"/>
      <c r="D2" s="38"/>
      <c r="E2" s="38"/>
      <c r="F2" s="38"/>
      <c r="G2" s="38"/>
      <c r="H2" s="38"/>
      <c r="I2" s="38"/>
      <c r="J2" s="38"/>
      <c r="K2" s="38"/>
      <c r="L2" s="38"/>
      <c r="M2" s="38"/>
      <c r="N2" s="38"/>
    </row>
    <row r="3" spans="1:19" x14ac:dyDescent="0.3">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9" x14ac:dyDescent="0.3">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9" x14ac:dyDescent="0.3">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9" x14ac:dyDescent="0.3">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9" x14ac:dyDescent="0.3">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9" x14ac:dyDescent="0.3">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9" x14ac:dyDescent="0.3">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9" x14ac:dyDescent="0.3">
      <c r="A10" s="2" t="s">
        <v>24</v>
      </c>
      <c r="B10" s="3">
        <v>28</v>
      </c>
      <c r="C10" s="3">
        <v>19</v>
      </c>
      <c r="D10" s="3">
        <v>59</v>
      </c>
      <c r="E10" s="3">
        <v>54</v>
      </c>
      <c r="F10" s="3">
        <v>49</v>
      </c>
      <c r="G10" s="3">
        <v>89</v>
      </c>
      <c r="H10" s="3">
        <v>262</v>
      </c>
      <c r="I10" s="3">
        <v>205</v>
      </c>
      <c r="J10" s="3">
        <f>J51</f>
        <v>342.01830845654388</v>
      </c>
      <c r="K10" s="3">
        <f t="shared" ref="K10:N10" si="4">K51</f>
        <v>413.07736962549785</v>
      </c>
      <c r="L10" s="3">
        <f t="shared" si="4"/>
        <v>498.89993920720309</v>
      </c>
      <c r="M10" s="3">
        <f t="shared" si="4"/>
        <v>602.553341439664</v>
      </c>
      <c r="N10" s="3">
        <f t="shared" si="4"/>
        <v>727.7421798388192</v>
      </c>
    </row>
    <row r="11" spans="1:19" x14ac:dyDescent="0.3">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c r="P11" s="86"/>
    </row>
    <row r="12" spans="1:19" x14ac:dyDescent="0.3">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9" x14ac:dyDescent="0.3">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Q13" t="s">
        <v>209</v>
      </c>
      <c r="R13" t="s">
        <v>210</v>
      </c>
      <c r="S13" s="83">
        <f>AVERAGE(F13:I13)</f>
        <v>0.12813078445793347</v>
      </c>
    </row>
    <row r="14" spans="1:19" ht="15" thickBot="1" x14ac:dyDescent="0.35">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9" ht="15" thickTop="1" x14ac:dyDescent="0.3">
      <c r="A15" t="s">
        <v>153</v>
      </c>
      <c r="B15" s="3">
        <v>1768.8</v>
      </c>
      <c r="C15" s="3">
        <v>1742.5</v>
      </c>
      <c r="D15" s="3">
        <v>1692</v>
      </c>
      <c r="E15" s="3">
        <v>1659.1</v>
      </c>
      <c r="F15" s="3">
        <v>1618.4</v>
      </c>
      <c r="G15" s="3">
        <v>1591.6</v>
      </c>
      <c r="H15" s="3">
        <v>1609.4</v>
      </c>
      <c r="I15" s="3">
        <v>1610.8</v>
      </c>
      <c r="J15" s="3">
        <f>I15+(J60/$B$77)</f>
        <v>1584.1142422175128</v>
      </c>
      <c r="K15" s="3">
        <f t="shared" ref="K15:N15" si="8">J15+(K60/$B$77)</f>
        <v>1556.0834128258389</v>
      </c>
      <c r="L15" s="3">
        <f t="shared" si="8"/>
        <v>1526.6397147008126</v>
      </c>
      <c r="M15" s="3">
        <f t="shared" si="8"/>
        <v>1495.7119334652282</v>
      </c>
      <c r="N15" s="3">
        <f t="shared" si="8"/>
        <v>1463.2252652452758</v>
      </c>
      <c r="P15" t="s">
        <v>211</v>
      </c>
      <c r="R15" t="s">
        <v>212</v>
      </c>
    </row>
    <row r="16" spans="1:19" x14ac:dyDescent="0.3">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9" x14ac:dyDescent="0.3">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9" x14ac:dyDescent="0.3">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9" x14ac:dyDescent="0.3">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Q19" t="s">
        <v>209</v>
      </c>
      <c r="R19" t="s">
        <v>213</v>
      </c>
      <c r="S19" s="83">
        <f>AVERAGE(E19:I19)</f>
        <v>0.25878968735025887</v>
      </c>
    </row>
    <row r="20" spans="1:19" x14ac:dyDescent="0.3">
      <c r="A20" s="55" t="s">
        <v>157</v>
      </c>
      <c r="B20" s="38"/>
      <c r="C20" s="38"/>
      <c r="D20" s="38"/>
      <c r="E20" s="38"/>
      <c r="F20" s="38"/>
      <c r="G20" s="38"/>
      <c r="H20" s="38"/>
      <c r="I20" s="38"/>
      <c r="J20" s="38"/>
      <c r="K20" s="38"/>
      <c r="L20" s="38"/>
      <c r="M20" s="38"/>
      <c r="N20" s="38"/>
    </row>
    <row r="21" spans="1:19" x14ac:dyDescent="0.3">
      <c r="A21" t="s">
        <v>158</v>
      </c>
      <c r="B21" s="3">
        <v>3852</v>
      </c>
      <c r="C21" s="3">
        <v>3138</v>
      </c>
      <c r="D21" s="3">
        <v>3808</v>
      </c>
      <c r="E21" s="3">
        <v>4249</v>
      </c>
      <c r="F21" s="3">
        <v>4466</v>
      </c>
      <c r="G21" s="3">
        <v>8348</v>
      </c>
      <c r="H21" s="3">
        <v>9889</v>
      </c>
      <c r="I21" s="3">
        <v>8574</v>
      </c>
      <c r="J21" s="3">
        <f>J69</f>
        <v>11990.833956073368</v>
      </c>
      <c r="K21" s="3">
        <f t="shared" ref="K21:N21" si="12">K69</f>
        <v>15704.410798135095</v>
      </c>
      <c r="L21" s="3">
        <f t="shared" si="12"/>
        <v>20512.985767018436</v>
      </c>
      <c r="M21" s="3">
        <f t="shared" si="12"/>
        <v>26627.553106189393</v>
      </c>
      <c r="N21" s="3">
        <f t="shared" si="12"/>
        <v>34298.76078338243</v>
      </c>
      <c r="P21" s="84"/>
    </row>
    <row r="22" spans="1:19" x14ac:dyDescent="0.3">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row>
    <row r="23" spans="1:19" x14ac:dyDescent="0.3">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P23" s="84"/>
      <c r="R23" t="s">
        <v>214</v>
      </c>
    </row>
    <row r="24" spans="1:19" x14ac:dyDescent="0.3">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3"/>
      <c r="P24" s="83"/>
      <c r="Q24" s="83"/>
      <c r="R24" s="83">
        <f>AVERAGE(E24:I24)</f>
        <v>0.19465208116289023</v>
      </c>
    </row>
    <row r="25" spans="1:19" x14ac:dyDescent="0.3">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row>
    <row r="26" spans="1:19" x14ac:dyDescent="0.3">
      <c r="A26" t="s">
        <v>163</v>
      </c>
      <c r="B26" s="3">
        <v>3011</v>
      </c>
      <c r="C26" s="3">
        <v>3520</v>
      </c>
      <c r="D26" s="3">
        <v>3989</v>
      </c>
      <c r="E26" s="3">
        <v>4454</v>
      </c>
      <c r="F26" s="3">
        <v>4744</v>
      </c>
      <c r="G26" s="3">
        <v>4866</v>
      </c>
      <c r="H26" s="3">
        <v>4904</v>
      </c>
      <c r="I26" s="3">
        <v>4791</v>
      </c>
      <c r="J26" s="3">
        <f>I26-J53-J48</f>
        <v>4844.0731965311961</v>
      </c>
      <c r="K26" s="3">
        <f t="shared" ref="K26:N26" si="16">J26-K53-K48</f>
        <v>4911.4320535544375</v>
      </c>
      <c r="L26" s="3">
        <f t="shared" si="16"/>
        <v>4995.6755157814014</v>
      </c>
      <c r="M26" s="3">
        <f t="shared" si="16"/>
        <v>5099.8576987189908</v>
      </c>
      <c r="N26" s="3">
        <f t="shared" si="16"/>
        <v>5227.5691414408084</v>
      </c>
      <c r="O26" s="84" t="s">
        <v>228</v>
      </c>
    </row>
    <row r="27" spans="1:19" x14ac:dyDescent="0.3">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row>
    <row r="28" spans="1:19" x14ac:dyDescent="0.3">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row>
    <row r="29" spans="1:19" x14ac:dyDescent="0.3">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row>
    <row r="30" spans="1:19" x14ac:dyDescent="0.3">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row>
    <row r="31" spans="1:19" ht="15" thickBot="1" x14ac:dyDescent="0.35">
      <c r="A31" s="6" t="s">
        <v>166</v>
      </c>
      <c r="B31" s="7">
        <v>19466</v>
      </c>
      <c r="C31" s="7">
        <v>19205</v>
      </c>
      <c r="D31" s="7">
        <v>21211</v>
      </c>
      <c r="E31" s="7">
        <v>20257</v>
      </c>
      <c r="F31" s="7">
        <v>21105</v>
      </c>
      <c r="G31" s="7">
        <v>29094</v>
      </c>
      <c r="H31" s="7">
        <v>34904</v>
      </c>
      <c r="I31" s="7">
        <v>36963</v>
      </c>
      <c r="J31" s="7">
        <f>SUM(J21:J23,J25:J30)</f>
        <v>40771.736872604561</v>
      </c>
      <c r="K31" s="7">
        <f t="shared" ref="K31:N31" si="17">SUM(K21:K23,K25:K30)</f>
        <v>45639.574371569543</v>
      </c>
      <c r="L31" s="7">
        <f t="shared" si="17"/>
        <v>51766.575350242478</v>
      </c>
      <c r="M31" s="7">
        <f t="shared" si="17"/>
        <v>59389.917726788219</v>
      </c>
      <c r="N31" s="7">
        <f t="shared" si="17"/>
        <v>68790.952914582376</v>
      </c>
    </row>
    <row r="32" spans="1:19" ht="15" thickTop="1" x14ac:dyDescent="0.3">
      <c r="A32" t="s">
        <v>167</v>
      </c>
      <c r="B32" s="3"/>
      <c r="C32" s="3"/>
      <c r="D32" s="3"/>
      <c r="E32" s="3"/>
      <c r="F32" s="3"/>
      <c r="G32" s="3"/>
      <c r="H32" s="3"/>
      <c r="I32" s="3"/>
      <c r="J32" s="3"/>
      <c r="K32" s="3"/>
      <c r="L32" s="3"/>
      <c r="M32" s="3"/>
      <c r="N32" s="3"/>
    </row>
    <row r="33" spans="1:19" x14ac:dyDescent="0.3">
      <c r="A33" s="2" t="s">
        <v>45</v>
      </c>
      <c r="B33" s="3">
        <v>107</v>
      </c>
      <c r="C33" s="3">
        <v>44</v>
      </c>
      <c r="D33" s="3">
        <v>6</v>
      </c>
      <c r="E33" s="3">
        <v>6</v>
      </c>
      <c r="F33" s="3">
        <v>6</v>
      </c>
      <c r="G33" s="3">
        <v>3</v>
      </c>
      <c r="H33" s="3">
        <v>0</v>
      </c>
      <c r="I33" s="3">
        <v>500</v>
      </c>
      <c r="J33" s="3">
        <f>I33</f>
        <v>500</v>
      </c>
      <c r="K33" s="3">
        <f t="shared" ref="K33:N33" si="18">J33</f>
        <v>500</v>
      </c>
      <c r="L33" s="3">
        <f t="shared" si="18"/>
        <v>500</v>
      </c>
      <c r="M33" s="3">
        <f t="shared" si="18"/>
        <v>500</v>
      </c>
      <c r="N33" s="3">
        <f t="shared" si="18"/>
        <v>500</v>
      </c>
      <c r="O33" s="19"/>
      <c r="P33" s="19" t="s">
        <v>215</v>
      </c>
      <c r="Q33" s="19"/>
      <c r="R33" s="19"/>
    </row>
    <row r="34" spans="1:19" x14ac:dyDescent="0.3">
      <c r="A34" s="2" t="s">
        <v>46</v>
      </c>
      <c r="B34" s="3">
        <v>74</v>
      </c>
      <c r="C34" s="3">
        <v>1</v>
      </c>
      <c r="D34" s="3">
        <v>325</v>
      </c>
      <c r="E34" s="3">
        <v>336</v>
      </c>
      <c r="F34" s="3">
        <v>9</v>
      </c>
      <c r="G34" s="3">
        <v>248</v>
      </c>
      <c r="H34" s="3">
        <v>2</v>
      </c>
      <c r="I34" s="3">
        <v>10</v>
      </c>
      <c r="J34" s="3">
        <v>10</v>
      </c>
      <c r="K34" s="3">
        <v>10</v>
      </c>
      <c r="L34" s="3">
        <v>10</v>
      </c>
      <c r="M34" s="3">
        <v>10</v>
      </c>
      <c r="N34" s="3">
        <v>10</v>
      </c>
    </row>
    <row r="35" spans="1:19" x14ac:dyDescent="0.3">
      <c r="A35" t="s">
        <v>168</v>
      </c>
      <c r="B35" s="3">
        <v>4020</v>
      </c>
      <c r="C35" s="3">
        <v>3122</v>
      </c>
      <c r="D35" s="3">
        <v>3095</v>
      </c>
      <c r="E35" s="3">
        <v>3419</v>
      </c>
      <c r="F35" s="3">
        <v>5239</v>
      </c>
      <c r="G35" s="3">
        <v>5785</v>
      </c>
      <c r="H35" s="3">
        <v>6836</v>
      </c>
      <c r="I35" s="3">
        <v>6862</v>
      </c>
      <c r="J35" s="3">
        <f>I35</f>
        <v>6862</v>
      </c>
      <c r="K35" s="3">
        <f t="shared" ref="K35:N35" si="19">J35</f>
        <v>6862</v>
      </c>
      <c r="L35" s="3">
        <f t="shared" si="19"/>
        <v>6862</v>
      </c>
      <c r="M35" s="3">
        <f t="shared" si="19"/>
        <v>6862</v>
      </c>
      <c r="N35" s="3">
        <f t="shared" si="19"/>
        <v>6862</v>
      </c>
    </row>
    <row r="36" spans="1:19" x14ac:dyDescent="0.3">
      <c r="A36" t="s">
        <v>49</v>
      </c>
      <c r="B36" s="3">
        <v>1079</v>
      </c>
      <c r="C36" s="3">
        <v>2010</v>
      </c>
      <c r="D36" s="3">
        <v>3471</v>
      </c>
      <c r="E36" s="3">
        <v>3468</v>
      </c>
      <c r="F36" s="3">
        <v>3464</v>
      </c>
      <c r="G36" s="3">
        <v>9406</v>
      </c>
      <c r="H36" s="3">
        <v>9413</v>
      </c>
      <c r="I36" s="3">
        <v>8920</v>
      </c>
      <c r="J36" s="3">
        <f>(I36)*(1+$S$36)</f>
        <v>10773.254080132394</v>
      </c>
      <c r="K36" s="3">
        <f t="shared" ref="K36:N36" si="20">(J36)*(1+$S$36)</f>
        <v>13011.547474785792</v>
      </c>
      <c r="L36" s="3">
        <f t="shared" si="20"/>
        <v>15714.877457575378</v>
      </c>
      <c r="M36" s="3">
        <f t="shared" si="20"/>
        <v>18979.861848498262</v>
      </c>
      <c r="N36" s="3">
        <f t="shared" si="20"/>
        <v>22923.192163641597</v>
      </c>
      <c r="O36" s="58"/>
      <c r="P36" s="85"/>
      <c r="R36" t="s">
        <v>216</v>
      </c>
      <c r="S36">
        <f>(I36/D36)^(1/5)-1</f>
        <v>0.20776391032874364</v>
      </c>
    </row>
    <row r="37" spans="1:19" x14ac:dyDescent="0.3">
      <c r="A37" s="56"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c r="O37" s="58">
        <f>J41-I41</f>
        <v>1955.4844840156247</v>
      </c>
    </row>
    <row r="38" spans="1:19" x14ac:dyDescent="0.3">
      <c r="A38"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9" x14ac:dyDescent="0.3">
      <c r="A39" t="s">
        <v>170</v>
      </c>
      <c r="B39" s="3"/>
      <c r="C39" s="3"/>
      <c r="D39" s="3"/>
      <c r="E39" s="3"/>
      <c r="F39" s="3"/>
      <c r="G39" s="3"/>
      <c r="H39" s="3"/>
      <c r="I39" s="3"/>
      <c r="J39" s="3"/>
      <c r="K39" s="3"/>
      <c r="L39" s="3"/>
      <c r="M39" s="3"/>
      <c r="N39" s="3"/>
    </row>
    <row r="40" spans="1:19" x14ac:dyDescent="0.3">
      <c r="A40" s="2" t="s">
        <v>171</v>
      </c>
      <c r="B40" s="3">
        <v>6776</v>
      </c>
      <c r="C40" s="3">
        <v>7789</v>
      </c>
      <c r="D40" s="3">
        <v>5713</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c r="O40" s="58"/>
      <c r="P40" s="58"/>
    </row>
    <row r="41" spans="1:19" x14ac:dyDescent="0.3">
      <c r="A41" s="2" t="s">
        <v>172</v>
      </c>
      <c r="B41" s="3">
        <v>4685</v>
      </c>
      <c r="C41" s="3">
        <v>4151</v>
      </c>
      <c r="D41" s="3">
        <v>6907</v>
      </c>
      <c r="E41" s="3">
        <v>3517</v>
      </c>
      <c r="F41" s="3">
        <v>1643</v>
      </c>
      <c r="G41" s="3">
        <v>-191</v>
      </c>
      <c r="H41" s="3">
        <v>3179</v>
      </c>
      <c r="I41" s="3">
        <v>3476</v>
      </c>
      <c r="J41" s="3">
        <f>I41+J14+J62+J60</f>
        <v>5431.4844840156247</v>
      </c>
      <c r="K41" s="3">
        <f t="shared" ref="K41:N41" si="23">J41+K14+K62+K60</f>
        <v>8061.0312187017034</v>
      </c>
      <c r="L41" s="3">
        <f t="shared" si="23"/>
        <v>11484.702275377851</v>
      </c>
      <c r="M41" s="3">
        <f t="shared" si="23"/>
        <v>15843.056919561046</v>
      </c>
      <c r="N41" s="3">
        <f t="shared" si="23"/>
        <v>21300.759612373051</v>
      </c>
      <c r="O41" s="85" t="s">
        <v>231</v>
      </c>
      <c r="P41" s="85"/>
    </row>
    <row r="42" spans="1:19" x14ac:dyDescent="0.3">
      <c r="A42" s="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9" ht="15" thickBot="1" x14ac:dyDescent="0.35">
      <c r="A43" s="6" t="s">
        <v>174</v>
      </c>
      <c r="B43" s="7">
        <v>19466</v>
      </c>
      <c r="C43" s="7">
        <v>19205</v>
      </c>
      <c r="D43" s="7">
        <v>21211</v>
      </c>
      <c r="E43" s="7">
        <v>20257</v>
      </c>
      <c r="F43" s="7">
        <v>21105</v>
      </c>
      <c r="G43" s="7">
        <v>29094</v>
      </c>
      <c r="H43" s="7">
        <v>34904</v>
      </c>
      <c r="I43" s="7">
        <v>36963</v>
      </c>
      <c r="J43" s="7">
        <f>SUM(J33:J42)</f>
        <v>40771.738564148014</v>
      </c>
      <c r="K43" s="7">
        <f t="shared" ref="K43:N43" si="25">SUM(K33:K42)</f>
        <v>45639.5786934875</v>
      </c>
      <c r="L43" s="7">
        <f t="shared" si="25"/>
        <v>51766.579732953229</v>
      </c>
      <c r="M43" s="7">
        <f t="shared" si="25"/>
        <v>59389.918768059302</v>
      </c>
      <c r="N43" s="7">
        <f t="shared" si="25"/>
        <v>68790.951776014641</v>
      </c>
    </row>
    <row r="44" spans="1:19" s="1" customFormat="1" ht="15" thickTop="1" x14ac:dyDescent="0.3">
      <c r="A44" s="57" t="s">
        <v>175</v>
      </c>
      <c r="B44" s="57">
        <v>0</v>
      </c>
      <c r="C44" s="57">
        <v>0</v>
      </c>
      <c r="D44" s="57">
        <v>0</v>
      </c>
      <c r="E44" s="57">
        <v>0</v>
      </c>
      <c r="F44" s="57">
        <v>0</v>
      </c>
      <c r="G44" s="57">
        <v>0</v>
      </c>
      <c r="H44" s="57">
        <v>0</v>
      </c>
      <c r="I44" s="57">
        <v>0</v>
      </c>
      <c r="J44" s="57">
        <f>+J43-J31</f>
        <v>1.6915434534894302E-3</v>
      </c>
      <c r="K44" s="57">
        <f t="shared" ref="K44:N44" si="26">+K43-K31</f>
        <v>4.3219179569859989E-3</v>
      </c>
      <c r="L44" s="57">
        <f t="shared" si="26"/>
        <v>4.3827107510878704E-3</v>
      </c>
      <c r="M44" s="57">
        <f t="shared" si="26"/>
        <v>1.041271083522588E-3</v>
      </c>
      <c r="N44" s="57">
        <f t="shared" si="26"/>
        <v>-1.1385677353246137E-3</v>
      </c>
    </row>
    <row r="45" spans="1:19" s="1" customFormat="1" x14ac:dyDescent="0.3">
      <c r="A45" s="57" t="s">
        <v>271</v>
      </c>
      <c r="B45" s="57">
        <f>SUM(B40:B42)</f>
        <v>12707</v>
      </c>
      <c r="C45" s="57">
        <f t="shared" ref="C45:N45" si="27">SUM(C40:C42)</f>
        <v>12258</v>
      </c>
      <c r="D45" s="57">
        <f t="shared" si="27"/>
        <v>12407</v>
      </c>
      <c r="E45" s="57">
        <f t="shared" si="27"/>
        <v>9812</v>
      </c>
      <c r="F45" s="57">
        <f t="shared" si="27"/>
        <v>9040</v>
      </c>
      <c r="G45" s="57">
        <f t="shared" si="27"/>
        <v>8055</v>
      </c>
      <c r="H45" s="57">
        <f t="shared" si="27"/>
        <v>12767</v>
      </c>
      <c r="I45" s="57">
        <f t="shared" si="27"/>
        <v>15281</v>
      </c>
      <c r="J45" s="57">
        <f t="shared" si="27"/>
        <v>17236.484484015626</v>
      </c>
      <c r="K45" s="57">
        <f t="shared" si="27"/>
        <v>19866.031218701704</v>
      </c>
      <c r="L45" s="57">
        <f t="shared" si="27"/>
        <v>23289.702275377851</v>
      </c>
      <c r="M45" s="57">
        <f t="shared" si="27"/>
        <v>27648.056919561044</v>
      </c>
      <c r="N45" s="57">
        <f t="shared" si="27"/>
        <v>33105.759612373047</v>
      </c>
    </row>
    <row r="46" spans="1:19" x14ac:dyDescent="0.3">
      <c r="A46" s="55" t="s">
        <v>176</v>
      </c>
      <c r="B46" s="38"/>
      <c r="C46" s="38"/>
      <c r="D46" s="38"/>
      <c r="E46" s="38"/>
      <c r="F46" s="38"/>
      <c r="G46" s="38"/>
      <c r="H46" s="38"/>
      <c r="I46" s="38"/>
      <c r="J46" s="38"/>
      <c r="K46" s="38"/>
      <c r="L46" s="38"/>
      <c r="M46" s="38"/>
      <c r="N46" s="38"/>
    </row>
    <row r="47" spans="1:19" x14ac:dyDescent="0.3">
      <c r="A47" s="1" t="s">
        <v>134</v>
      </c>
      <c r="B47" s="9">
        <v>4233</v>
      </c>
      <c r="C47" s="9">
        <v>4642</v>
      </c>
      <c r="D47" s="9">
        <v>4945</v>
      </c>
      <c r="E47" s="9">
        <v>4379</v>
      </c>
      <c r="F47" s="9">
        <v>4850</v>
      </c>
      <c r="G47" s="9">
        <v>2976</v>
      </c>
      <c r="H47" s="9">
        <v>6923</v>
      </c>
      <c r="I47" s="9">
        <v>6856</v>
      </c>
      <c r="J47" s="9">
        <f>J7</f>
        <v>8022.5507882581733</v>
      </c>
      <c r="K47" s="9">
        <f t="shared" ref="K47:N47" si="28">K7</f>
        <v>9371.3941029002362</v>
      </c>
      <c r="L47" s="9">
        <f t="shared" si="28"/>
        <v>10932.636087781557</v>
      </c>
      <c r="M47" s="9">
        <f t="shared" si="28"/>
        <v>12741.661998255113</v>
      </c>
      <c r="N47" s="9">
        <f t="shared" si="28"/>
        <v>14840.108237064123</v>
      </c>
    </row>
    <row r="48" spans="1:19" x14ac:dyDescent="0.3">
      <c r="A48" t="s">
        <v>132</v>
      </c>
      <c r="B48" s="58">
        <v>606</v>
      </c>
      <c r="C48" s="58">
        <v>649</v>
      </c>
      <c r="D48" s="58">
        <v>706</v>
      </c>
      <c r="E48" s="58">
        <v>747</v>
      </c>
      <c r="F48" s="58">
        <v>705</v>
      </c>
      <c r="G48" s="58">
        <v>721</v>
      </c>
      <c r="H48" s="58">
        <v>744</v>
      </c>
      <c r="I48" s="58">
        <v>717</v>
      </c>
      <c r="J48" s="58">
        <f>'Segmental forecast'!J8</f>
        <v>782.4539649894034</v>
      </c>
      <c r="K48" s="58">
        <f>'Segmental forecast'!K8</f>
        <v>855.08064218552863</v>
      </c>
      <c r="L48" s="58">
        <f>'Segmental forecast'!L8</f>
        <v>935.80206886828933</v>
      </c>
      <c r="M48" s="58">
        <f>'Segmental forecast'!M8</f>
        <v>1025.675942626817</v>
      </c>
      <c r="N48" s="58">
        <f>'Segmental forecast'!N8</f>
        <v>1125.9178895518403</v>
      </c>
      <c r="O48" s="84" t="s">
        <v>230</v>
      </c>
    </row>
    <row r="49" spans="1:23" x14ac:dyDescent="0.3">
      <c r="A49" t="s">
        <v>177</v>
      </c>
      <c r="B49" s="3">
        <v>1262</v>
      </c>
      <c r="C49" s="3">
        <v>748</v>
      </c>
      <c r="D49" s="3">
        <v>703</v>
      </c>
      <c r="E49" s="3">
        <v>529</v>
      </c>
      <c r="F49" s="3">
        <v>757</v>
      </c>
      <c r="G49" s="3">
        <v>1028</v>
      </c>
      <c r="H49" s="3">
        <v>1177</v>
      </c>
      <c r="I49" s="3">
        <v>1231</v>
      </c>
      <c r="J49" s="3">
        <f>J12</f>
        <v>983.10815741460851</v>
      </c>
      <c r="K49" s="3">
        <f t="shared" ref="K49:N49" si="29">K12</f>
        <v>1146.6645418591665</v>
      </c>
      <c r="L49" s="3">
        <f t="shared" si="29"/>
        <v>1335.5182270175171</v>
      </c>
      <c r="M49" s="3">
        <f t="shared" si="29"/>
        <v>1553.8059080723776</v>
      </c>
      <c r="N49" s="3">
        <f t="shared" si="29"/>
        <v>1806.3828553248391</v>
      </c>
      <c r="Q49" t="s">
        <v>217</v>
      </c>
    </row>
    <row r="50" spans="1:23" x14ac:dyDescent="0.3">
      <c r="A50" s="1" t="s">
        <v>178</v>
      </c>
      <c r="B50" s="9">
        <v>2971</v>
      </c>
      <c r="C50" s="9">
        <v>3894</v>
      </c>
      <c r="D50" s="9">
        <v>4242</v>
      </c>
      <c r="E50" s="9">
        <v>3850</v>
      </c>
      <c r="F50" s="9">
        <v>4093</v>
      </c>
      <c r="G50" s="9">
        <v>1948</v>
      </c>
      <c r="H50" s="9">
        <v>5746</v>
      </c>
      <c r="I50" s="9">
        <v>5625</v>
      </c>
      <c r="J50" s="9">
        <f>J47-J49</f>
        <v>7039.442630843565</v>
      </c>
      <c r="K50" s="9">
        <f t="shared" ref="K50:N50" si="30">K47-K49</f>
        <v>8224.7295610410692</v>
      </c>
      <c r="L50" s="9">
        <f t="shared" si="30"/>
        <v>9597.1178607640395</v>
      </c>
      <c r="M50" s="9">
        <f t="shared" si="30"/>
        <v>11187.856090182735</v>
      </c>
      <c r="N50" s="9">
        <f t="shared" si="30"/>
        <v>13033.725381739285</v>
      </c>
    </row>
    <row r="51" spans="1:23" x14ac:dyDescent="0.3">
      <c r="A51" t="s">
        <v>179</v>
      </c>
      <c r="B51" s="3">
        <v>53</v>
      </c>
      <c r="C51" s="3">
        <v>70</v>
      </c>
      <c r="D51" s="3">
        <v>98</v>
      </c>
      <c r="E51" s="3">
        <v>125</v>
      </c>
      <c r="F51" s="3">
        <v>153</v>
      </c>
      <c r="G51" s="3">
        <v>140</v>
      </c>
      <c r="H51" s="3">
        <v>293</v>
      </c>
      <c r="I51" s="3">
        <v>290</v>
      </c>
      <c r="J51" s="3">
        <f>$S$51*J36</f>
        <v>342.01830845654388</v>
      </c>
      <c r="K51" s="3">
        <f t="shared" ref="K51:N51" si="31">$S$51*K36</f>
        <v>413.07736962549785</v>
      </c>
      <c r="L51" s="3">
        <f t="shared" si="31"/>
        <v>498.89993920720309</v>
      </c>
      <c r="M51" s="3">
        <f t="shared" si="31"/>
        <v>602.553341439664</v>
      </c>
      <c r="N51" s="3">
        <f t="shared" si="31"/>
        <v>727.7421798388192</v>
      </c>
      <c r="P51" t="s">
        <v>218</v>
      </c>
      <c r="R51" t="s">
        <v>219</v>
      </c>
      <c r="S51">
        <f>AVERAGE(S52:W53)</f>
        <v>3.174698247275913E-2</v>
      </c>
    </row>
    <row r="52" spans="1:23" x14ac:dyDescent="0.3">
      <c r="A52" t="s">
        <v>180</v>
      </c>
      <c r="B52" s="3">
        <v>2922</v>
      </c>
      <c r="C52" s="3">
        <v>-324</v>
      </c>
      <c r="D52" s="3">
        <v>-796</v>
      </c>
      <c r="E52" s="3">
        <v>204</v>
      </c>
      <c r="F52" s="3">
        <v>-802</v>
      </c>
      <c r="G52" s="3">
        <v>-586</v>
      </c>
      <c r="H52" s="3">
        <v>-613</v>
      </c>
      <c r="I52" s="3">
        <v>-1248</v>
      </c>
      <c r="J52" s="3">
        <f>I23-J23</f>
        <v>-338.82971999999972</v>
      </c>
      <c r="K52" s="3">
        <f t="shared" ref="K52:N52" si="32">J23-K23</f>
        <v>-1086.9017998800045</v>
      </c>
      <c r="L52" s="3">
        <f t="shared" si="32"/>
        <v>-1234.1825475626356</v>
      </c>
      <c r="M52" s="3">
        <f t="shared" si="32"/>
        <v>-1404.5928544371945</v>
      </c>
      <c r="N52" s="3">
        <f t="shared" si="32"/>
        <v>-1602.1160678793058</v>
      </c>
    </row>
    <row r="53" spans="1:23" x14ac:dyDescent="0.3">
      <c r="A53" t="s">
        <v>135</v>
      </c>
      <c r="B53" s="3">
        <v>-1113</v>
      </c>
      <c r="C53" s="3">
        <v>-1143</v>
      </c>
      <c r="D53" s="3">
        <v>-1105</v>
      </c>
      <c r="E53" s="3">
        <v>-1028</v>
      </c>
      <c r="F53" s="3">
        <v>-1119</v>
      </c>
      <c r="G53" s="3">
        <v>-1086</v>
      </c>
      <c r="H53" s="3">
        <v>-695</v>
      </c>
      <c r="I53" s="3">
        <v>-758</v>
      </c>
      <c r="J53" s="3">
        <f>-'Segmental forecast'!J14</f>
        <v>-835.52716152059941</v>
      </c>
      <c r="K53" s="3">
        <f>-'Segmental forecast'!K14</f>
        <v>-922.43949920876969</v>
      </c>
      <c r="L53" s="3">
        <f>-'Segmental forecast'!L14</f>
        <v>-1020.0455310952527</v>
      </c>
      <c r="M53" s="3">
        <f>-'Segmental forecast'!M14</f>
        <v>-1129.8581255644065</v>
      </c>
      <c r="N53" s="3">
        <f>-'Segmental forecast'!N14</f>
        <v>-1253.6293322736576</v>
      </c>
      <c r="O53" s="84" t="s">
        <v>227</v>
      </c>
      <c r="S53">
        <f>E51/E36</f>
        <v>3.6043829296424454E-2</v>
      </c>
      <c r="T53">
        <f t="shared" ref="T53:W53" si="33">F51/F36</f>
        <v>4.4168591224018477E-2</v>
      </c>
      <c r="U53">
        <f t="shared" si="33"/>
        <v>1.4884116521369339E-2</v>
      </c>
      <c r="V53">
        <f t="shared" si="33"/>
        <v>3.1127164559651546E-2</v>
      </c>
      <c r="W53">
        <f t="shared" si="33"/>
        <v>3.2511210762331835E-2</v>
      </c>
    </row>
    <row r="54" spans="1:23" x14ac:dyDescent="0.3">
      <c r="A54" s="1" t="s">
        <v>181</v>
      </c>
      <c r="B54" s="9">
        <v>5333</v>
      </c>
      <c r="C54" s="9">
        <v>3006</v>
      </c>
      <c r="D54" s="9">
        <v>2949</v>
      </c>
      <c r="E54" s="9">
        <v>3648</v>
      </c>
      <c r="F54" s="9">
        <v>2724</v>
      </c>
      <c r="G54" s="9">
        <v>857</v>
      </c>
      <c r="H54" s="9">
        <v>4889</v>
      </c>
      <c r="I54" s="9">
        <v>4046</v>
      </c>
      <c r="J54" s="9">
        <f>J48+J50+J52+J53-J51</f>
        <v>6305.5214058558249</v>
      </c>
      <c r="K54" s="9">
        <f t="shared" ref="K54:N54" si="34">K48+K50+K52+K53-K51</f>
        <v>6657.3915345123251</v>
      </c>
      <c r="L54" s="9">
        <f t="shared" si="34"/>
        <v>7779.7919117672382</v>
      </c>
      <c r="M54" s="9">
        <f t="shared" si="34"/>
        <v>9076.5277113682878</v>
      </c>
      <c r="N54" s="9">
        <f t="shared" si="34"/>
        <v>10576.155691299342</v>
      </c>
    </row>
    <row r="55" spans="1:23" x14ac:dyDescent="0.3">
      <c r="A55" t="s">
        <v>182</v>
      </c>
      <c r="B55" s="3">
        <v>-1819</v>
      </c>
      <c r="C55" s="3">
        <v>-1123</v>
      </c>
      <c r="D55" s="3">
        <v>-306</v>
      </c>
      <c r="E55" s="3">
        <v>154</v>
      </c>
      <c r="F55" s="3">
        <v>1907</v>
      </c>
      <c r="G55" s="3">
        <v>402</v>
      </c>
      <c r="H55" s="3">
        <v>780</v>
      </c>
      <c r="I55" s="3">
        <v>94</v>
      </c>
      <c r="J55" s="3"/>
      <c r="K55" s="3"/>
      <c r="L55" s="3"/>
      <c r="M55" s="3"/>
      <c r="N55" s="3"/>
      <c r="O55" s="84" t="s">
        <v>225</v>
      </c>
    </row>
    <row r="56" spans="1:23" x14ac:dyDescent="0.3">
      <c r="A56" s="26" t="s">
        <v>183</v>
      </c>
      <c r="B56" s="25">
        <v>4680</v>
      </c>
      <c r="C56" s="25">
        <v>3096</v>
      </c>
      <c r="D56" s="25">
        <v>3846</v>
      </c>
      <c r="E56" s="25">
        <v>4955</v>
      </c>
      <c r="F56" s="25">
        <v>5903</v>
      </c>
      <c r="G56" s="25">
        <v>2485</v>
      </c>
      <c r="H56" s="25">
        <v>6657</v>
      </c>
      <c r="I56" s="25">
        <v>5188</v>
      </c>
      <c r="J56" s="25">
        <f>J48+J50+J52+J55</f>
        <v>7483.0668758329684</v>
      </c>
      <c r="K56" s="25">
        <f t="shared" ref="K56:N56" si="35">K48+K50+K52+K55</f>
        <v>7992.9084033465933</v>
      </c>
      <c r="L56" s="25">
        <f t="shared" si="35"/>
        <v>9298.7373820696939</v>
      </c>
      <c r="M56" s="25">
        <f t="shared" si="35"/>
        <v>10808.939178372357</v>
      </c>
      <c r="N56" s="25">
        <f t="shared" si="35"/>
        <v>12557.527203411819</v>
      </c>
    </row>
    <row r="57" spans="1:23" x14ac:dyDescent="0.3">
      <c r="A57" t="s">
        <v>226</v>
      </c>
      <c r="B57" s="3"/>
      <c r="C57" s="3"/>
      <c r="D57" s="3"/>
      <c r="E57" s="3"/>
      <c r="F57" s="3"/>
      <c r="G57" s="3"/>
      <c r="H57" s="3"/>
      <c r="I57" s="3"/>
      <c r="J57" s="3"/>
      <c r="K57" s="3"/>
      <c r="L57" s="3"/>
      <c r="M57" s="3"/>
      <c r="N57" s="3"/>
    </row>
    <row r="58" spans="1:23" x14ac:dyDescent="0.3">
      <c r="A58" t="s">
        <v>184</v>
      </c>
      <c r="B58" s="3">
        <v>938</v>
      </c>
      <c r="C58" s="3">
        <v>109</v>
      </c>
      <c r="D58" s="3">
        <v>97</v>
      </c>
      <c r="E58" s="3">
        <v>1304</v>
      </c>
      <c r="F58" s="3">
        <v>855</v>
      </c>
      <c r="G58" s="3">
        <v>58</v>
      </c>
      <c r="H58" s="3">
        <v>-3105</v>
      </c>
      <c r="I58" s="3">
        <v>-766</v>
      </c>
      <c r="J58" s="3">
        <f>I58</f>
        <v>-766</v>
      </c>
      <c r="K58" s="3">
        <f t="shared" ref="K58:N58" si="36">J58</f>
        <v>-766</v>
      </c>
      <c r="L58" s="3">
        <f t="shared" si="36"/>
        <v>-766</v>
      </c>
      <c r="M58" s="3">
        <f t="shared" si="36"/>
        <v>-766</v>
      </c>
      <c r="N58" s="3">
        <f t="shared" si="36"/>
        <v>-766</v>
      </c>
    </row>
    <row r="59" spans="1:23" x14ac:dyDescent="0.3">
      <c r="A59" s="26" t="s">
        <v>185</v>
      </c>
      <c r="B59" s="25">
        <v>-175</v>
      </c>
      <c r="C59" s="25">
        <v>-1034</v>
      </c>
      <c r="D59" s="25">
        <v>-1008</v>
      </c>
      <c r="E59" s="25">
        <v>276</v>
      </c>
      <c r="F59" s="25">
        <v>-264</v>
      </c>
      <c r="G59" s="25">
        <v>-1028</v>
      </c>
      <c r="H59" s="25">
        <v>-3800</v>
      </c>
      <c r="I59" s="25">
        <v>-1524</v>
      </c>
      <c r="J59" s="25">
        <f>J58+J57+J53</f>
        <v>-1601.5271615205993</v>
      </c>
      <c r="K59" s="25">
        <f t="shared" ref="K59:N59" si="37">K58+K57+K53</f>
        <v>-1688.4394992087696</v>
      </c>
      <c r="L59" s="25">
        <f t="shared" si="37"/>
        <v>-1786.0455310952527</v>
      </c>
      <c r="M59" s="25">
        <f t="shared" si="37"/>
        <v>-1895.8581255644065</v>
      </c>
      <c r="N59" s="25">
        <f t="shared" si="37"/>
        <v>-2019.6293322736576</v>
      </c>
    </row>
    <row r="60" spans="1:23" x14ac:dyDescent="0.3">
      <c r="A60" t="s">
        <v>186</v>
      </c>
      <c r="B60" s="3">
        <v>-1802</v>
      </c>
      <c r="C60" s="3">
        <v>-2450</v>
      </c>
      <c r="D60" s="3">
        <v>-2734</v>
      </c>
      <c r="E60" s="3">
        <v>-3521</v>
      </c>
      <c r="F60" s="3">
        <v>-3586</v>
      </c>
      <c r="G60" s="3">
        <v>-2182</v>
      </c>
      <c r="H60" s="3">
        <v>564</v>
      </c>
      <c r="I60" s="3">
        <v>-2863</v>
      </c>
      <c r="J60" s="3">
        <f>I60*(1+$R$60)</f>
        <v>-3007.3069388731574</v>
      </c>
      <c r="K60" s="3">
        <f t="shared" ref="K60:N60" si="38">J60*(1+$R$60)</f>
        <v>-3158.8875391528609</v>
      </c>
      <c r="L60" s="3">
        <f t="shared" si="38"/>
        <v>-3318.1084231974683</v>
      </c>
      <c r="M60" s="3">
        <f t="shared" si="38"/>
        <v>-3485.3546926354234</v>
      </c>
      <c r="N60" s="3">
        <f t="shared" si="38"/>
        <v>-3661.030859796238</v>
      </c>
      <c r="P60" t="s">
        <v>220</v>
      </c>
      <c r="Q60" t="s">
        <v>221</v>
      </c>
      <c r="R60">
        <f>ABS((I60/E60)^(1/4)-1)</f>
        <v>5.0404100200194812E-2</v>
      </c>
    </row>
    <row r="61" spans="1:23" x14ac:dyDescent="0.3">
      <c r="A61" s="51" t="s">
        <v>129</v>
      </c>
      <c r="B61" s="52"/>
      <c r="C61" s="52">
        <v>0.35960044395116531</v>
      </c>
      <c r="D61" s="52">
        <v>0.11591836734693883</v>
      </c>
      <c r="E61" s="52">
        <v>0.28785662033650339</v>
      </c>
      <c r="F61" s="52">
        <v>1.8460664583924924E-2</v>
      </c>
      <c r="G61" s="52">
        <v>-0.39152258784160621</v>
      </c>
      <c r="H61" s="52">
        <v>-1.2584784601283228</v>
      </c>
      <c r="I61" s="52">
        <v>-6.0762411347517729</v>
      </c>
      <c r="J61" s="52">
        <f>J60/I60-1</f>
        <v>5.0404100200194701E-2</v>
      </c>
      <c r="K61" s="52">
        <f t="shared" ref="K61:N61" si="39">K60/J60-1</f>
        <v>5.0404100200194701E-2</v>
      </c>
      <c r="L61" s="52">
        <f t="shared" si="39"/>
        <v>5.0404100200194701E-2</v>
      </c>
      <c r="M61" s="52">
        <f t="shared" si="39"/>
        <v>5.0404100200194701E-2</v>
      </c>
      <c r="N61" s="52">
        <f t="shared" si="39"/>
        <v>5.0404100200194701E-2</v>
      </c>
      <c r="Q61" t="s">
        <v>222</v>
      </c>
      <c r="S61" s="58"/>
    </row>
    <row r="62" spans="1:23" x14ac:dyDescent="0.3">
      <c r="A62" t="s">
        <v>187</v>
      </c>
      <c r="B62" s="3">
        <v>-899</v>
      </c>
      <c r="C62" s="3">
        <v>-1022</v>
      </c>
      <c r="D62" s="3">
        <v>-1133</v>
      </c>
      <c r="E62" s="3">
        <v>-1243</v>
      </c>
      <c r="F62" s="3">
        <v>-1332</v>
      </c>
      <c r="G62" s="3">
        <v>-1452</v>
      </c>
      <c r="H62" s="3">
        <v>-1638</v>
      </c>
      <c r="I62" s="3">
        <v>-1837</v>
      </c>
      <c r="J62" s="3">
        <f>-(J15*J17)</f>
        <v>-1734.6328994982387</v>
      </c>
      <c r="K62" s="3">
        <f t="shared" ref="K62:N62" si="40">-(K15*K17)</f>
        <v>-2023.217917576633</v>
      </c>
      <c r="L62" s="3">
        <f t="shared" si="40"/>
        <v>-2356.4384416832204</v>
      </c>
      <c r="M62" s="3">
        <f t="shared" si="40"/>
        <v>-2741.5934119244557</v>
      </c>
      <c r="N62" s="3">
        <f t="shared" si="40"/>
        <v>-3187.2496492922214</v>
      </c>
      <c r="Q62" t="s">
        <v>223</v>
      </c>
    </row>
    <row r="63" spans="1:23" x14ac:dyDescent="0.3">
      <c r="A63" t="s">
        <v>188</v>
      </c>
      <c r="B63" s="3">
        <v>-89</v>
      </c>
      <c r="C63" s="3">
        <v>801</v>
      </c>
      <c r="D63" s="3">
        <v>1809</v>
      </c>
      <c r="E63" s="3">
        <v>13</v>
      </c>
      <c r="F63" s="3">
        <v>-325</v>
      </c>
      <c r="G63" s="3">
        <v>6183</v>
      </c>
      <c r="H63" s="3">
        <v>-249</v>
      </c>
      <c r="I63" s="3">
        <v>15</v>
      </c>
      <c r="J63" s="3">
        <f>J36-I36</f>
        <v>1853.2540801323939</v>
      </c>
      <c r="K63" s="3">
        <f t="shared" ref="K63:N63" si="41">K36-J36</f>
        <v>2238.2933946533976</v>
      </c>
      <c r="L63" s="3">
        <f t="shared" si="41"/>
        <v>2703.3299827895862</v>
      </c>
      <c r="M63" s="3">
        <f t="shared" si="41"/>
        <v>3264.9843909228839</v>
      </c>
      <c r="N63" s="3">
        <f t="shared" si="41"/>
        <v>3943.3303151433356</v>
      </c>
      <c r="O63" s="84" t="s">
        <v>229</v>
      </c>
      <c r="Q63" t="s">
        <v>224</v>
      </c>
    </row>
    <row r="64" spans="1:23" x14ac:dyDescent="0.3">
      <c r="A64" t="s">
        <v>189</v>
      </c>
      <c r="B64" s="3">
        <v>0</v>
      </c>
      <c r="C64" s="3">
        <v>0</v>
      </c>
      <c r="D64" s="3">
        <v>-90</v>
      </c>
      <c r="E64" s="3">
        <v>-84</v>
      </c>
      <c r="F64" s="3">
        <v>-50</v>
      </c>
      <c r="G64" s="3">
        <v>-58</v>
      </c>
      <c r="H64" s="3">
        <v>-136</v>
      </c>
      <c r="I64" s="3"/>
      <c r="J64" s="3"/>
      <c r="K64" s="3"/>
      <c r="L64" s="3"/>
      <c r="M64" s="3"/>
      <c r="N64" s="3"/>
      <c r="Q64" t="s">
        <v>225</v>
      </c>
    </row>
    <row r="65" spans="1:18" x14ac:dyDescent="0.3">
      <c r="A65" s="26" t="s">
        <v>190</v>
      </c>
      <c r="B65" s="25">
        <v>-2790</v>
      </c>
      <c r="C65" s="25">
        <v>-2671</v>
      </c>
      <c r="D65" s="25">
        <v>-2148</v>
      </c>
      <c r="E65" s="25">
        <v>-4835</v>
      </c>
      <c r="F65" s="25">
        <v>-5293</v>
      </c>
      <c r="G65" s="25">
        <v>2491</v>
      </c>
      <c r="H65" s="25">
        <v>-1459</v>
      </c>
      <c r="I65" s="25">
        <v>-4836</v>
      </c>
      <c r="J65" s="25">
        <f>J60+J62+J63+J64</f>
        <v>-2888.6857582390021</v>
      </c>
      <c r="K65" s="25">
        <f t="shared" ref="K65:N65" si="42">K60+K62+K63+K64</f>
        <v>-2943.8120620760965</v>
      </c>
      <c r="L65" s="25">
        <f t="shared" si="42"/>
        <v>-2971.2168820911029</v>
      </c>
      <c r="M65" s="25">
        <f t="shared" si="42"/>
        <v>-2961.9637136369947</v>
      </c>
      <c r="N65" s="25">
        <f t="shared" si="42"/>
        <v>-2904.9501939451238</v>
      </c>
    </row>
    <row r="66" spans="1:18" x14ac:dyDescent="0.3">
      <c r="A66" t="s">
        <v>191</v>
      </c>
      <c r="B66" s="3">
        <v>-83</v>
      </c>
      <c r="C66" s="3">
        <v>-105</v>
      </c>
      <c r="D66" s="3">
        <v>-20</v>
      </c>
      <c r="E66" s="3">
        <v>45</v>
      </c>
      <c r="F66" s="3">
        <v>-129</v>
      </c>
      <c r="G66" s="3">
        <v>-66</v>
      </c>
      <c r="H66" s="3">
        <v>143</v>
      </c>
      <c r="I66" s="3"/>
      <c r="J66" s="3">
        <v>423.98</v>
      </c>
      <c r="K66" s="3">
        <v>352.92</v>
      </c>
      <c r="L66" s="3">
        <v>267.10000000000002</v>
      </c>
      <c r="M66" s="3">
        <v>163.44999999999999</v>
      </c>
      <c r="N66" s="3">
        <v>38.26</v>
      </c>
      <c r="Q66" t="s">
        <v>225</v>
      </c>
    </row>
    <row r="67" spans="1:18" x14ac:dyDescent="0.3">
      <c r="A67" s="26" t="s">
        <v>192</v>
      </c>
      <c r="B67" s="25">
        <v>1632</v>
      </c>
      <c r="C67" s="25">
        <v>-714</v>
      </c>
      <c r="D67" s="25">
        <v>670</v>
      </c>
      <c r="E67" s="25">
        <v>441</v>
      </c>
      <c r="F67" s="25">
        <v>217</v>
      </c>
      <c r="G67" s="25">
        <v>3882</v>
      </c>
      <c r="H67" s="25">
        <v>1541</v>
      </c>
      <c r="I67" s="25">
        <v>-1315</v>
      </c>
      <c r="J67" s="25">
        <f>J56+J59+J65+J66</f>
        <v>3416.8339560733671</v>
      </c>
      <c r="K67" s="25">
        <f t="shared" ref="K67:N67" si="43">K56+K59+K65+K66</f>
        <v>3713.5768420617278</v>
      </c>
      <c r="L67" s="25">
        <f t="shared" si="43"/>
        <v>4808.5749688833384</v>
      </c>
      <c r="M67" s="25">
        <f t="shared" si="43"/>
        <v>6114.5673391709561</v>
      </c>
      <c r="N67" s="25">
        <f t="shared" si="43"/>
        <v>7671.2076771930369</v>
      </c>
    </row>
    <row r="68" spans="1:18" x14ac:dyDescent="0.3">
      <c r="A68" t="s">
        <v>193</v>
      </c>
      <c r="B68" s="3">
        <v>2220</v>
      </c>
      <c r="C68" s="3">
        <v>3852</v>
      </c>
      <c r="D68" s="3">
        <v>3138</v>
      </c>
      <c r="E68" s="3">
        <v>3808</v>
      </c>
      <c r="F68" s="3">
        <v>4249</v>
      </c>
      <c r="G68" s="3">
        <v>4466</v>
      </c>
      <c r="H68" s="3">
        <v>8348</v>
      </c>
      <c r="I68" s="3">
        <v>9889</v>
      </c>
      <c r="J68" s="3">
        <f>I69</f>
        <v>8574</v>
      </c>
      <c r="K68" s="3">
        <f t="shared" ref="K68:N68" si="44">J69</f>
        <v>11990.833956073368</v>
      </c>
      <c r="L68" s="3">
        <f t="shared" si="44"/>
        <v>15704.410798135095</v>
      </c>
      <c r="M68" s="3">
        <f t="shared" si="44"/>
        <v>20512.985767018436</v>
      </c>
      <c r="N68" s="3">
        <f t="shared" si="44"/>
        <v>26627.553106189393</v>
      </c>
    </row>
    <row r="69" spans="1:18" ht="15" thickBot="1" x14ac:dyDescent="0.35">
      <c r="A69" s="6" t="s">
        <v>194</v>
      </c>
      <c r="B69" s="7">
        <v>3852</v>
      </c>
      <c r="C69" s="7">
        <v>3138</v>
      </c>
      <c r="D69" s="7">
        <v>3808</v>
      </c>
      <c r="E69" s="7">
        <v>4249</v>
      </c>
      <c r="F69" s="7">
        <v>4466</v>
      </c>
      <c r="G69" s="7">
        <v>8348</v>
      </c>
      <c r="H69" s="7">
        <v>9889</v>
      </c>
      <c r="I69" s="7">
        <v>8574</v>
      </c>
      <c r="J69" s="7">
        <f>J68+J67</f>
        <v>11990.833956073368</v>
      </c>
      <c r="K69" s="7">
        <f t="shared" ref="K69:N69" si="45">K68+K67</f>
        <v>15704.410798135095</v>
      </c>
      <c r="L69" s="7">
        <f t="shared" si="45"/>
        <v>20512.985767018436</v>
      </c>
      <c r="M69" s="7">
        <f t="shared" si="45"/>
        <v>26627.553106189393</v>
      </c>
      <c r="N69" s="7">
        <f t="shared" si="45"/>
        <v>34298.76078338243</v>
      </c>
    </row>
    <row r="70" spans="1:18" ht="15" thickTop="1" x14ac:dyDescent="0.3">
      <c r="A70" s="57" t="s">
        <v>175</v>
      </c>
      <c r="B70" s="39">
        <v>-2773</v>
      </c>
      <c r="C70" s="39">
        <v>-1128</v>
      </c>
      <c r="D70" s="39">
        <v>-337</v>
      </c>
      <c r="E70" s="39">
        <v>-781</v>
      </c>
      <c r="F70" s="39">
        <v>-1002</v>
      </c>
      <c r="G70" s="39">
        <v>1058</v>
      </c>
      <c r="H70" s="39">
        <v>-476</v>
      </c>
      <c r="I70" s="39">
        <v>346</v>
      </c>
      <c r="J70" s="39">
        <f>J36-J69</f>
        <v>-1217.5798759409736</v>
      </c>
      <c r="K70" s="39">
        <f t="shared" ref="K70:N70" si="46">K36-K69</f>
        <v>-2692.8633233493038</v>
      </c>
      <c r="L70" s="39">
        <f t="shared" si="46"/>
        <v>-4798.1083094430578</v>
      </c>
      <c r="M70" s="39">
        <f t="shared" si="46"/>
        <v>-7647.6912576911309</v>
      </c>
      <c r="N70" s="39">
        <f t="shared" si="46"/>
        <v>-11375.568619740832</v>
      </c>
    </row>
    <row r="71" spans="1:18" x14ac:dyDescent="0.3">
      <c r="A71" s="1" t="s">
        <v>195</v>
      </c>
      <c r="B71" s="46">
        <v>-2714</v>
      </c>
      <c r="C71" s="46">
        <v>-1256</v>
      </c>
      <c r="D71" s="46">
        <v>-660</v>
      </c>
      <c r="E71" s="46">
        <v>502</v>
      </c>
      <c r="F71" s="46">
        <v>1413</v>
      </c>
      <c r="G71" s="46">
        <v>2867</v>
      </c>
      <c r="H71" s="46">
        <v>-1227</v>
      </c>
      <c r="I71" s="46">
        <v>-719</v>
      </c>
      <c r="J71" s="46">
        <f>J36-J69</f>
        <v>-1217.5798759409736</v>
      </c>
      <c r="K71" s="46">
        <f t="shared" ref="K71:N71" si="47">K36-K69</f>
        <v>-2692.8633233493038</v>
      </c>
      <c r="L71" s="46">
        <f t="shared" si="47"/>
        <v>-4798.1083094430578</v>
      </c>
      <c r="M71" s="46">
        <f t="shared" si="47"/>
        <v>-7647.6912576911309</v>
      </c>
      <c r="N71" s="46">
        <f t="shared" si="47"/>
        <v>-11375.568619740832</v>
      </c>
    </row>
    <row r="72" spans="1:18" x14ac:dyDescent="0.3">
      <c r="E72">
        <f>E71/E21</f>
        <v>0.11814544598729113</v>
      </c>
      <c r="F72">
        <f t="shared" ref="F72:I72" si="48">F71/F21</f>
        <v>0.31639050604567848</v>
      </c>
      <c r="G72">
        <f t="shared" si="48"/>
        <v>0.34343555342597032</v>
      </c>
      <c r="H72">
        <f t="shared" si="48"/>
        <v>-0.12407725755890384</v>
      </c>
      <c r="I72">
        <f t="shared" si="48"/>
        <v>-8.3858175880569166E-2</v>
      </c>
      <c r="R72">
        <f>AVERAGE(E72:I72)</f>
        <v>0.11400721440389336</v>
      </c>
    </row>
    <row r="77" spans="1:18" x14ac:dyDescent="0.3">
      <c r="A77" t="s">
        <v>205</v>
      </c>
      <c r="B77" s="60">
        <v>112.69333115384613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59CB-E9B1-4CB5-A354-F4373DC62EC1}">
  <dimension ref="A1:X89"/>
  <sheetViews>
    <sheetView tabSelected="1" zoomScale="79" workbookViewId="0">
      <pane ySplit="1" topLeftCell="A2" activePane="bottomLeft" state="frozen"/>
      <selection pane="bottomLeft" activeCell="C28" sqref="C28"/>
    </sheetView>
  </sheetViews>
  <sheetFormatPr defaultColWidth="8.88671875" defaultRowHeight="14.4" x14ac:dyDescent="0.3"/>
  <cols>
    <col min="1" max="1" width="42.6640625" customWidth="1"/>
    <col min="2" max="2" width="18.5546875" bestFit="1" customWidth="1"/>
    <col min="3" max="8" width="10.5546875" customWidth="1"/>
    <col min="9" max="9" width="12.109375" customWidth="1"/>
    <col min="10" max="10" width="42.6640625" customWidth="1"/>
    <col min="11" max="11" width="11.5546875" bestFit="1" customWidth="1"/>
    <col min="12" max="15" width="10.5546875" bestFit="1" customWidth="1"/>
    <col min="16" max="20" width="10.33203125" bestFit="1" customWidth="1"/>
    <col min="21" max="21" width="12.88671875" bestFit="1" customWidth="1"/>
  </cols>
  <sheetData>
    <row r="1" spans="1:22" ht="60" customHeight="1" x14ac:dyDescent="0.3">
      <c r="A1" s="88" t="s">
        <v>232</v>
      </c>
      <c r="B1" s="16">
        <v>2015</v>
      </c>
      <c r="C1" s="16">
        <f t="shared" ref="C1:T1" si="0">+B1+1</f>
        <v>2016</v>
      </c>
      <c r="D1" s="16">
        <f t="shared" si="0"/>
        <v>2017</v>
      </c>
      <c r="E1" s="16">
        <f t="shared" si="0"/>
        <v>2018</v>
      </c>
      <c r="F1" s="16">
        <f t="shared" si="0"/>
        <v>2019</v>
      </c>
      <c r="G1" s="16">
        <f t="shared" si="0"/>
        <v>2020</v>
      </c>
      <c r="H1" s="16">
        <f t="shared" si="0"/>
        <v>2021</v>
      </c>
      <c r="I1" s="16">
        <f t="shared" si="0"/>
        <v>2022</v>
      </c>
      <c r="J1" s="89" t="s">
        <v>20</v>
      </c>
      <c r="K1" s="90">
        <f>+I1+1</f>
        <v>2023</v>
      </c>
      <c r="L1" s="90">
        <f t="shared" si="0"/>
        <v>2024</v>
      </c>
      <c r="M1" s="90">
        <f t="shared" si="0"/>
        <v>2025</v>
      </c>
      <c r="N1" s="90">
        <f t="shared" si="0"/>
        <v>2026</v>
      </c>
      <c r="O1" s="90">
        <f t="shared" si="0"/>
        <v>2027</v>
      </c>
      <c r="P1" s="90">
        <f t="shared" si="0"/>
        <v>2028</v>
      </c>
      <c r="Q1" s="90">
        <f t="shared" si="0"/>
        <v>2029</v>
      </c>
      <c r="R1" s="90">
        <f t="shared" si="0"/>
        <v>2030</v>
      </c>
      <c r="S1" s="90">
        <f t="shared" si="0"/>
        <v>2031</v>
      </c>
      <c r="T1" s="90">
        <f t="shared" si="0"/>
        <v>2032</v>
      </c>
      <c r="U1" s="91" t="s">
        <v>233</v>
      </c>
    </row>
    <row r="2" spans="1:22" x14ac:dyDescent="0.3">
      <c r="A2" s="14" t="s">
        <v>234</v>
      </c>
      <c r="B2" s="14"/>
      <c r="C2" s="14"/>
      <c r="D2" s="14"/>
      <c r="E2" s="14"/>
      <c r="F2" s="14"/>
      <c r="G2" s="14"/>
      <c r="H2" s="14"/>
      <c r="I2" s="14"/>
      <c r="J2" s="14"/>
      <c r="K2" s="14"/>
      <c r="L2" s="14"/>
      <c r="M2" s="14"/>
      <c r="N2" s="14"/>
      <c r="O2" s="14"/>
      <c r="P2" s="92"/>
      <c r="Q2" s="92"/>
      <c r="R2" s="92"/>
      <c r="S2" s="92"/>
      <c r="T2" s="92"/>
      <c r="U2" s="92"/>
    </row>
    <row r="3" spans="1:22" x14ac:dyDescent="0.3">
      <c r="A3" t="s">
        <v>235</v>
      </c>
      <c r="B3" s="60">
        <v>50.739719249999986</v>
      </c>
      <c r="C3" s="116">
        <v>51.458445833333336</v>
      </c>
      <c r="D3" s="60">
        <v>52.421139999999987</v>
      </c>
      <c r="E3" s="60">
        <v>70.007558833333334</v>
      </c>
      <c r="F3" s="60">
        <v>83.510798083333327</v>
      </c>
      <c r="G3" s="60">
        <v>83.510798083333327</v>
      </c>
      <c r="H3" s="60">
        <v>103.21681908333333</v>
      </c>
      <c r="I3" s="60">
        <v>146.38809341666663</v>
      </c>
      <c r="K3" s="60">
        <f>'Three Statements'!$B$77</f>
        <v>112.69333115384613</v>
      </c>
      <c r="L3" s="60">
        <f>'Three Statements'!$B$77</f>
        <v>112.69333115384613</v>
      </c>
      <c r="M3" s="60">
        <f>'Three Statements'!$B$77</f>
        <v>112.69333115384613</v>
      </c>
      <c r="N3" s="60">
        <f>'Three Statements'!$B$77</f>
        <v>112.69333115384613</v>
      </c>
      <c r="O3" s="60">
        <f>'Three Statements'!$B$77</f>
        <v>112.69333115384613</v>
      </c>
      <c r="P3" s="60"/>
    </row>
    <row r="4" spans="1:22" x14ac:dyDescent="0.3">
      <c r="A4" t="s">
        <v>236</v>
      </c>
      <c r="B4" s="3">
        <f>(B3*'Three Statements'!B15)-'Three Statements'!B21-'Three Statements'!B71</f>
        <v>88610.415409399968</v>
      </c>
      <c r="C4" s="3">
        <f>(C3*'Three Statements'!C15)-'Three Statements'!C21-'Three Statements'!C71</f>
        <v>87784.341864583344</v>
      </c>
      <c r="D4" s="3">
        <f>(D3*'Three Statements'!D15)-'Three Statements'!D21-'Three Statements'!D71</f>
        <v>85548.568879999977</v>
      </c>
      <c r="E4" s="3">
        <f>(E3*'Three Statements'!E15)-'Three Statements'!E21-'Three Statements'!E71</f>
        <v>111398.54086038333</v>
      </c>
      <c r="F4" s="3">
        <f>(F3*'Three Statements'!F15)-'Three Statements'!F21-'Three Statements'!F71</f>
        <v>129274.87561806667</v>
      </c>
      <c r="G4" s="3">
        <f>(G3*'Three Statements'!G15)-'Three Statements'!G21-'Three Statements'!G71</f>
        <v>121700.78622943332</v>
      </c>
      <c r="H4" s="3">
        <f>(H3*'Three Statements'!H15)-'Three Statements'!H21-'Three Statements'!H71</f>
        <v>157455.14863271668</v>
      </c>
      <c r="I4" s="3">
        <f>(I3*'Three Statements'!I15)-'Three Statements'!I21-'Three Statements'!I71</f>
        <v>227946.94087556662</v>
      </c>
      <c r="K4">
        <f>(K3*'Three Statements'!J15)-'Three Statements'!J21+'Three Statements'!J71</f>
        <v>165310.69705172785</v>
      </c>
      <c r="L4">
        <f>(L3*'Three Statements'!K15)-'Three Statements'!K21+'Three Statements'!K71</f>
        <v>156962.94922310492</v>
      </c>
      <c r="M4">
        <f>(M3*'Three Statements'!L15)-'Three Statements'!L21+'Three Statements'!L71</f>
        <v>146731.02084493038</v>
      </c>
      <c r="N4">
        <f>(N3*'Three Statements'!M15)-'Three Statements'!M21+'Three Statements'!M71</f>
        <v>134281.51586487592</v>
      </c>
      <c r="O4">
        <f>(O3*'Three Statements'!N15)-'Three Statements'!N21+'Three Statements'!N71</f>
        <v>119221.39996583693</v>
      </c>
    </row>
    <row r="5" spans="1:22" x14ac:dyDescent="0.3">
      <c r="A5" t="s">
        <v>237</v>
      </c>
      <c r="B5" s="54">
        <f>B3/'Three Statements'!B16</f>
        <v>27.426875270270262</v>
      </c>
      <c r="C5" s="54">
        <f>C3/'Three Statements'!C16</f>
        <v>23.823354552469134</v>
      </c>
      <c r="D5" s="54">
        <f>D3/'Three Statements'!D16</f>
        <v>20.884916334661352</v>
      </c>
      <c r="E5" s="54">
        <f>E3/'Three Statements'!E16</f>
        <v>59.835520370370375</v>
      </c>
      <c r="F5" s="54">
        <f>F3/'Three Statements'!F16</f>
        <v>33.538473125836674</v>
      </c>
      <c r="G5" s="54">
        <f>G3/'Three Statements'!G16</f>
        <v>52.19424880208333</v>
      </c>
      <c r="H5" s="54">
        <f>H3/'Three Statements'!H16</f>
        <v>28.993488506554307</v>
      </c>
      <c r="I5" s="54">
        <f>I3/'Three Statements'!I16</f>
        <v>39.036824911111104</v>
      </c>
      <c r="K5" s="86">
        <f>K3/'Three Statements'!J16</f>
        <v>26.654890341503165</v>
      </c>
      <c r="L5" s="86">
        <f>L3/'Three Statements'!K16</f>
        <v>22.448544692926454</v>
      </c>
      <c r="M5" s="86">
        <f>M3/'Three Statements'!L16</f>
        <v>18.909430000985619</v>
      </c>
      <c r="N5" s="86">
        <f>N3/'Three Statements'!M16</f>
        <v>15.923659835687866</v>
      </c>
      <c r="O5" s="86">
        <f>O3/'Three Statements'!N16</f>
        <v>13.399638749993956</v>
      </c>
      <c r="P5" s="86"/>
    </row>
    <row r="6" spans="1:22" x14ac:dyDescent="0.3">
      <c r="A6" t="s">
        <v>238</v>
      </c>
      <c r="B6" s="54">
        <f>(B3*'Three Statements'!B15)/'Three Statements'!B45</f>
        <v>7.0629114196427141</v>
      </c>
      <c r="C6" s="54">
        <f>(C3*'Three Statements'!C15)/'Three Statements'!C45</f>
        <v>7.3149242832911847</v>
      </c>
      <c r="D6" s="54">
        <f>(D3*'Three Statements'!D15)/'Three Statements'!D45</f>
        <v>7.1489134262916076</v>
      </c>
      <c r="E6" s="54">
        <f>(E3*'Three Statements'!E15)/'Three Statements'!E45</f>
        <v>11.837499068526634</v>
      </c>
      <c r="F6" s="54">
        <f>(F3*'Three Statements'!F15)/'Three Statements'!F45</f>
        <v>14.950649957750738</v>
      </c>
      <c r="G6" s="54">
        <f>(G3*'Three Statements'!G15)/'Three Statements'!G45</f>
        <v>16.501028706323194</v>
      </c>
      <c r="H6" s="54">
        <f>(H3*'Three Statements'!H15)/'Three Statements'!H45</f>
        <v>13.011447374693873</v>
      </c>
      <c r="I6" s="54">
        <f>(I3*'Three Statements'!I15)/'Three Statements'!I45</f>
        <v>15.431054307674016</v>
      </c>
      <c r="K6" s="86">
        <f>(K3*'Three Statements'!B15)/'Three Statements'!J45</f>
        <v>11.564537091642725</v>
      </c>
      <c r="L6" s="86">
        <f>(L3*'Three Statements'!C15)/'Three Statements'!K45</f>
        <v>9.8846179880517688</v>
      </c>
      <c r="M6" s="86">
        <f>(M3*'Three Statements'!D15)/'Three Statements'!L45</f>
        <v>8.1871856521709923</v>
      </c>
      <c r="N6" s="86">
        <f>(N3*'Three Statements'!E15)/'Three Statements'!M45</f>
        <v>6.7624826678168795</v>
      </c>
      <c r="O6" s="86">
        <f>(O3*'Three Statements'!F15)/'Three Statements'!N45</f>
        <v>5.5090983948068128</v>
      </c>
    </row>
    <row r="7" spans="1:22" x14ac:dyDescent="0.3">
      <c r="A7" t="s">
        <v>239</v>
      </c>
      <c r="B7" s="54">
        <f>B4/'Three Statements'!B5</f>
        <v>18.311720481380444</v>
      </c>
      <c r="C7" s="54">
        <f>C4/'Three Statements'!C5</f>
        <v>16.591257203663456</v>
      </c>
      <c r="D7" s="54">
        <f>D4/'Three Statements'!D5</f>
        <v>15.138660215890988</v>
      </c>
      <c r="E7" s="54">
        <f>E4/'Three Statements'!E5</f>
        <v>21.732060253683834</v>
      </c>
      <c r="F7" s="54">
        <f>F4/'Three Statements'!F5</f>
        <v>23.271804791731174</v>
      </c>
      <c r="G7" s="54">
        <f>G4/'Three Statements'!G5</f>
        <v>32.918795301442607</v>
      </c>
      <c r="H7" s="54">
        <f>H4/'Three Statements'!H5</f>
        <v>20.536735180998654</v>
      </c>
      <c r="I7" s="54">
        <f>I4/'Three Statements'!I5</f>
        <v>30.0999525783133</v>
      </c>
      <c r="K7">
        <f>K4/'Three Statements'!J5</f>
        <v>18.774628939383117</v>
      </c>
      <c r="L7">
        <f>L4/'Three Statements'!K5</f>
        <v>15.348685948550548</v>
      </c>
      <c r="M7">
        <f>M4/'Three Statements'!L5</f>
        <v>12.363128063545368</v>
      </c>
      <c r="N7">
        <f>N4/'Three Statements'!M5</f>
        <v>9.7536296734700407</v>
      </c>
      <c r="O7">
        <f>O4/'Three Statements'!N5</f>
        <v>7.4671930899004604</v>
      </c>
    </row>
    <row r="8" spans="1:22" x14ac:dyDescent="0.3">
      <c r="A8" t="s">
        <v>240</v>
      </c>
      <c r="B8" s="54">
        <f>B4/'Three Statements'!B54</f>
        <v>16.615491357472337</v>
      </c>
      <c r="C8" s="54">
        <f>C4/'Three Statements'!C54</f>
        <v>29.203041205782881</v>
      </c>
      <c r="D8" s="54">
        <f>D4/'Three Statements'!D54</f>
        <v>29.009348552051534</v>
      </c>
      <c r="E8" s="54">
        <f>E4/'Three Statements'!E54</f>
        <v>30.536880718306836</v>
      </c>
      <c r="F8" s="54">
        <f>F4/'Three Statements'!F54</f>
        <v>47.457737011037693</v>
      </c>
      <c r="G8" s="54">
        <f>G4/'Three Statements'!G54</f>
        <v>142.00791858743676</v>
      </c>
      <c r="H8" s="54">
        <f>H4/'Three Statements'!H54</f>
        <v>32.206002992987663</v>
      </c>
      <c r="I8" s="54">
        <f>I4/'Three Statements'!I54</f>
        <v>56.338838575275979</v>
      </c>
      <c r="K8">
        <f>K4/'Three Statements'!J54</f>
        <v>26.216816407633914</v>
      </c>
      <c r="L8">
        <f>L4/'Three Statements'!K54</f>
        <v>23.577244692519493</v>
      </c>
      <c r="M8">
        <f>M4/'Three Statements'!L54</f>
        <v>18.860532840601302</v>
      </c>
      <c r="N8">
        <f>N4/'Three Statements'!M54</f>
        <v>14.794370725788593</v>
      </c>
      <c r="O8">
        <f>O4/'Three Statements'!N54</f>
        <v>11.272659314567058</v>
      </c>
    </row>
    <row r="9" spans="1:22" x14ac:dyDescent="0.3">
      <c r="A9" t="s">
        <v>241</v>
      </c>
      <c r="B9" s="108">
        <f>'Three Statements'!B36/'Three Statements'!B45</f>
        <v>8.4913827024474697E-2</v>
      </c>
      <c r="C9" s="108">
        <f>'Three Statements'!C36/'Three Statements'!C45</f>
        <v>0.16397454723445912</v>
      </c>
      <c r="D9" s="108">
        <f>'Three Statements'!D36/'Three Statements'!D45</f>
        <v>0.27976142500201501</v>
      </c>
      <c r="E9" s="108">
        <f>'Three Statements'!E36/'Three Statements'!E45</f>
        <v>0.35344476151651039</v>
      </c>
      <c r="F9" s="108">
        <f>'Three Statements'!F36/'Three Statements'!F45</f>
        <v>0.38318584070796458</v>
      </c>
      <c r="G9" s="108">
        <f>'Three Statements'!G36/'Three Statements'!G45</f>
        <v>1.1677219118559901</v>
      </c>
      <c r="H9" s="108">
        <f>'Three Statements'!H36/'Three Statements'!H45</f>
        <v>0.73729145453121325</v>
      </c>
      <c r="I9" s="108">
        <f>'Three Statements'!I36/'Three Statements'!I45</f>
        <v>0.58373143118905835</v>
      </c>
      <c r="K9" s="86">
        <f>'Three Statements'!J36/'Three Statements'!J45</f>
        <v>0.6250261815350483</v>
      </c>
      <c r="L9" s="86">
        <f>'Three Statements'!K36/'Three Statements'!K45</f>
        <v>0.65496461429783903</v>
      </c>
      <c r="M9" s="86">
        <f>'Three Statements'!L36/'Three Statements'!L45</f>
        <v>0.67475647699409758</v>
      </c>
      <c r="N9" s="86">
        <f>'Three Statements'!M36/'Three Statements'!M45</f>
        <v>0.68648085844578755</v>
      </c>
      <c r="O9" s="86">
        <f>'Three Statements'!N36/'Three Statements'!N45</f>
        <v>0.69242308383929108</v>
      </c>
    </row>
    <row r="10" spans="1:22" x14ac:dyDescent="0.3">
      <c r="A10" t="s">
        <v>242</v>
      </c>
      <c r="B10" s="108">
        <f>'Three Statements'!B36/('Three Statements'!B36+'Three Statements'!B45)</f>
        <v>7.826780792107936E-2</v>
      </c>
      <c r="C10" s="108">
        <f>'Three Statements'!C36/('Three Statements'!C36+'Three Statements'!C45)</f>
        <v>0.14087468460891506</v>
      </c>
      <c r="D10" s="108">
        <f>'Three Statements'!D36/('Three Statements'!D36+'Three Statements'!D45)</f>
        <v>0.21860435823151531</v>
      </c>
      <c r="E10" s="108">
        <f>'Three Statements'!E36/('Three Statements'!E36+'Three Statements'!E45)</f>
        <v>0.261144578313253</v>
      </c>
      <c r="F10" s="108">
        <f>'Three Statements'!F36/('Three Statements'!F36+'Three Statements'!F45)</f>
        <v>0.27703134996801021</v>
      </c>
      <c r="G10" s="108">
        <f>'Three Statements'!G36/('Three Statements'!G36+'Three Statements'!G45)</f>
        <v>0.53868621499341385</v>
      </c>
      <c r="H10" s="108">
        <f>'Three Statements'!H36/('Three Statements'!H36+'Three Statements'!H45)</f>
        <v>0.42439134355275021</v>
      </c>
      <c r="I10" s="108">
        <f>'Three Statements'!I36/('Three Statements'!I36+'Three Statements'!I45)</f>
        <v>0.36857981075162183</v>
      </c>
      <c r="K10" s="86">
        <f>'Three Statements'!J36/('Three Statements'!J36+'Three Statements'!J45)</f>
        <v>0.38462529935648782</v>
      </c>
      <c r="L10" s="86">
        <f>'Three Statements'!K36/('Three Statements'!K36+'Three Statements'!K45)</f>
        <v>0.3957574733860546</v>
      </c>
      <c r="M10" s="86">
        <f>'Three Statements'!L36/('Three Statements'!L36+'Three Statements'!L45)</f>
        <v>0.40289826387485927</v>
      </c>
      <c r="N10" s="86">
        <f>'Three Statements'!M36/('Three Statements'!M36+'Three Statements'!M45)</f>
        <v>0.40704930329208044</v>
      </c>
      <c r="O10" s="86">
        <f>'Three Statements'!N36/('Three Statements'!N36+'Three Statements'!N45)</f>
        <v>0.40913119801492975</v>
      </c>
    </row>
    <row r="11" spans="1:22" x14ac:dyDescent="0.3">
      <c r="A11" t="s">
        <v>243</v>
      </c>
      <c r="B11" s="93">
        <f>'Three Statements'!B14/'Three Statements'!B45</f>
        <v>0.25757456520028332</v>
      </c>
      <c r="C11" s="93">
        <f>'Three Statements'!C14/'Three Statements'!C45</f>
        <v>0.3067384565181922</v>
      </c>
      <c r="D11" s="93">
        <f>'Three Statements'!D14/'Three Statements'!D45</f>
        <v>0.34174256468122832</v>
      </c>
      <c r="E11" s="93">
        <f>'Three Statements'!E14/'Three Statements'!E45</f>
        <v>0.19700366897676314</v>
      </c>
      <c r="F11" s="93">
        <f>'Three Statements'!F14/'Three Statements'!F45</f>
        <v>0.44568584070796458</v>
      </c>
      <c r="G11" s="93">
        <f>'Three Statements'!G14/'Three Statements'!G45</f>
        <v>0.31520794537554314</v>
      </c>
      <c r="H11" s="93">
        <f>'Three Statements'!H14/'Three Statements'!H45</f>
        <v>0.44857836610010182</v>
      </c>
      <c r="I11" s="93">
        <f>'Three Statements'!I14/'Three Statements'!I45</f>
        <v>0.3956547346377855</v>
      </c>
      <c r="K11" s="86">
        <f>'Three Statements'!J14/'Three Statements'!J45</f>
        <v>0.38856092311619134</v>
      </c>
      <c r="L11" s="86">
        <f>'Three Statements'!K14/'Three Statements'!K45</f>
        <v>0.39321654664781513</v>
      </c>
      <c r="M11" s="86">
        <f>'Three Statements'!L14/'Three Statements'!L45</f>
        <v>0.39065411030073921</v>
      </c>
      <c r="N11" s="86">
        <f>'Three Statements'!M14/'Three Statements'!M45</f>
        <v>0.38285883089505479</v>
      </c>
      <c r="O11" s="86">
        <f>'Three Statements'!N14/'Three Statements'!N45</f>
        <v>0.37171728865273312</v>
      </c>
    </row>
    <row r="15" spans="1:22" x14ac:dyDescent="0.3">
      <c r="A15" t="s">
        <v>244</v>
      </c>
      <c r="B15" s="3">
        <f>'Three Statements'!B54</f>
        <v>5333</v>
      </c>
      <c r="C15" s="3">
        <f>'Three Statements'!C54</f>
        <v>3006</v>
      </c>
      <c r="D15" s="3">
        <f>'Three Statements'!D54</f>
        <v>2949</v>
      </c>
      <c r="E15" s="3">
        <f>'Three Statements'!E54</f>
        <v>3648</v>
      </c>
      <c r="F15" s="3">
        <f>'Three Statements'!F54</f>
        <v>2724</v>
      </c>
      <c r="G15" s="3">
        <f>'Three Statements'!G54</f>
        <v>857</v>
      </c>
      <c r="H15" s="3">
        <f>'Three Statements'!H54</f>
        <v>4889</v>
      </c>
      <c r="I15" s="3">
        <f>'Three Statements'!I54</f>
        <v>4046</v>
      </c>
      <c r="J15" t="s">
        <v>245</v>
      </c>
      <c r="K15" s="3">
        <f>'Three Statements'!J54</f>
        <v>6305.5214058558249</v>
      </c>
      <c r="L15" s="3">
        <f>'Three Statements'!K54</f>
        <v>6657.3915345123251</v>
      </c>
      <c r="M15" s="3">
        <f>'Three Statements'!L54</f>
        <v>7779.7919117672382</v>
      </c>
      <c r="N15" s="3">
        <f>'Three Statements'!M54</f>
        <v>9076.5277113682878</v>
      </c>
      <c r="O15" s="3">
        <f>'Three Statements'!N54</f>
        <v>10576.155691299342</v>
      </c>
      <c r="P15" s="86">
        <f>O15*(1+$J$16)</f>
        <v>12047.030765622487</v>
      </c>
      <c r="Q15" s="86">
        <f t="shared" ref="Q15:T15" si="1">P15*(1+$J$16)</f>
        <v>13722.46726542133</v>
      </c>
      <c r="R15" s="86">
        <f t="shared" si="1"/>
        <v>15630.914497862155</v>
      </c>
      <c r="S15" s="86">
        <f t="shared" si="1"/>
        <v>17804.77834734158</v>
      </c>
      <c r="T15" s="86">
        <f t="shared" si="1"/>
        <v>20280.971535051332</v>
      </c>
      <c r="U15" s="86">
        <f>(T15*(1+0.1)/(B17-0.1))</f>
        <v>1217849.8064945119</v>
      </c>
      <c r="V15" t="s">
        <v>276</v>
      </c>
    </row>
    <row r="16" spans="1:22" s="98" customFormat="1" ht="12" x14ac:dyDescent="0.25">
      <c r="A16" s="94" t="s">
        <v>129</v>
      </c>
      <c r="B16" s="95"/>
      <c r="C16" s="96">
        <f>C15/B15-1</f>
        <v>-0.43633977123570222</v>
      </c>
      <c r="D16" s="96">
        <f t="shared" ref="D16:O16" si="2">D15/C15-1</f>
        <v>-1.8962075848303339E-2</v>
      </c>
      <c r="E16" s="96">
        <f t="shared" si="2"/>
        <v>0.23702950152594093</v>
      </c>
      <c r="F16" s="96">
        <f t="shared" si="2"/>
        <v>-0.25328947368421051</v>
      </c>
      <c r="G16" s="96">
        <f t="shared" si="2"/>
        <v>-0.68538913362701903</v>
      </c>
      <c r="H16" s="96">
        <f t="shared" si="2"/>
        <v>4.7047841306884477</v>
      </c>
      <c r="I16" s="96">
        <f t="shared" si="2"/>
        <v>-0.17242789936592351</v>
      </c>
      <c r="J16" s="96">
        <f>AVERAGE(L16:O16)</f>
        <v>0.13907464273934478</v>
      </c>
      <c r="K16" s="96">
        <f>K15/I15-1</f>
        <v>0.5584580835036641</v>
      </c>
      <c r="L16" s="96">
        <f t="shared" si="2"/>
        <v>5.5803494431043266E-2</v>
      </c>
      <c r="M16" s="96">
        <f t="shared" si="2"/>
        <v>0.16859461719148117</v>
      </c>
      <c r="N16" s="96">
        <f t="shared" si="2"/>
        <v>0.16668001076477212</v>
      </c>
      <c r="O16" s="96">
        <f t="shared" si="2"/>
        <v>0.16522044857008256</v>
      </c>
      <c r="P16" s="122">
        <f t="shared" ref="P16" si="3">P15/O15-1</f>
        <v>0.13907464273934478</v>
      </c>
      <c r="Q16" s="122">
        <f t="shared" ref="Q16" si="4">Q15/P15-1</f>
        <v>0.13907464273934478</v>
      </c>
      <c r="R16" s="122">
        <f t="shared" ref="R16" si="5">R15/Q15-1</f>
        <v>0.13907464273934478</v>
      </c>
      <c r="S16" s="122">
        <f t="shared" ref="S16" si="6">S15/R15-1</f>
        <v>0.13907464273934478</v>
      </c>
      <c r="T16" s="122">
        <f t="shared" ref="T16" si="7">T15/S15-1</f>
        <v>0.13907464273934478</v>
      </c>
      <c r="U16" s="97"/>
    </row>
    <row r="17" spans="1:22" x14ac:dyDescent="0.3">
      <c r="A17" t="s">
        <v>246</v>
      </c>
      <c r="B17" s="117">
        <f>(B22*B25)+(B19*B26)</f>
        <v>0.11831840722032172</v>
      </c>
      <c r="J17" t="s">
        <v>247</v>
      </c>
      <c r="K17" s="3" t="s">
        <v>277</v>
      </c>
      <c r="L17" s="3"/>
      <c r="M17" s="3"/>
      <c r="N17" s="3"/>
      <c r="O17" s="3"/>
      <c r="P17" t="s">
        <v>281</v>
      </c>
    </row>
    <row r="18" spans="1:22" x14ac:dyDescent="0.3">
      <c r="A18" s="2" t="s">
        <v>248</v>
      </c>
      <c r="B18">
        <v>1.08</v>
      </c>
      <c r="J18" s="2" t="s">
        <v>272</v>
      </c>
    </row>
    <row r="19" spans="1:22" x14ac:dyDescent="0.3">
      <c r="A19" s="2" t="s">
        <v>249</v>
      </c>
      <c r="B19" s="99">
        <f>B20+B18*(B21-B20)</f>
        <v>0.20202560000000003</v>
      </c>
      <c r="I19" s="99"/>
      <c r="J19" s="2" t="s">
        <v>250</v>
      </c>
      <c r="K19" s="99"/>
      <c r="L19" s="99"/>
      <c r="M19" s="99"/>
      <c r="N19" s="99"/>
      <c r="O19" s="99"/>
      <c r="P19" s="99"/>
      <c r="Q19" s="99"/>
      <c r="R19" s="99"/>
      <c r="S19" s="99"/>
      <c r="T19" s="99"/>
      <c r="U19" s="99"/>
    </row>
    <row r="20" spans="1:22" x14ac:dyDescent="0.3">
      <c r="A20" s="2" t="s">
        <v>251</v>
      </c>
      <c r="B20" s="99">
        <v>4.2380000000000001E-2</v>
      </c>
      <c r="I20" s="99"/>
      <c r="J20" s="100" t="s">
        <v>252</v>
      </c>
      <c r="K20" s="99"/>
      <c r="L20" s="99"/>
      <c r="M20" s="99"/>
      <c r="N20" s="99"/>
      <c r="O20" s="99"/>
      <c r="P20" s="99"/>
      <c r="Q20" s="99"/>
      <c r="R20" s="99"/>
      <c r="S20" s="99"/>
      <c r="T20" s="99"/>
      <c r="U20" s="99"/>
    </row>
    <row r="21" spans="1:22" x14ac:dyDescent="0.3">
      <c r="A21" s="2" t="s">
        <v>253</v>
      </c>
      <c r="B21" s="99">
        <v>0.19020000000000001</v>
      </c>
      <c r="I21" s="99"/>
      <c r="J21" s="2" t="s">
        <v>254</v>
      </c>
      <c r="K21" s="99"/>
      <c r="L21" s="99"/>
      <c r="M21" s="99"/>
      <c r="N21" s="99"/>
      <c r="O21" s="99"/>
      <c r="P21" s="99"/>
      <c r="Q21" s="99"/>
      <c r="R21" s="99"/>
      <c r="S21" s="99"/>
      <c r="T21" s="99"/>
      <c r="U21" s="99"/>
    </row>
    <row r="22" spans="1:22" x14ac:dyDescent="0.3">
      <c r="A22" s="2" t="s">
        <v>255</v>
      </c>
      <c r="B22" s="115">
        <f>('Three Statements'!I10/('Three Statements'!I33+'Three Statements'!I36+'Three Statements'!I37))*(1-0.2)</f>
        <v>1.3445929326883661E-2</v>
      </c>
      <c r="J22" t="s">
        <v>273</v>
      </c>
      <c r="K22" s="99"/>
      <c r="L22" s="99"/>
      <c r="M22" s="99"/>
      <c r="N22" s="99"/>
      <c r="O22" s="99"/>
      <c r="P22" s="99"/>
      <c r="Q22" s="99"/>
      <c r="R22" s="99"/>
      <c r="S22" s="99"/>
      <c r="T22" s="99"/>
      <c r="U22" s="99"/>
    </row>
    <row r="23" spans="1:22" x14ac:dyDescent="0.3">
      <c r="A23" s="2" t="s">
        <v>257</v>
      </c>
      <c r="B23" s="99">
        <f>('Three Statements'!I33+'Three Statements'!I36+'Three Statements'!I37)/'Three Statements'!I31</f>
        <v>0.32997862727592459</v>
      </c>
      <c r="C23" t="s">
        <v>278</v>
      </c>
      <c r="I23" s="99"/>
      <c r="J23" t="s">
        <v>256</v>
      </c>
      <c r="K23" s="99"/>
      <c r="L23" s="99"/>
      <c r="M23" s="99"/>
      <c r="N23" s="99"/>
      <c r="O23" s="99"/>
      <c r="P23" s="99"/>
      <c r="Q23" s="99"/>
      <c r="R23" s="99"/>
      <c r="S23" s="99"/>
      <c r="T23" s="99"/>
      <c r="U23" s="99"/>
    </row>
    <row r="24" spans="1:22" x14ac:dyDescent="0.3">
      <c r="A24" t="s">
        <v>258</v>
      </c>
      <c r="J24" t="s">
        <v>259</v>
      </c>
      <c r="K24" s="3">
        <f>K15/(1+$B$17)^1</f>
        <v>5638.3954383159526</v>
      </c>
      <c r="L24" s="3">
        <f>L15/(1+$B$17)^2</f>
        <v>5323.2045259407232</v>
      </c>
      <c r="M24" s="3">
        <f>M15/(1+$B$17)^3</f>
        <v>5562.5196858609115</v>
      </c>
      <c r="N24" s="3">
        <f>N15/(1+$B$17)^4</f>
        <v>5803.0704717721082</v>
      </c>
      <c r="O24" s="3">
        <f>O15/(1+$B$17)^5</f>
        <v>6046.4500401180749</v>
      </c>
      <c r="P24" s="3">
        <f>P15/(1+$B$17)^6</f>
        <v>6158.673482275879</v>
      </c>
      <c r="Q24" s="3">
        <f>Q15/(1+$B$17)^7</f>
        <v>6272.9798161943336</v>
      </c>
      <c r="R24" s="3">
        <f>R15/(1+$B$17)^8</f>
        <v>6389.4077008024751</v>
      </c>
      <c r="S24" s="3">
        <f>S15/(1+$B$17)^9</f>
        <v>6507.996512547561</v>
      </c>
      <c r="T24" s="3">
        <f>T15/(1+$B$17)^10</f>
        <v>6628.7863587123711</v>
      </c>
      <c r="V24" t="s">
        <v>279</v>
      </c>
    </row>
    <row r="25" spans="1:22" x14ac:dyDescent="0.3">
      <c r="A25" s="2" t="s">
        <v>274</v>
      </c>
      <c r="B25" s="86">
        <f>('Three Statements'!I33+'Three Statements'!I36+'Three Statements'!I37)/('Three Statements'!I33+'Three Statements'!I36+'Three Statements'!I37+'Three Statements'!I45)</f>
        <v>0.44388237863017688</v>
      </c>
      <c r="K25" s="3"/>
      <c r="L25" s="3"/>
      <c r="M25" s="3"/>
      <c r="N25" s="3"/>
      <c r="O25" s="3"/>
    </row>
    <row r="26" spans="1:22" ht="15" thickBot="1" x14ac:dyDescent="0.35">
      <c r="A26" s="2" t="s">
        <v>275</v>
      </c>
      <c r="B26" s="60">
        <f>'Three Statements'!I45/('Three Statements'!I33+'Three Statements'!I36+'Three Statements'!I37+'Three Statements'!I45)</f>
        <v>0.55611762136982312</v>
      </c>
      <c r="C26" s="86"/>
      <c r="K26" s="3"/>
      <c r="L26" s="3"/>
      <c r="M26" s="3"/>
      <c r="N26" s="3"/>
      <c r="O26" s="3"/>
    </row>
    <row r="27" spans="1:22" x14ac:dyDescent="0.3">
      <c r="A27" s="101" t="s">
        <v>260</v>
      </c>
      <c r="B27" s="118">
        <f>SUM(K24:T24)</f>
        <v>60331.484032540393</v>
      </c>
      <c r="K27" s="3"/>
      <c r="L27" s="3"/>
      <c r="M27" s="3"/>
      <c r="N27" s="3"/>
      <c r="O27" s="3"/>
    </row>
    <row r="28" spans="1:22" x14ac:dyDescent="0.3">
      <c r="A28" s="102" t="s">
        <v>261</v>
      </c>
      <c r="B28" s="119">
        <f>U15</f>
        <v>1217849.8064945119</v>
      </c>
      <c r="C28" t="s">
        <v>280</v>
      </c>
      <c r="K28" s="3"/>
      <c r="L28" s="3"/>
      <c r="M28" s="3"/>
      <c r="N28" s="3"/>
      <c r="O28" s="3"/>
    </row>
    <row r="29" spans="1:22" x14ac:dyDescent="0.3">
      <c r="A29" s="102" t="s">
        <v>262</v>
      </c>
      <c r="B29" s="120">
        <f>SUM(B27:B28)</f>
        <v>1278181.2905270522</v>
      </c>
    </row>
    <row r="30" spans="1:22" x14ac:dyDescent="0.3">
      <c r="A30" s="102" t="s">
        <v>263</v>
      </c>
      <c r="B30" s="103">
        <f>'Three Statements'!I33+'Three Statements'!J36+'Three Statements'!I34</f>
        <v>11283.254080132394</v>
      </c>
    </row>
    <row r="31" spans="1:22" x14ac:dyDescent="0.3">
      <c r="A31" s="102" t="s">
        <v>264</v>
      </c>
      <c r="B31" s="120">
        <f>B29-B30</f>
        <v>1266898.0364469199</v>
      </c>
    </row>
    <row r="32" spans="1:22" ht="15" thickBot="1" x14ac:dyDescent="0.35">
      <c r="A32" s="104" t="s">
        <v>265</v>
      </c>
      <c r="B32" s="121">
        <f>B31/'Three Statements'!I15</f>
        <v>786.5023817028308</v>
      </c>
    </row>
    <row r="89" spans="24:24" x14ac:dyDescent="0.3">
      <c r="X89">
        <v>113.42315483333333</v>
      </c>
    </row>
  </sheetData>
  <hyperlinks>
    <hyperlink ref="J20" r:id="rId1" xr:uid="{2E234989-717C-4576-8E13-8CB0630ED959}"/>
  </hyperlinks>
  <pageMargins left="0.7" right="0.7" top="0.75" bottom="0.75" header="0.3" footer="0.3"/>
  <pageSetup orientation="portrait" horizontalDpi="300"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10C3-2F29-41A9-8B65-E72DBF2DA303}">
  <dimension ref="E7:L18"/>
  <sheetViews>
    <sheetView workbookViewId="0">
      <selection activeCell="E7" sqref="E7"/>
    </sheetView>
  </sheetViews>
  <sheetFormatPr defaultRowHeight="14.4" x14ac:dyDescent="0.3"/>
  <sheetData>
    <row r="7" spans="5:12" x14ac:dyDescent="0.3">
      <c r="E7" s="110">
        <f>AVERAGE(G7:G18)</f>
        <v>4077.6424999999999</v>
      </c>
      <c r="F7" s="109">
        <v>44573</v>
      </c>
      <c r="G7" s="111">
        <v>3839.5</v>
      </c>
      <c r="H7" s="112">
        <v>4089.5</v>
      </c>
      <c r="I7" s="112">
        <v>4103.05</v>
      </c>
      <c r="J7" s="112">
        <v>3764.14</v>
      </c>
      <c r="K7" s="113"/>
      <c r="L7" s="114">
        <v>-5.8999999999999997E-2</v>
      </c>
    </row>
    <row r="8" spans="5:12" x14ac:dyDescent="0.3">
      <c r="F8" s="109">
        <v>44572</v>
      </c>
      <c r="G8" s="111">
        <v>4080.11</v>
      </c>
      <c r="H8" s="112">
        <v>3911.5</v>
      </c>
      <c r="I8" s="112">
        <v>4080.11</v>
      </c>
      <c r="J8" s="112">
        <v>3695.6</v>
      </c>
      <c r="K8" s="113"/>
      <c r="L8" s="114">
        <v>5.3800000000000001E-2</v>
      </c>
    </row>
    <row r="9" spans="5:12" x14ac:dyDescent="0.3">
      <c r="F9" s="109">
        <v>44571</v>
      </c>
      <c r="G9" s="111">
        <v>3871.98</v>
      </c>
      <c r="H9" s="112">
        <v>3624.07</v>
      </c>
      <c r="I9" s="112">
        <v>3906.05</v>
      </c>
      <c r="J9" s="112">
        <v>3490</v>
      </c>
      <c r="K9" s="113"/>
      <c r="L9" s="114">
        <v>7.9899999999999999E-2</v>
      </c>
    </row>
    <row r="10" spans="5:12" x14ac:dyDescent="0.3">
      <c r="F10" s="109">
        <v>44570</v>
      </c>
      <c r="G10" s="111">
        <v>3585.62</v>
      </c>
      <c r="H10" s="112">
        <v>3929.9</v>
      </c>
      <c r="I10" s="112">
        <v>4119.6899999999996</v>
      </c>
      <c r="J10" s="112">
        <v>3585.4</v>
      </c>
      <c r="K10" s="113"/>
      <c r="L10" s="114">
        <v>-9.3399999999999997E-2</v>
      </c>
    </row>
    <row r="11" spans="5:12" x14ac:dyDescent="0.3">
      <c r="F11" s="109">
        <v>44569</v>
      </c>
      <c r="G11" s="111">
        <v>3955</v>
      </c>
      <c r="H11" s="112">
        <v>4103.38</v>
      </c>
      <c r="I11" s="112">
        <v>4325.5</v>
      </c>
      <c r="J11" s="112">
        <v>3954.9</v>
      </c>
      <c r="K11" s="113"/>
      <c r="L11" s="114">
        <v>-4.24E-2</v>
      </c>
    </row>
    <row r="12" spans="5:12" x14ac:dyDescent="0.3">
      <c r="F12" s="109">
        <v>44568</v>
      </c>
      <c r="G12" s="111">
        <v>4130.29</v>
      </c>
      <c r="H12" s="112">
        <v>3779.27</v>
      </c>
      <c r="I12" s="112">
        <v>4140</v>
      </c>
      <c r="J12" s="112">
        <v>3720.25</v>
      </c>
      <c r="K12" s="113"/>
      <c r="L12" s="114">
        <v>9.11E-2</v>
      </c>
    </row>
    <row r="13" spans="5:12" x14ac:dyDescent="0.3">
      <c r="F13" s="109">
        <v>44567</v>
      </c>
      <c r="G13" s="111">
        <v>3785.38</v>
      </c>
      <c r="H13" s="112">
        <v>4156.1000000000004</v>
      </c>
      <c r="I13" s="112">
        <v>4177.6000000000004</v>
      </c>
      <c r="J13" s="112">
        <v>3636.82</v>
      </c>
      <c r="K13" s="113"/>
      <c r="L13" s="114">
        <v>-8.3900000000000002E-2</v>
      </c>
    </row>
    <row r="14" spans="5:12" x14ac:dyDescent="0.3">
      <c r="F14" s="109">
        <v>44566</v>
      </c>
      <c r="G14" s="111">
        <v>4132.1499999999996</v>
      </c>
      <c r="H14" s="112">
        <v>4132.7</v>
      </c>
      <c r="I14" s="112">
        <v>4307.8999999999996</v>
      </c>
      <c r="J14" s="112">
        <v>3810.5</v>
      </c>
      <c r="K14" s="113"/>
      <c r="L14" s="114">
        <v>1E-4</v>
      </c>
    </row>
    <row r="15" spans="5:12" x14ac:dyDescent="0.3">
      <c r="F15" s="109">
        <v>44565</v>
      </c>
      <c r="G15" s="111">
        <v>4131.93</v>
      </c>
      <c r="H15" s="112">
        <v>4547.8999999999996</v>
      </c>
      <c r="I15" s="112">
        <v>4593.8999999999996</v>
      </c>
      <c r="J15" s="112">
        <v>4123.87</v>
      </c>
      <c r="K15" s="113"/>
      <c r="L15" s="114">
        <v>-8.7999999999999995E-2</v>
      </c>
    </row>
    <row r="16" spans="5:12" x14ac:dyDescent="0.3">
      <c r="F16" s="109">
        <v>44564</v>
      </c>
      <c r="G16" s="111">
        <v>4530.41</v>
      </c>
      <c r="H16" s="112">
        <v>4358.08</v>
      </c>
      <c r="I16" s="112">
        <v>4637.8999999999996</v>
      </c>
      <c r="J16" s="112">
        <v>4157.2</v>
      </c>
      <c r="K16" s="113"/>
      <c r="L16" s="114">
        <v>3.5799999999999998E-2</v>
      </c>
    </row>
    <row r="17" spans="6:12" x14ac:dyDescent="0.3">
      <c r="F17" s="109">
        <v>44563</v>
      </c>
      <c r="G17" s="111">
        <v>4373.79</v>
      </c>
      <c r="H17" s="112">
        <v>4521.3500000000004</v>
      </c>
      <c r="I17" s="112">
        <v>4595.1000000000004</v>
      </c>
      <c r="J17" s="112">
        <v>4114.5</v>
      </c>
      <c r="K17" s="113"/>
      <c r="L17" s="114">
        <v>-3.1399999999999997E-2</v>
      </c>
    </row>
    <row r="18" spans="6:12" x14ac:dyDescent="0.3">
      <c r="F18" s="109">
        <v>44562</v>
      </c>
      <c r="G18" s="111">
        <v>4515.55</v>
      </c>
      <c r="H18" s="1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Historicals</vt:lpstr>
      <vt:lpstr>Segmental forecast</vt:lpstr>
      <vt:lpstr>Sheet1</vt:lpstr>
      <vt:lpstr>Sheet3</vt:lpstr>
      <vt:lpstr>Three Statements</vt:lpstr>
      <vt:lpstr>Schedules</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2023-12-06T14:30:21Z</dcterms:modified>
</cp:coreProperties>
</file>