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FB61BC01-05A9-4026-BBBC-E5B5176CD6F3}" xr6:coauthVersionLast="47" xr6:coauthVersionMax="47" xr10:uidLastSave="{00000000-0000-0000-0000-000000000000}"/>
  <bookViews>
    <workbookView xWindow="-108" yWindow="-108" windowWidth="23256" windowHeight="13896" activeTab="2" xr2:uid="{00000000-000D-0000-FFFF-FFFF00000000}"/>
  </bookViews>
  <sheets>
    <sheet name="Instructions" sheetId="1" r:id="rId1"/>
    <sheet name="Financial Statements" sheetId="2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3" l="1"/>
  <c r="E51" i="3"/>
  <c r="C51" i="3"/>
  <c r="D47" i="3"/>
  <c r="E47" i="3"/>
  <c r="C47" i="3"/>
  <c r="D43" i="3"/>
  <c r="D42" i="3" s="1"/>
  <c r="E43" i="3"/>
  <c r="E42" i="3" s="1"/>
  <c r="C43" i="3"/>
  <c r="C42" i="3" s="1"/>
  <c r="D41" i="3"/>
  <c r="E41" i="3"/>
  <c r="C41" i="3"/>
  <c r="E40" i="3"/>
  <c r="D40" i="3"/>
  <c r="C40" i="3"/>
  <c r="E9" i="3"/>
  <c r="E36" i="3"/>
  <c r="D36" i="3"/>
  <c r="C36" i="3"/>
  <c r="C30" i="3"/>
  <c r="D31" i="3"/>
  <c r="D30" i="3" s="1"/>
  <c r="E31" i="3"/>
  <c r="E30" i="3" s="1"/>
  <c r="C31" i="3"/>
  <c r="D27" i="3" l="1"/>
  <c r="E27" i="3"/>
  <c r="C27" i="3"/>
  <c r="D25" i="3" l="1"/>
  <c r="E25" i="3"/>
  <c r="C25" i="3"/>
  <c r="E10" i="3"/>
  <c r="D10" i="3"/>
  <c r="C10" i="3"/>
  <c r="D9" i="3"/>
  <c r="C9" i="3"/>
  <c r="C57" i="2" l="1"/>
  <c r="D57" i="2"/>
  <c r="E7" i="3" s="1"/>
  <c r="B57" i="2"/>
  <c r="C6" i="3" s="1"/>
  <c r="D45" i="2"/>
  <c r="C45" i="2"/>
  <c r="B45" i="2"/>
  <c r="C18" i="2"/>
  <c r="D18" i="2"/>
  <c r="B18" i="2"/>
  <c r="C8" i="2"/>
  <c r="D8" i="2"/>
  <c r="B8" i="2"/>
  <c r="C50" i="2" l="1"/>
  <c r="D8" i="3"/>
  <c r="D14" i="3"/>
  <c r="D13" i="3" s="1"/>
  <c r="D50" i="2"/>
  <c r="E8" i="3"/>
  <c r="E14" i="3"/>
  <c r="E13" i="3" s="1"/>
  <c r="C62" i="2"/>
  <c r="D7" i="3"/>
  <c r="D11" i="2"/>
  <c r="E17" i="3" s="1"/>
  <c r="E35" i="3"/>
  <c r="E34" i="3"/>
  <c r="E22" i="3"/>
  <c r="E11" i="3"/>
  <c r="E12" i="3" s="1"/>
  <c r="C5" i="3"/>
  <c r="D5" i="3"/>
  <c r="D62" i="2"/>
  <c r="C11" i="2"/>
  <c r="D17" i="3" s="1"/>
  <c r="D35" i="3"/>
  <c r="D34" i="3"/>
  <c r="D11" i="3"/>
  <c r="D12" i="3" s="1"/>
  <c r="D22" i="3"/>
  <c r="E6" i="3"/>
  <c r="B62" i="2"/>
  <c r="C7" i="3"/>
  <c r="B11" i="2"/>
  <c r="C17" i="3" s="1"/>
  <c r="C35" i="3"/>
  <c r="C22" i="3"/>
  <c r="C11" i="3"/>
  <c r="C12" i="3" s="1"/>
  <c r="E5" i="3"/>
  <c r="B50" i="2"/>
  <c r="C8" i="3"/>
  <c r="C14" i="3"/>
  <c r="C13" i="3" s="1"/>
  <c r="D6" i="3"/>
  <c r="C19" i="2"/>
  <c r="D21" i="3" s="1"/>
  <c r="B19" i="2"/>
  <c r="C21" i="3" s="1"/>
  <c r="C28" i="3" l="1"/>
  <c r="C48" i="3"/>
  <c r="C29" i="3"/>
  <c r="C19" i="3"/>
  <c r="C20" i="3"/>
  <c r="C49" i="3"/>
  <c r="C37" i="3"/>
  <c r="C26" i="3"/>
  <c r="C34" i="3"/>
  <c r="E49" i="3"/>
  <c r="E37" i="3"/>
  <c r="E26" i="3"/>
  <c r="D48" i="3"/>
  <c r="D29" i="3"/>
  <c r="D28" i="3"/>
  <c r="D19" i="3"/>
  <c r="D20" i="3"/>
  <c r="D19" i="2"/>
  <c r="E21" i="3" s="1"/>
  <c r="D37" i="3"/>
  <c r="D49" i="3"/>
  <c r="D26" i="3"/>
  <c r="A47" i="3"/>
  <c r="A49" i="3" s="1"/>
  <c r="A16" i="3"/>
  <c r="A24" i="3" s="1"/>
  <c r="A5" i="3"/>
  <c r="A6" i="3" s="1"/>
  <c r="A7" i="3" s="1"/>
  <c r="A8" i="3" s="1"/>
  <c r="A9" i="3" s="1"/>
  <c r="A10" i="3" s="1"/>
  <c r="A11" i="3" s="1"/>
  <c r="A12" i="3" s="1"/>
  <c r="A13" i="3" s="1"/>
  <c r="D50" i="3" l="1"/>
  <c r="D18" i="3"/>
  <c r="C50" i="3"/>
  <c r="C18" i="3"/>
  <c r="E48" i="3"/>
  <c r="E28" i="3"/>
  <c r="E29" i="3"/>
  <c r="E19" i="3"/>
  <c r="E20" i="3"/>
  <c r="A33" i="3"/>
  <c r="A25" i="3"/>
  <c r="A26" i="3" s="1"/>
  <c r="A27" i="3" s="1"/>
  <c r="A28" i="3" s="1"/>
  <c r="A29" i="3" s="1"/>
  <c r="A30" i="3" s="1"/>
  <c r="A17" i="3"/>
  <c r="A18" i="3" s="1"/>
  <c r="A20" i="3" s="1"/>
  <c r="A22" i="3" s="1"/>
  <c r="E50" i="3" l="1"/>
  <c r="E18" i="3"/>
  <c r="A34" i="3"/>
  <c r="A35" i="3" s="1"/>
  <c r="A36" i="3" s="1"/>
  <c r="A37" i="3" s="1"/>
  <c r="A39" i="3"/>
  <c r="A40" i="3" s="1"/>
  <c r="A41" i="3" s="1"/>
  <c r="A42" i="3" s="1"/>
  <c r="A43" i="3" s="1"/>
  <c r="A44" i="3" s="1"/>
  <c r="A46" i="3" s="1"/>
  <c r="A48" i="3" s="1"/>
  <c r="A50" i="3" s="1"/>
</calcChain>
</file>

<file path=xl/sharedStrings.xml><?xml version="1.0" encoding="utf-8"?>
<sst xmlns="http://schemas.openxmlformats.org/spreadsheetml/2006/main" count="173" uniqueCount="162">
  <si>
    <t>Instructions</t>
  </si>
  <si>
    <t>https://ir.aboutamazon.com/annual-reports-proxies-and-shareholder-letters/default.aspx</t>
  </si>
  <si>
    <t>You are required write up a 1-2 page report commenting on the financial health of Amazon Inc. based on the ratios you have calculated, addressing the five key topics mentioned in the ratios tab.</t>
  </si>
  <si>
    <t>Formats:</t>
  </si>
  <si>
    <t>However make sure you have covered the five key topics in the ratio analysis</t>
  </si>
  <si>
    <t>Please refer to the below website in order to download the company financial statements:</t>
  </si>
  <si>
    <t>You are free to use any additional publicly available information/ news articles whilst mentioning the sources at the end page</t>
  </si>
  <si>
    <t>The report should be submitted as a word document</t>
  </si>
  <si>
    <t>The supporting calculations should be submitted in excel document as same as the previous task.</t>
  </si>
  <si>
    <t>(In millions, except number of shares which are reflected in thousands and per share amounts)</t>
  </si>
  <si>
    <t>CONSOLIDATED STATEMENTS OF OPERATIONS</t>
  </si>
  <si>
    <t>Gross margin</t>
  </si>
  <si>
    <t>CONSOLIDATED BALANCE SHEETS</t>
  </si>
  <si>
    <t>CONSOLIDATED STATEMENTS OF CASH FLOWS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</si>
  <si>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</si>
  <si>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</si>
  <si>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</si>
  <si>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</si>
  <si>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</si>
  <si>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</si>
  <si>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</si>
  <si>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</si>
  <si>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</si>
  <si>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</si>
  <si>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</si>
  <si>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</si>
  <si>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</si>
  <si>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</si>
  <si>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</si>
  <si>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</si>
  <si>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</si>
  <si>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</si>
  <si>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</si>
  <si>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</si>
  <si>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</si>
  <si>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</si>
  <si>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</si>
  <si>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</si>
  <si>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</si>
  <si>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</si>
  <si>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</si>
  <si>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</si>
  <si>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</si>
  <si>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</si>
  <si>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</si>
  <si>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</si>
  <si>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</si>
  <si>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</si>
  <si>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</si>
  <si>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</si>
  <si>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</si>
  <si>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</si>
  <si>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</si>
  <si>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</si>
  <si>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</si>
  <si>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</si>
  <si>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Company name</t>
  </si>
  <si>
    <t xml:space="preserve">Years ended </t>
  </si>
  <si>
    <t xml:space="preserve">As at </t>
  </si>
  <si>
    <t>Company Name</t>
  </si>
  <si>
    <t>Years ended ,</t>
  </si>
  <si>
    <t>Please input the three financial statements in the format from previous task, attached here in the second tab</t>
  </si>
  <si>
    <t>Perform the calculations on tab three similar to previous task.</t>
  </si>
  <si>
    <t>Perform a management report, analyzing the financial health of Amazon Inc. based on its recent two annual reports (2022 &amp; 2021).</t>
  </si>
  <si>
    <t>CASH, CASH EQUIVALENTS, AND RESTRICTED CASH, BEGINNING OF PERIOD</t>
  </si>
  <si>
    <t>OPERATING ACTIVITIES:</t>
  </si>
  <si>
    <t>Net income</t>
  </si>
  <si>
    <t>Adjustments to reconcile net income to net cash from operating activities:</t>
  </si>
  <si>
    <t>Depreciation and amortization of property and equipment and capitalized content costs, operating lease assets, and other</t>
  </si>
  <si>
    <t>Other operating expense (income), net</t>
  </si>
  <si>
    <t>Other expense (income), net</t>
  </si>
  <si>
    <t>Deferred income taxes</t>
  </si>
  <si>
    <t>Changes in operating assets and liabilities:</t>
  </si>
  <si>
    <t>Inventories</t>
  </si>
  <si>
    <t>Accounts receivable, net and other</t>
  </si>
  <si>
    <t>Accounts payable</t>
  </si>
  <si>
    <t>Accrued expenses and other</t>
  </si>
  <si>
    <t>Unearned revenue</t>
  </si>
  <si>
    <t>Net cash provided by (used in) operating activities</t>
  </si>
  <si>
    <t>INVESTING ACTIVITIES:</t>
  </si>
  <si>
    <t>Purchases of property and equipment</t>
  </si>
  <si>
    <t>Proceeds from property and equipment sales and incentives</t>
  </si>
  <si>
    <t>Acquisitions, net of cash acquired, and other</t>
  </si>
  <si>
    <t>Net cash provided by (used in) investing activities</t>
  </si>
  <si>
    <t>FINANCING ACTIVITIES:</t>
  </si>
  <si>
    <t>Proceeds from long-term debt and other</t>
  </si>
  <si>
    <t>Repayments of long-term debt and other</t>
  </si>
  <si>
    <t>Principal repayments of finance leases</t>
  </si>
  <si>
    <t>Principal repayments of financing obligations</t>
  </si>
  <si>
    <t>Net cash provided by (used in) financing activities</t>
  </si>
  <si>
    <t>Foreign currency effect on cash, cash equivalents, and restricted cash</t>
  </si>
  <si>
    <t>Net increase (decrease) in cash, cash equivalents, and restricted cash</t>
  </si>
  <si>
    <t>CASH, CASH EQUIVALENTS, AND RESTRICTED CASH, END OF PERIOD</t>
  </si>
  <si>
    <t>SUPPLEMENTAL CASH FLOW INFORMATION:</t>
  </si>
  <si>
    <t>Cash paid for interest on long-term debt</t>
  </si>
  <si>
    <t>Cash paid for operating leases</t>
  </si>
  <si>
    <t xml:space="preserve"> </t>
  </si>
  <si>
    <t>Cash paid for interest on finance leases</t>
  </si>
  <si>
    <t>Cash paid for interest on financing obligations</t>
  </si>
  <si>
    <t>Cash paid for income taxes, net of refunds</t>
  </si>
  <si>
    <t>Assets acquired under operating leases</t>
  </si>
  <si>
    <t>Property and equipment acquired under finance leases</t>
  </si>
  <si>
    <t>Property and equipment acquired under build-to-suit arrangements</t>
  </si>
  <si>
    <r>
      <rPr>
        <sz val="10"/>
        <rFont val="Times New Roman"/>
        <family val="1"/>
      </rPr>
      <t>Technology and content</t>
    </r>
  </si>
  <si>
    <r>
      <rPr>
        <sz val="10"/>
        <rFont val="Times New Roman"/>
        <family val="1"/>
      </rPr>
      <t>General and administrative</t>
    </r>
  </si>
  <si>
    <r>
      <rPr>
        <sz val="10"/>
        <rFont val="Times New Roman"/>
        <family val="1"/>
      </rPr>
      <t>Other operating expense (income), net</t>
    </r>
  </si>
  <si>
    <t>Total operating expenses</t>
  </si>
  <si>
    <t>Operating income</t>
  </si>
  <si>
    <t>fulfillment</t>
  </si>
  <si>
    <t>Net sales:</t>
  </si>
  <si>
    <t>Products</t>
  </si>
  <si>
    <t>Services</t>
  </si>
  <si>
    <t>Total net sales</t>
  </si>
  <si>
    <t>Cost of sales:</t>
  </si>
  <si>
    <t>Total cost of sales</t>
  </si>
  <si>
    <t>Operating expenses:</t>
  </si>
  <si>
    <t>Other income/(expense), net</t>
  </si>
  <si>
    <t>Income before provision for income taxes</t>
  </si>
  <si>
    <t>Provision for income taxes</t>
  </si>
  <si>
    <t>Earnings per share:</t>
  </si>
  <si>
    <t>Basic</t>
  </si>
  <si>
    <t>Diluted</t>
  </si>
  <si>
    <t>Cash and cash equivalents</t>
  </si>
  <si>
    <t>Total assets</t>
  </si>
  <si>
    <t>Total current liabilities</t>
  </si>
  <si>
    <t>Stockholders' equity:</t>
  </si>
  <si>
    <t>Authorized shares - 5,000</t>
  </si>
  <si>
    <t>Issued shares - 514 and 521</t>
  </si>
  <si>
    <t>Outstanding shares - 491 and 498</t>
  </si>
  <si>
    <t>Treasury stock, at cost</t>
  </si>
  <si>
    <t>Additional paid-in capital</t>
  </si>
  <si>
    <t>Accumulated other comprehensive income (loss)</t>
  </si>
  <si>
    <t>Jetained earnings</t>
  </si>
  <si>
    <t>Total stockholders' equity</t>
  </si>
  <si>
    <t>Total liabilities and stockholders' equity</t>
  </si>
  <si>
    <t>Marketing</t>
  </si>
  <si>
    <t>equity-method investment activity, net of tax</t>
  </si>
  <si>
    <t>Shares used in computing earnings per share: (in millions)</t>
  </si>
  <si>
    <t>Assets</t>
  </si>
  <si>
    <t>Total Current Assets</t>
  </si>
  <si>
    <r>
      <rPr>
        <sz val="10"/>
        <rFont val="Times New Roman"/>
        <family val="1"/>
      </rPr>
      <t>Property and equipment, net</t>
    </r>
  </si>
  <si>
    <r>
      <rPr>
        <sz val="10"/>
        <rFont val="Times New Roman"/>
        <family val="1"/>
      </rPr>
      <t>Operating leases</t>
    </r>
  </si>
  <si>
    <r>
      <rPr>
        <sz val="10"/>
        <rFont val="Times New Roman"/>
        <family val="1"/>
      </rPr>
      <t>Goodwill</t>
    </r>
  </si>
  <si>
    <r>
      <rPr>
        <sz val="10"/>
        <rFont val="Times New Roman"/>
        <family val="1"/>
      </rPr>
      <t>Other assets</t>
    </r>
  </si>
  <si>
    <r>
      <rPr>
        <sz val="10"/>
        <rFont val="Times New Roman"/>
        <family val="1"/>
      </rPr>
      <t>Current liabilities:</t>
    </r>
  </si>
  <si>
    <r>
      <rPr>
        <sz val="10"/>
        <rFont val="Times New Roman"/>
        <family val="1"/>
      </rPr>
      <t>Accounts payable</t>
    </r>
  </si>
  <si>
    <r>
      <rPr>
        <sz val="10"/>
        <rFont val="Times New Roman"/>
        <family val="1"/>
      </rPr>
      <t>Accrued expenses and other</t>
    </r>
  </si>
  <si>
    <r>
      <rPr>
        <sz val="10"/>
        <rFont val="Times New Roman"/>
        <family val="1"/>
      </rPr>
      <t xml:space="preserve">Other long-term liabilities
</t>
    </r>
    <r>
      <rPr>
        <sz val="10"/>
        <rFont val="Times New Roman"/>
        <family val="1"/>
      </rPr>
      <t>Commitments and contingencies (Note 7)</t>
    </r>
  </si>
  <si>
    <t>long-term lease liabilities</t>
  </si>
  <si>
    <t>long-term debt</t>
  </si>
  <si>
    <t>Liabilities</t>
  </si>
  <si>
    <t>Total Liabilities</t>
  </si>
  <si>
    <t>Marketable securities</t>
  </si>
  <si>
    <t>unearned revenue</t>
  </si>
  <si>
    <t>Share Price</t>
  </si>
  <si>
    <t>Stock-based compensation</t>
  </si>
  <si>
    <t>Sales and maturities of marketable securities</t>
  </si>
  <si>
    <t>Purchases of marketable securities</t>
  </si>
  <si>
    <t>Include cost of sales and subtract Depreciation and Amortization from this</t>
  </si>
  <si>
    <t>Add total shareholder equity in row 73 and remove Financial Statements row 70 and 68</t>
  </si>
  <si>
    <t>remove Other long-term liabilities and include total shareholder equity</t>
  </si>
  <si>
    <t>Market Cap + Total Debt - (Cash + Cash Equivalents), where Market Cap= Share price*Diluted number of shares/1000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</si>
</sst>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  <numFmt numFmtId="167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wrapText="1"/>
    </xf>
    <xf numFmtId="0" fontId="4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left" wrapText="1" indent="1"/>
    </xf>
    <xf numFmtId="0" fontId="5" fillId="0" borderId="0" xfId="2" applyAlignment="1">
      <alignment horizontal="left" wrapText="1" indent="1"/>
    </xf>
    <xf numFmtId="0" fontId="6" fillId="2" borderId="0" xfId="0" applyFont="1" applyFill="1" applyAlignment="1">
      <alignment vertical="center"/>
    </xf>
    <xf numFmtId="0" fontId="3" fillId="2" borderId="0" xfId="0" applyFont="1" applyFill="1"/>
    <xf numFmtId="0" fontId="2" fillId="0" borderId="0" xfId="0" applyFont="1"/>
    <xf numFmtId="166" fontId="0" fillId="0" borderId="0" xfId="1" applyNumberFormat="1" applyFont="1"/>
    <xf numFmtId="166" fontId="2" fillId="0" borderId="1" xfId="1" applyNumberFormat="1" applyFont="1" applyBorder="1"/>
    <xf numFmtId="166" fontId="2" fillId="0" borderId="2" xfId="1" applyNumberFormat="1" applyFont="1" applyBorder="1"/>
    <xf numFmtId="3" fontId="0" fillId="0" borderId="0" xfId="0" applyNumberFormat="1"/>
    <xf numFmtId="0" fontId="0" fillId="0" borderId="0" xfId="0" applyAlignment="1">
      <alignment horizontal="left" indent="2"/>
    </xf>
    <xf numFmtId="0" fontId="7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167" fontId="0" fillId="0" borderId="0" xfId="0" applyNumberFormat="1"/>
    <xf numFmtId="0" fontId="2" fillId="0" borderId="0" xfId="0" applyFont="1" applyAlignment="1">
      <alignment horizontal="left"/>
    </xf>
    <xf numFmtId="164" fontId="0" fillId="0" borderId="0" xfId="3" applyFont="1"/>
    <xf numFmtId="0" fontId="9" fillId="0" borderId="0" xfId="0" applyFont="1" applyAlignment="1">
      <alignment vertical="top" wrapText="1"/>
    </xf>
    <xf numFmtId="0" fontId="6" fillId="2" borderId="0" xfId="0" applyFont="1" applyFill="1" applyAlignment="1">
      <alignment vertical="center" wrapText="1"/>
    </xf>
    <xf numFmtId="0" fontId="0" fillId="0" borderId="0" xfId="0" applyAlignment="1">
      <alignment horizontal="left"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10" fillId="0" borderId="0" xfId="0" applyFont="1"/>
    <xf numFmtId="0" fontId="11" fillId="0" borderId="0" xfId="0" applyFont="1" applyAlignment="1">
      <alignment vertical="top" wrapText="1"/>
    </xf>
    <xf numFmtId="164" fontId="2" fillId="0" borderId="0" xfId="3" applyFont="1" applyBorder="1"/>
    <xf numFmtId="164" fontId="2" fillId="0" borderId="1" xfId="3" applyFont="1" applyBorder="1"/>
    <xf numFmtId="164" fontId="1" fillId="0" borderId="0" xfId="3" applyFont="1"/>
    <xf numFmtId="164" fontId="12" fillId="0" borderId="1" xfId="3" applyFont="1" applyFill="1" applyBorder="1" applyAlignment="1">
      <alignment vertical="top" wrapText="1"/>
    </xf>
    <xf numFmtId="164" fontId="12" fillId="0" borderId="0" xfId="3" applyFont="1" applyFill="1" applyBorder="1" applyAlignment="1">
      <alignment vertical="top" wrapText="1"/>
    </xf>
    <xf numFmtId="164" fontId="13" fillId="0" borderId="0" xfId="3" applyFont="1" applyFill="1" applyBorder="1" applyAlignment="1">
      <alignment vertical="top" wrapText="1"/>
    </xf>
    <xf numFmtId="164" fontId="12" fillId="0" borderId="0" xfId="3" applyFont="1" applyFill="1" applyBorder="1" applyAlignment="1"/>
    <xf numFmtId="164" fontId="12" fillId="0" borderId="3" xfId="3" applyFont="1" applyFill="1" applyBorder="1" applyAlignment="1">
      <alignment vertical="top" wrapText="1"/>
    </xf>
    <xf numFmtId="0" fontId="2" fillId="0" borderId="3" xfId="0" applyFont="1" applyBorder="1" applyAlignment="1">
      <alignment wrapText="1"/>
    </xf>
    <xf numFmtId="164" fontId="13" fillId="0" borderId="3" xfId="3" applyFont="1" applyFill="1" applyBorder="1" applyAlignment="1"/>
    <xf numFmtId="164" fontId="0" fillId="0" borderId="0" xfId="3" applyFont="1" applyBorder="1"/>
    <xf numFmtId="0" fontId="2" fillId="0" borderId="1" xfId="0" applyFont="1" applyBorder="1" applyAlignment="1">
      <alignment horizontal="left" wrapText="1"/>
    </xf>
    <xf numFmtId="0" fontId="10" fillId="0" borderId="0" xfId="0" applyFont="1" applyAlignment="1">
      <alignment vertical="top"/>
    </xf>
    <xf numFmtId="0" fontId="11" fillId="0" borderId="1" xfId="0" applyFont="1" applyBorder="1" applyAlignment="1">
      <alignment vertical="top"/>
    </xf>
    <xf numFmtId="0" fontId="11" fillId="0" borderId="0" xfId="0" applyFont="1" applyAlignment="1">
      <alignment vertical="top"/>
    </xf>
    <xf numFmtId="0" fontId="10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wrapText="1"/>
    </xf>
    <xf numFmtId="0" fontId="11" fillId="0" borderId="1" xfId="0" applyFont="1" applyBorder="1" applyAlignment="1">
      <alignment horizontal="left" vertical="top"/>
    </xf>
    <xf numFmtId="164" fontId="10" fillId="0" borderId="0" xfId="3" applyFont="1" applyFill="1" applyBorder="1" applyAlignment="1">
      <alignment horizontal="left" vertical="top"/>
    </xf>
    <xf numFmtId="164" fontId="11" fillId="0" borderId="1" xfId="3" applyFont="1" applyFill="1" applyBorder="1" applyAlignment="1">
      <alignment horizontal="left" vertical="top"/>
    </xf>
    <xf numFmtId="164" fontId="0" fillId="0" borderId="0" xfId="3" applyFont="1" applyFill="1" applyBorder="1" applyAlignment="1">
      <alignment horizontal="left" vertical="top"/>
    </xf>
    <xf numFmtId="0" fontId="0" fillId="0" borderId="0" xfId="3" applyNumberFormat="1" applyFont="1"/>
    <xf numFmtId="0" fontId="2" fillId="0" borderId="3" xfId="0" applyFont="1" applyBorder="1"/>
    <xf numFmtId="164" fontId="2" fillId="0" borderId="3" xfId="3" applyFont="1" applyBorder="1"/>
    <xf numFmtId="0" fontId="2" fillId="0" borderId="3" xfId="0" applyFont="1" applyBorder="1" applyAlignment="1">
      <alignment horizontal="left" wrapText="1"/>
    </xf>
    <xf numFmtId="166" fontId="2" fillId="0" borderId="3" xfId="1" applyNumberFormat="1" applyFont="1" applyBorder="1"/>
    <xf numFmtId="164" fontId="3" fillId="2" borderId="0" xfId="3" applyFont="1" applyFill="1"/>
    <xf numFmtId="164" fontId="10" fillId="0" borderId="0" xfId="3" applyFont="1" applyFill="1" applyBorder="1" applyAlignment="1">
      <alignment vertical="top"/>
    </xf>
    <xf numFmtId="164" fontId="11" fillId="0" borderId="1" xfId="3" applyFont="1" applyFill="1" applyBorder="1" applyAlignment="1">
      <alignment vertical="top"/>
    </xf>
    <xf numFmtId="164" fontId="2" fillId="0" borderId="2" xfId="3" applyFont="1" applyBorder="1"/>
    <xf numFmtId="2" fontId="0" fillId="0" borderId="0" xfId="0" applyNumberFormat="1"/>
    <xf numFmtId="0" fontId="2" fillId="0" borderId="0" xfId="3" applyNumberFormat="1" applyFont="1"/>
    <xf numFmtId="2" fontId="3" fillId="2" borderId="0" xfId="0" applyNumberFormat="1" applyFont="1" applyFill="1" applyAlignment="1">
      <alignment horizontal="center"/>
    </xf>
    <xf numFmtId="9" fontId="0" fillId="0" borderId="0" xfId="4" applyFont="1"/>
    <xf numFmtId="10" fontId="0" fillId="0" borderId="0" xfId="4" applyNumberFormat="1" applyFont="1"/>
    <xf numFmtId="2" fontId="0" fillId="0" borderId="0" xfId="3" applyNumberFormat="1" applyFont="1" applyBorder="1"/>
    <xf numFmtId="2" fontId="0" fillId="0" borderId="0" xfId="3" applyNumberFormat="1" applyFont="1"/>
    <xf numFmtId="0" fontId="0" fillId="0" borderId="7" xfId="0" applyBorder="1"/>
    <xf numFmtId="0" fontId="0" fillId="0" borderId="8" xfId="0" applyBorder="1"/>
    <xf numFmtId="0" fontId="0" fillId="0" borderId="9" xfId="0" applyBorder="1"/>
    <xf numFmtId="2" fontId="0" fillId="0" borderId="4" xfId="0" applyNumberFormat="1" applyBorder="1"/>
    <xf numFmtId="0" fontId="0" fillId="0" borderId="10" xfId="0" applyBorder="1"/>
    <xf numFmtId="0" fontId="8" fillId="0" borderId="0" xfId="0" applyFont="1" applyAlignment="1">
      <alignment horizontal="left" indent="1"/>
    </xf>
    <xf numFmtId="2" fontId="8" fillId="0" borderId="0" xfId="0" applyNumberFormat="1" applyFont="1"/>
    <xf numFmtId="0" fontId="8" fillId="0" borderId="0" xfId="0" applyFont="1" applyAlignment="1">
      <alignment horizontal="left" indent="2"/>
    </xf>
    <xf numFmtId="9" fontId="9" fillId="0" borderId="0" xfId="4" applyFont="1" applyFill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2" fontId="2" fillId="0" borderId="0" xfId="0" applyNumberFormat="1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5">
    <cellStyle name="Comma" xfId="1" builtinId="3"/>
    <cellStyle name="Currency" xfId="3" builtinId="4"/>
    <cellStyle name="Hyperlink" xfId="2" builtinId="8"/>
    <cellStyle name="Normal" xfId="0" builtinId="0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r.aboutamazon.com/annual-reports-proxies-and-shareholder-letters/default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5"/>
  <sheetViews>
    <sheetView workbookViewId="0">
      <selection activeCell="A5" sqref="A5"/>
    </sheetView>
  </sheetViews>
  <sheetFormatPr defaultRowHeight="14.4" x14ac:dyDescent="0.3"/>
  <cols>
    <col min="1" max="1" width="157.88671875" style="2" customWidth="1"/>
  </cols>
  <sheetData>
    <row r="1" spans="1:1" ht="23.4" x14ac:dyDescent="0.45">
      <c r="A1" s="3" t="s">
        <v>0</v>
      </c>
    </row>
    <row r="3" spans="1:1" x14ac:dyDescent="0.3">
      <c r="A3" s="2" t="s">
        <v>63</v>
      </c>
    </row>
    <row r="4" spans="1:1" x14ac:dyDescent="0.3">
      <c r="A4" s="5" t="s">
        <v>5</v>
      </c>
    </row>
    <row r="5" spans="1:1" x14ac:dyDescent="0.3">
      <c r="A5" s="6" t="s">
        <v>1</v>
      </c>
    </row>
    <row r="7" spans="1:1" x14ac:dyDescent="0.3">
      <c r="A7" s="2" t="s">
        <v>61</v>
      </c>
    </row>
    <row r="8" spans="1:1" x14ac:dyDescent="0.3">
      <c r="A8" s="2" t="s">
        <v>62</v>
      </c>
    </row>
    <row r="9" spans="1:1" ht="28.8" x14ac:dyDescent="0.3">
      <c r="A9" s="2" t="s">
        <v>2</v>
      </c>
    </row>
    <row r="10" spans="1:1" x14ac:dyDescent="0.3">
      <c r="A10" s="2" t="s">
        <v>6</v>
      </c>
    </row>
    <row r="11" spans="1:1" x14ac:dyDescent="0.3">
      <c r="A11" s="2" t="s">
        <v>4</v>
      </c>
    </row>
    <row r="13" spans="1:1" x14ac:dyDescent="0.3">
      <c r="A13" s="4" t="s">
        <v>3</v>
      </c>
    </row>
    <row r="14" spans="1:1" x14ac:dyDescent="0.3">
      <c r="A14" s="2" t="s">
        <v>7</v>
      </c>
    </row>
    <row r="15" spans="1:1" x14ac:dyDescent="0.3">
      <c r="A15" s="2" t="s">
        <v>8</v>
      </c>
    </row>
  </sheetData>
  <hyperlinks>
    <hyperlink ref="A5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30"/>
  <sheetViews>
    <sheetView topLeftCell="A42" workbookViewId="0">
      <selection activeCell="A60" sqref="A60"/>
    </sheetView>
  </sheetViews>
  <sheetFormatPr defaultRowHeight="14.4" x14ac:dyDescent="0.3"/>
  <cols>
    <col min="1" max="1" width="73.33203125" style="2" customWidth="1"/>
    <col min="2" max="2" width="13.33203125" style="19" bestFit="1" customWidth="1"/>
    <col min="3" max="3" width="13.33203125" bestFit="1" customWidth="1"/>
    <col min="4" max="4" width="12.44140625" style="19" bestFit="1" customWidth="1"/>
    <col min="7" max="7" width="11.44140625" bestFit="1" customWidth="1"/>
  </cols>
  <sheetData>
    <row r="1" spans="1:7" ht="60" customHeight="1" x14ac:dyDescent="0.3">
      <c r="A1" s="21" t="s">
        <v>56</v>
      </c>
      <c r="B1" s="54" t="s">
        <v>9</v>
      </c>
      <c r="C1" s="8"/>
      <c r="D1" s="54"/>
      <c r="E1" s="8"/>
      <c r="F1" s="8"/>
    </row>
    <row r="2" spans="1:7" x14ac:dyDescent="0.3">
      <c r="A2" s="75" t="s">
        <v>10</v>
      </c>
      <c r="B2" s="75"/>
      <c r="C2" s="75"/>
      <c r="D2" s="75"/>
    </row>
    <row r="3" spans="1:7" x14ac:dyDescent="0.3">
      <c r="B3" s="74" t="s">
        <v>57</v>
      </c>
      <c r="C3" s="74"/>
      <c r="D3" s="74"/>
    </row>
    <row r="4" spans="1:7" x14ac:dyDescent="0.3">
      <c r="B4" s="59">
        <v>2019</v>
      </c>
      <c r="C4" s="9">
        <v>2018</v>
      </c>
      <c r="D4" s="59">
        <v>2017</v>
      </c>
    </row>
    <row r="5" spans="1:7" x14ac:dyDescent="0.3">
      <c r="A5" s="20" t="s">
        <v>109</v>
      </c>
      <c r="E5" s="20"/>
      <c r="G5" s="73"/>
    </row>
    <row r="6" spans="1:7" x14ac:dyDescent="0.3">
      <c r="A6" s="22" t="s">
        <v>110</v>
      </c>
      <c r="B6" s="29">
        <v>160408</v>
      </c>
      <c r="C6" s="29">
        <v>141915</v>
      </c>
      <c r="D6" s="29">
        <v>118573</v>
      </c>
    </row>
    <row r="7" spans="1:7" x14ac:dyDescent="0.3">
      <c r="A7" s="22" t="s">
        <v>111</v>
      </c>
      <c r="B7" s="29">
        <v>120114</v>
      </c>
      <c r="C7" s="29">
        <v>90972</v>
      </c>
      <c r="D7" s="29">
        <v>59293</v>
      </c>
    </row>
    <row r="8" spans="1:7" x14ac:dyDescent="0.3">
      <c r="A8" s="23" t="s">
        <v>112</v>
      </c>
      <c r="B8" s="30">
        <f>SUM(B7+B6)</f>
        <v>280522</v>
      </c>
      <c r="C8" s="30">
        <f t="shared" ref="C8:D8" si="0">SUM(C7+C6)</f>
        <v>232887</v>
      </c>
      <c r="D8" s="30">
        <f t="shared" si="0"/>
        <v>177866</v>
      </c>
    </row>
    <row r="9" spans="1:7" x14ac:dyDescent="0.3">
      <c r="A9" s="2" t="s">
        <v>113</v>
      </c>
      <c r="B9" s="27"/>
      <c r="C9" s="27"/>
      <c r="D9" s="27"/>
    </row>
    <row r="10" spans="1:7" x14ac:dyDescent="0.3">
      <c r="A10" s="20" t="s">
        <v>114</v>
      </c>
      <c r="B10" s="31">
        <v>165536</v>
      </c>
      <c r="C10" s="31">
        <v>139156</v>
      </c>
      <c r="D10" s="31">
        <v>111934</v>
      </c>
      <c r="E10" s="20"/>
      <c r="F10" s="20"/>
      <c r="G10" s="20"/>
    </row>
    <row r="11" spans="1:7" s="9" customFormat="1" x14ac:dyDescent="0.3">
      <c r="A11" s="26" t="s">
        <v>11</v>
      </c>
      <c r="B11" s="32">
        <f>B8-B10</f>
        <v>114986</v>
      </c>
      <c r="C11" s="32">
        <f t="shared" ref="C11:D11" si="1">C8-C10</f>
        <v>93731</v>
      </c>
      <c r="D11" s="32">
        <f t="shared" si="1"/>
        <v>65932</v>
      </c>
      <c r="E11" s="26"/>
      <c r="F11" s="26"/>
      <c r="G11" s="26"/>
    </row>
    <row r="12" spans="1:7" x14ac:dyDescent="0.3">
      <c r="A12" s="20" t="s">
        <v>115</v>
      </c>
      <c r="B12" s="29"/>
      <c r="C12" s="29"/>
      <c r="D12" s="29"/>
      <c r="E12" s="20"/>
      <c r="F12" s="20"/>
      <c r="G12" s="20"/>
    </row>
    <row r="13" spans="1:7" x14ac:dyDescent="0.3">
      <c r="A13" s="25" t="s">
        <v>108</v>
      </c>
      <c r="B13" s="33">
        <v>40232</v>
      </c>
      <c r="C13" s="33">
        <v>34027</v>
      </c>
      <c r="D13" s="33">
        <v>25249</v>
      </c>
      <c r="E13" s="25"/>
      <c r="F13" s="25"/>
      <c r="G13" s="25"/>
    </row>
    <row r="14" spans="1:7" x14ac:dyDescent="0.3">
      <c r="A14" s="25" t="s">
        <v>103</v>
      </c>
      <c r="B14" s="33">
        <v>35931</v>
      </c>
      <c r="C14" s="33">
        <v>28837</v>
      </c>
      <c r="D14" s="33">
        <v>22620</v>
      </c>
      <c r="E14" s="25"/>
      <c r="F14" s="25"/>
      <c r="G14" s="25"/>
    </row>
    <row r="15" spans="1:7" x14ac:dyDescent="0.3">
      <c r="A15" s="25" t="s">
        <v>135</v>
      </c>
      <c r="B15" s="33">
        <v>18878</v>
      </c>
      <c r="C15" s="33">
        <v>13814</v>
      </c>
      <c r="D15" s="33">
        <v>10069</v>
      </c>
      <c r="E15" s="25"/>
      <c r="F15" s="25"/>
      <c r="G15" s="25"/>
    </row>
    <row r="16" spans="1:7" x14ac:dyDescent="0.3">
      <c r="A16" s="25" t="s">
        <v>104</v>
      </c>
      <c r="B16" s="33">
        <v>5203</v>
      </c>
      <c r="C16" s="33">
        <v>4336</v>
      </c>
      <c r="D16" s="33">
        <v>3674</v>
      </c>
      <c r="E16" s="25"/>
      <c r="F16" s="25"/>
      <c r="G16" s="25"/>
    </row>
    <row r="17" spans="1:7" x14ac:dyDescent="0.3">
      <c r="A17" s="25" t="s">
        <v>105</v>
      </c>
      <c r="B17" s="33">
        <v>201</v>
      </c>
      <c r="C17" s="33">
        <v>296</v>
      </c>
      <c r="D17" s="33">
        <v>214</v>
      </c>
      <c r="E17" s="25"/>
      <c r="F17" s="25"/>
      <c r="G17" s="25"/>
    </row>
    <row r="18" spans="1:7" x14ac:dyDescent="0.3">
      <c r="A18" s="23" t="s">
        <v>106</v>
      </c>
      <c r="B18" s="34">
        <f>SUM(B13:B17)</f>
        <v>100445</v>
      </c>
      <c r="C18" s="34">
        <f t="shared" ref="C18:D18" si="2">SUM(C13:C17)</f>
        <v>81310</v>
      </c>
      <c r="D18" s="34">
        <f t="shared" si="2"/>
        <v>61826</v>
      </c>
    </row>
    <row r="19" spans="1:7" x14ac:dyDescent="0.3">
      <c r="A19" s="23" t="s">
        <v>107</v>
      </c>
      <c r="B19" s="28">
        <f>B11-B18</f>
        <v>14541</v>
      </c>
      <c r="C19" s="28">
        <f t="shared" ref="C19:D19" si="3">C11-C18</f>
        <v>12421</v>
      </c>
      <c r="D19" s="28">
        <f t="shared" si="3"/>
        <v>4106</v>
      </c>
    </row>
    <row r="20" spans="1:7" x14ac:dyDescent="0.3">
      <c r="A20" s="2" t="s">
        <v>116</v>
      </c>
      <c r="B20" s="29">
        <v>-565</v>
      </c>
      <c r="C20" s="29">
        <v>-1160</v>
      </c>
      <c r="D20" s="29">
        <v>-300</v>
      </c>
    </row>
    <row r="21" spans="1:7" x14ac:dyDescent="0.3">
      <c r="A21" s="22" t="s">
        <v>117</v>
      </c>
      <c r="B21" s="29">
        <v>13976</v>
      </c>
      <c r="C21" s="29">
        <v>11261</v>
      </c>
      <c r="D21" s="29">
        <v>3806</v>
      </c>
    </row>
    <row r="22" spans="1:7" x14ac:dyDescent="0.3">
      <c r="A22" s="22" t="s">
        <v>118</v>
      </c>
      <c r="B22" s="29">
        <v>-2374</v>
      </c>
      <c r="C22" s="29">
        <v>-1197</v>
      </c>
      <c r="D22" s="29">
        <v>-769</v>
      </c>
    </row>
    <row r="23" spans="1:7" x14ac:dyDescent="0.3">
      <c r="A23" t="s">
        <v>136</v>
      </c>
      <c r="B23" s="29">
        <v>-14</v>
      </c>
      <c r="C23" s="29">
        <v>9</v>
      </c>
      <c r="D23" s="29">
        <v>-4</v>
      </c>
    </row>
    <row r="24" spans="1:7" s="9" customFormat="1" x14ac:dyDescent="0.3">
      <c r="A24" s="35" t="s">
        <v>66</v>
      </c>
      <c r="B24" s="36">
        <v>11588</v>
      </c>
      <c r="C24" s="36">
        <v>10073</v>
      </c>
      <c r="D24" s="36">
        <v>3033</v>
      </c>
    </row>
    <row r="25" spans="1:7" x14ac:dyDescent="0.3">
      <c r="A25" s="4" t="s">
        <v>119</v>
      </c>
      <c r="E25" s="9"/>
      <c r="F25" s="9"/>
      <c r="G25" s="9"/>
    </row>
    <row r="26" spans="1:7" x14ac:dyDescent="0.3">
      <c r="A26" s="2" t="s">
        <v>120</v>
      </c>
      <c r="B26" s="37">
        <v>23.46</v>
      </c>
      <c r="C26" s="37">
        <v>20.68</v>
      </c>
      <c r="D26" s="37">
        <v>6.32</v>
      </c>
    </row>
    <row r="27" spans="1:7" x14ac:dyDescent="0.3">
      <c r="A27" s="2" t="s">
        <v>121</v>
      </c>
      <c r="B27" s="19">
        <v>23.01</v>
      </c>
      <c r="C27">
        <v>20.14</v>
      </c>
      <c r="D27" s="19">
        <v>6.15</v>
      </c>
    </row>
    <row r="28" spans="1:7" x14ac:dyDescent="0.3">
      <c r="A28" s="2" t="s">
        <v>137</v>
      </c>
      <c r="C28" s="10"/>
    </row>
    <row r="29" spans="1:7" x14ac:dyDescent="0.3">
      <c r="A29" s="2" t="s">
        <v>120</v>
      </c>
      <c r="B29" s="63">
        <v>494</v>
      </c>
      <c r="C29" s="58">
        <v>487</v>
      </c>
      <c r="D29" s="63">
        <v>480</v>
      </c>
    </row>
    <row r="30" spans="1:7" x14ac:dyDescent="0.3">
      <c r="A30" s="2" t="s">
        <v>121</v>
      </c>
      <c r="B30" s="64">
        <v>504</v>
      </c>
      <c r="C30" s="58">
        <v>500</v>
      </c>
      <c r="D30" s="64">
        <v>493</v>
      </c>
    </row>
    <row r="31" spans="1:7" x14ac:dyDescent="0.3">
      <c r="A31" s="22"/>
    </row>
    <row r="32" spans="1:7" x14ac:dyDescent="0.3">
      <c r="A32" s="22"/>
    </row>
    <row r="34" spans="1:21" x14ac:dyDescent="0.3">
      <c r="A34" s="22"/>
      <c r="C34" s="13"/>
    </row>
    <row r="35" spans="1:21" x14ac:dyDescent="0.3">
      <c r="A35" s="22"/>
      <c r="C35" s="13"/>
    </row>
    <row r="38" spans="1:21" x14ac:dyDescent="0.3">
      <c r="A38" s="75" t="s">
        <v>12</v>
      </c>
      <c r="B38" s="75"/>
      <c r="C38" s="75"/>
      <c r="D38" s="75"/>
    </row>
    <row r="39" spans="1:21" x14ac:dyDescent="0.3">
      <c r="B39" s="74" t="s">
        <v>58</v>
      </c>
      <c r="C39" s="74"/>
      <c r="D39" s="74"/>
    </row>
    <row r="40" spans="1:21" x14ac:dyDescent="0.3">
      <c r="A40" s="4" t="s">
        <v>138</v>
      </c>
      <c r="B40" s="59">
        <v>2019</v>
      </c>
      <c r="C40" s="9">
        <v>2018</v>
      </c>
      <c r="D40" s="59">
        <v>2017</v>
      </c>
    </row>
    <row r="41" spans="1:21" x14ac:dyDescent="0.3">
      <c r="A41" s="2" t="s">
        <v>122</v>
      </c>
      <c r="B41" s="19">
        <v>36092</v>
      </c>
      <c r="C41" s="19">
        <v>31750</v>
      </c>
      <c r="D41" s="19">
        <v>20522</v>
      </c>
    </row>
    <row r="42" spans="1:21" x14ac:dyDescent="0.3">
      <c r="A42" s="2" t="s">
        <v>152</v>
      </c>
      <c r="B42" s="19">
        <v>18929</v>
      </c>
      <c r="C42" s="19">
        <v>9500</v>
      </c>
      <c r="D42" s="19">
        <v>10464</v>
      </c>
    </row>
    <row r="43" spans="1:21" x14ac:dyDescent="0.3">
      <c r="A43" s="22" t="s">
        <v>73</v>
      </c>
      <c r="B43" s="19">
        <v>20497</v>
      </c>
      <c r="C43" s="19">
        <v>17174</v>
      </c>
      <c r="D43" s="19">
        <v>16047</v>
      </c>
    </row>
    <row r="44" spans="1:21" x14ac:dyDescent="0.3">
      <c r="A44" s="22" t="s">
        <v>74</v>
      </c>
      <c r="B44" s="19">
        <v>20816</v>
      </c>
      <c r="C44" s="19">
        <v>16677</v>
      </c>
      <c r="D44" s="19">
        <v>13164</v>
      </c>
    </row>
    <row r="45" spans="1:21" x14ac:dyDescent="0.3">
      <c r="A45" s="38" t="s">
        <v>139</v>
      </c>
      <c r="B45" s="28">
        <f>SUM(B41:B44)</f>
        <v>96334</v>
      </c>
      <c r="C45" s="28">
        <f>SUM(C41:C44)</f>
        <v>75101</v>
      </c>
      <c r="D45" s="28">
        <f>SUM(D41:D44)</f>
        <v>60197</v>
      </c>
    </row>
    <row r="46" spans="1:21" x14ac:dyDescent="0.3">
      <c r="A46" s="39" t="s">
        <v>140</v>
      </c>
      <c r="B46" s="55">
        <v>72705</v>
      </c>
      <c r="C46" s="55">
        <v>61797</v>
      </c>
      <c r="D46" s="55">
        <v>48866</v>
      </c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</row>
    <row r="47" spans="1:21" x14ac:dyDescent="0.3">
      <c r="A47" s="39" t="s">
        <v>141</v>
      </c>
      <c r="B47" s="55">
        <v>25141</v>
      </c>
      <c r="C47" s="55">
        <v>0</v>
      </c>
      <c r="D47" s="55">
        <v>0</v>
      </c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</row>
    <row r="48" spans="1:21" x14ac:dyDescent="0.3">
      <c r="A48" s="39" t="s">
        <v>142</v>
      </c>
      <c r="B48" s="55">
        <v>14754</v>
      </c>
      <c r="C48" s="55">
        <v>14548</v>
      </c>
      <c r="D48" s="55">
        <v>13350</v>
      </c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</row>
    <row r="49" spans="1:21" x14ac:dyDescent="0.3">
      <c r="A49" s="39" t="s">
        <v>143</v>
      </c>
      <c r="B49" s="55">
        <v>16314</v>
      </c>
      <c r="C49" s="55">
        <v>11202</v>
      </c>
      <c r="D49" s="55">
        <v>8897</v>
      </c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</row>
    <row r="50" spans="1:21" x14ac:dyDescent="0.3">
      <c r="A50" s="40" t="s">
        <v>123</v>
      </c>
      <c r="B50" s="56">
        <f>SUM(B45:B49)</f>
        <v>225248</v>
      </c>
      <c r="C50" s="56">
        <f>SUM(C45:C49)</f>
        <v>162648</v>
      </c>
      <c r="D50" s="56">
        <f>SUM(D45:D49)</f>
        <v>131310</v>
      </c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</row>
    <row r="51" spans="1:21" x14ac:dyDescent="0.3">
      <c r="A51" s="22"/>
      <c r="C51" s="10"/>
    </row>
    <row r="52" spans="1:21" x14ac:dyDescent="0.3">
      <c r="A52" s="44" t="s">
        <v>150</v>
      </c>
      <c r="C52" s="10"/>
    </row>
    <row r="53" spans="1:21" x14ac:dyDescent="0.3">
      <c r="A53" s="42" t="s">
        <v>144</v>
      </c>
      <c r="B53" s="46"/>
      <c r="C53" s="42"/>
      <c r="D53" s="46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</row>
    <row r="54" spans="1:21" x14ac:dyDescent="0.3">
      <c r="A54" s="42" t="s">
        <v>145</v>
      </c>
      <c r="B54" s="46">
        <v>47183</v>
      </c>
      <c r="C54" s="46">
        <v>38192</v>
      </c>
      <c r="D54" s="46">
        <v>34616</v>
      </c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</row>
    <row r="55" spans="1:21" x14ac:dyDescent="0.3">
      <c r="A55" s="42" t="s">
        <v>146</v>
      </c>
      <c r="B55" s="46">
        <v>32439</v>
      </c>
      <c r="C55" s="46">
        <v>23663</v>
      </c>
      <c r="D55" s="46">
        <v>18170</v>
      </c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</row>
    <row r="56" spans="1:21" x14ac:dyDescent="0.3">
      <c r="A56" s="42" t="s">
        <v>153</v>
      </c>
      <c r="B56" s="46">
        <v>8190</v>
      </c>
      <c r="C56" s="46">
        <v>6536</v>
      </c>
      <c r="D56" s="46">
        <v>5097</v>
      </c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</row>
    <row r="57" spans="1:21" x14ac:dyDescent="0.3">
      <c r="A57" s="45" t="s">
        <v>124</v>
      </c>
      <c r="B57" s="47">
        <f>SUM(B54:B56)</f>
        <v>87812</v>
      </c>
      <c r="C57" s="47">
        <f t="shared" ref="C57:D57" si="4">SUM(C54:C56)</f>
        <v>68391</v>
      </c>
      <c r="D57" s="47">
        <f t="shared" si="4"/>
        <v>57883</v>
      </c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</row>
    <row r="58" spans="1:21" x14ac:dyDescent="0.3">
      <c r="A58" s="42" t="s">
        <v>148</v>
      </c>
      <c r="B58" s="46">
        <v>39791</v>
      </c>
      <c r="C58" s="46">
        <v>9650</v>
      </c>
      <c r="D58" s="19">
        <v>0</v>
      </c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</row>
    <row r="59" spans="1:21" x14ac:dyDescent="0.3">
      <c r="A59" s="42" t="s">
        <v>149</v>
      </c>
      <c r="B59" s="46">
        <v>23414</v>
      </c>
      <c r="C59" s="46">
        <v>23495</v>
      </c>
      <c r="D59" s="46">
        <v>24743</v>
      </c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</row>
    <row r="60" spans="1:21" ht="14.4" customHeight="1" x14ac:dyDescent="0.3">
      <c r="A60" s="43" t="s">
        <v>147</v>
      </c>
      <c r="B60" s="48">
        <v>12171</v>
      </c>
      <c r="C60" s="48">
        <v>17563</v>
      </c>
      <c r="D60" s="46">
        <v>20975</v>
      </c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</row>
    <row r="61" spans="1:21" x14ac:dyDescent="0.3">
      <c r="A61" s="22"/>
      <c r="C61" s="10"/>
    </row>
    <row r="62" spans="1:21" x14ac:dyDescent="0.3">
      <c r="A62" s="52" t="s">
        <v>151</v>
      </c>
      <c r="B62" s="51">
        <f>SUM(B57:B60)</f>
        <v>163188</v>
      </c>
      <c r="C62" s="53">
        <f>SUM(C57:C60)</f>
        <v>119099</v>
      </c>
      <c r="D62" s="53">
        <f>SUM(D57:D60)</f>
        <v>103601</v>
      </c>
    </row>
    <row r="63" spans="1:21" x14ac:dyDescent="0.3">
      <c r="A63" s="23"/>
      <c r="B63" s="28"/>
      <c r="C63" s="11"/>
      <c r="D63" s="28"/>
    </row>
    <row r="64" spans="1:21" x14ac:dyDescent="0.3">
      <c r="A64" s="2" t="s">
        <v>125</v>
      </c>
      <c r="C64" s="10"/>
    </row>
    <row r="65" spans="1:4" x14ac:dyDescent="0.3">
      <c r="C65" s="10"/>
    </row>
    <row r="66" spans="1:4" x14ac:dyDescent="0.3">
      <c r="A66" t="s">
        <v>126</v>
      </c>
    </row>
    <row r="67" spans="1:4" x14ac:dyDescent="0.3">
      <c r="A67" t="s">
        <v>127</v>
      </c>
    </row>
    <row r="68" spans="1:4" x14ac:dyDescent="0.3">
      <c r="A68" t="s">
        <v>128</v>
      </c>
      <c r="B68" s="49">
        <v>5</v>
      </c>
      <c r="C68" s="49">
        <v>5</v>
      </c>
      <c r="D68" s="49">
        <v>5</v>
      </c>
    </row>
    <row r="69" spans="1:4" x14ac:dyDescent="0.3">
      <c r="A69" t="s">
        <v>129</v>
      </c>
      <c r="B69" s="19">
        <v>-1837</v>
      </c>
      <c r="C69" s="19">
        <v>-1837</v>
      </c>
      <c r="D69" s="19">
        <v>-1837</v>
      </c>
    </row>
    <row r="70" spans="1:4" x14ac:dyDescent="0.3">
      <c r="A70" t="s">
        <v>130</v>
      </c>
      <c r="B70" s="19">
        <v>33658</v>
      </c>
      <c r="C70" s="19">
        <v>26791</v>
      </c>
      <c r="D70" s="19">
        <v>21398</v>
      </c>
    </row>
    <row r="71" spans="1:4" x14ac:dyDescent="0.3">
      <c r="A71" t="s">
        <v>131</v>
      </c>
      <c r="B71" s="19">
        <v>-986</v>
      </c>
      <c r="C71" s="19">
        <v>-1035</v>
      </c>
      <c r="D71" s="19">
        <v>-484</v>
      </c>
    </row>
    <row r="72" spans="1:4" x14ac:dyDescent="0.3">
      <c r="A72" t="s">
        <v>132</v>
      </c>
      <c r="B72" s="19">
        <v>31220</v>
      </c>
      <c r="C72" s="19">
        <v>19625</v>
      </c>
      <c r="D72" s="19">
        <v>8636</v>
      </c>
    </row>
    <row r="73" spans="1:4" x14ac:dyDescent="0.3">
      <c r="A73" t="s">
        <v>133</v>
      </c>
      <c r="B73" s="19">
        <v>62060</v>
      </c>
      <c r="C73" s="19">
        <v>43549</v>
      </c>
      <c r="D73" s="19">
        <v>27709</v>
      </c>
    </row>
    <row r="74" spans="1:4" x14ac:dyDescent="0.3">
      <c r="A74" s="50" t="s">
        <v>134</v>
      </c>
      <c r="B74" s="51">
        <v>225248</v>
      </c>
      <c r="C74" s="51">
        <v>162648</v>
      </c>
      <c r="D74" s="51">
        <v>131310</v>
      </c>
    </row>
    <row r="75" spans="1:4" x14ac:dyDescent="0.3">
      <c r="A75" s="23"/>
      <c r="B75" s="28"/>
      <c r="C75" s="11"/>
      <c r="D75" s="28"/>
    </row>
    <row r="76" spans="1:4" x14ac:dyDescent="0.3">
      <c r="C76" s="10"/>
    </row>
    <row r="77" spans="1:4" x14ac:dyDescent="0.3">
      <c r="C77" s="10"/>
    </row>
    <row r="78" spans="1:4" x14ac:dyDescent="0.3">
      <c r="A78" s="22"/>
      <c r="C78" s="10"/>
    </row>
    <row r="79" spans="1:4" x14ac:dyDescent="0.3">
      <c r="A79" s="22"/>
      <c r="C79" s="10"/>
    </row>
    <row r="80" spans="1:4" x14ac:dyDescent="0.3">
      <c r="A80" s="22"/>
      <c r="C80" s="10"/>
    </row>
    <row r="81" spans="1:4" x14ac:dyDescent="0.3">
      <c r="A81" s="23"/>
      <c r="B81" s="28"/>
      <c r="C81" s="11"/>
      <c r="D81" s="28"/>
    </row>
    <row r="82" spans="1:4" ht="15" thickBot="1" x14ac:dyDescent="0.35">
      <c r="A82" s="24"/>
      <c r="B82" s="57"/>
      <c r="C82" s="12"/>
      <c r="D82" s="57"/>
    </row>
    <row r="83" spans="1:4" ht="15" thickTop="1" x14ac:dyDescent="0.3"/>
    <row r="84" spans="1:4" x14ac:dyDescent="0.3">
      <c r="A84" s="75" t="s">
        <v>13</v>
      </c>
      <c r="B84" s="75"/>
      <c r="C84" s="75"/>
      <c r="D84" s="75"/>
    </row>
    <row r="85" spans="1:4" x14ac:dyDescent="0.3">
      <c r="B85" s="74" t="s">
        <v>57</v>
      </c>
      <c r="C85" s="74"/>
      <c r="D85" s="74"/>
    </row>
    <row r="86" spans="1:4" x14ac:dyDescent="0.3">
      <c r="B86" s="59">
        <v>2019</v>
      </c>
      <c r="C86" s="9">
        <v>2018</v>
      </c>
      <c r="D86" s="59">
        <v>2017</v>
      </c>
    </row>
    <row r="87" spans="1:4" x14ac:dyDescent="0.3">
      <c r="A87" s="2" t="s">
        <v>64</v>
      </c>
      <c r="B87" s="19">
        <v>32173</v>
      </c>
      <c r="C87" s="19">
        <v>21856</v>
      </c>
      <c r="D87" s="19">
        <v>19934</v>
      </c>
    </row>
    <row r="88" spans="1:4" x14ac:dyDescent="0.3">
      <c r="A88" s="2" t="s">
        <v>65</v>
      </c>
      <c r="C88" s="19"/>
    </row>
    <row r="89" spans="1:4" x14ac:dyDescent="0.3">
      <c r="A89" s="2" t="s">
        <v>66</v>
      </c>
      <c r="B89" s="19">
        <v>11588</v>
      </c>
      <c r="C89" s="19">
        <v>10073</v>
      </c>
      <c r="D89" s="19">
        <v>3033</v>
      </c>
    </row>
    <row r="90" spans="1:4" x14ac:dyDescent="0.3">
      <c r="A90" s="2" t="s">
        <v>67</v>
      </c>
      <c r="C90" s="19"/>
    </row>
    <row r="91" spans="1:4" ht="28.8" x14ac:dyDescent="0.3">
      <c r="A91" s="2" t="s">
        <v>68</v>
      </c>
      <c r="B91" s="19">
        <v>21789</v>
      </c>
      <c r="C91" s="19">
        <v>15341</v>
      </c>
      <c r="D91" s="19">
        <v>11478</v>
      </c>
    </row>
    <row r="92" spans="1:4" x14ac:dyDescent="0.3">
      <c r="A92" s="2" t="s">
        <v>155</v>
      </c>
      <c r="B92" s="19">
        <v>6864</v>
      </c>
      <c r="C92" s="19">
        <v>5418</v>
      </c>
      <c r="D92" s="19">
        <v>4215</v>
      </c>
    </row>
    <row r="93" spans="1:4" x14ac:dyDescent="0.3">
      <c r="A93" s="2" t="s">
        <v>69</v>
      </c>
      <c r="B93" s="19">
        <v>164</v>
      </c>
      <c r="C93" s="19">
        <v>274</v>
      </c>
      <c r="D93" s="19">
        <v>202</v>
      </c>
    </row>
    <row r="94" spans="1:4" x14ac:dyDescent="0.3">
      <c r="A94" s="2" t="s">
        <v>70</v>
      </c>
      <c r="B94" s="19">
        <v>-249</v>
      </c>
      <c r="C94" s="19">
        <v>219</v>
      </c>
      <c r="D94" s="19">
        <v>-292</v>
      </c>
    </row>
    <row r="95" spans="1:4" x14ac:dyDescent="0.3">
      <c r="A95" s="2" t="s">
        <v>71</v>
      </c>
      <c r="B95" s="19">
        <v>796</v>
      </c>
      <c r="C95" s="19">
        <v>441</v>
      </c>
      <c r="D95" s="19">
        <v>-29</v>
      </c>
    </row>
    <row r="96" spans="1:4" x14ac:dyDescent="0.3">
      <c r="A96" s="2" t="s">
        <v>72</v>
      </c>
      <c r="C96" s="19"/>
    </row>
    <row r="97" spans="1:4" x14ac:dyDescent="0.3">
      <c r="A97" s="2" t="s">
        <v>73</v>
      </c>
      <c r="B97" s="19">
        <v>-3278</v>
      </c>
      <c r="C97" s="19">
        <v>-1314</v>
      </c>
      <c r="D97" s="19">
        <v>-3583</v>
      </c>
    </row>
    <row r="98" spans="1:4" x14ac:dyDescent="0.3">
      <c r="A98" s="2" t="s">
        <v>74</v>
      </c>
      <c r="B98" s="19">
        <v>-7681</v>
      </c>
      <c r="C98" s="19">
        <v>-4615</v>
      </c>
      <c r="D98" s="19">
        <v>-4780</v>
      </c>
    </row>
    <row r="99" spans="1:4" x14ac:dyDescent="0.3">
      <c r="A99" s="2" t="s">
        <v>75</v>
      </c>
      <c r="B99" s="19">
        <v>8193</v>
      </c>
      <c r="C99" s="19">
        <v>3263</v>
      </c>
      <c r="D99" s="19">
        <v>7100</v>
      </c>
    </row>
    <row r="100" spans="1:4" x14ac:dyDescent="0.3">
      <c r="A100" s="2" t="s">
        <v>76</v>
      </c>
      <c r="B100" s="19">
        <v>-1383</v>
      </c>
      <c r="C100" s="19">
        <v>472</v>
      </c>
      <c r="D100" s="19">
        <v>283</v>
      </c>
    </row>
    <row r="101" spans="1:4" x14ac:dyDescent="0.3">
      <c r="A101" s="2" t="s">
        <v>77</v>
      </c>
      <c r="B101" s="19">
        <v>1711</v>
      </c>
      <c r="C101" s="19">
        <v>1151</v>
      </c>
      <c r="D101" s="19">
        <v>738</v>
      </c>
    </row>
    <row r="102" spans="1:4" x14ac:dyDescent="0.3">
      <c r="A102" s="2" t="s">
        <v>78</v>
      </c>
      <c r="B102" s="19">
        <v>38514</v>
      </c>
      <c r="C102" s="19">
        <v>30723</v>
      </c>
      <c r="D102" s="19">
        <v>18365</v>
      </c>
    </row>
    <row r="103" spans="1:4" x14ac:dyDescent="0.3">
      <c r="A103" s="2" t="s">
        <v>79</v>
      </c>
      <c r="C103" s="19"/>
    </row>
    <row r="104" spans="1:4" x14ac:dyDescent="0.3">
      <c r="A104" s="2" t="s">
        <v>80</v>
      </c>
      <c r="B104" s="19">
        <v>-16861</v>
      </c>
      <c r="C104" s="19">
        <v>-13427</v>
      </c>
      <c r="D104" s="19">
        <v>-11955</v>
      </c>
    </row>
    <row r="105" spans="1:4" x14ac:dyDescent="0.3">
      <c r="A105" s="2" t="s">
        <v>81</v>
      </c>
      <c r="B105" s="19">
        <v>4172</v>
      </c>
      <c r="C105" s="19">
        <v>2104</v>
      </c>
      <c r="D105" s="19">
        <v>1897</v>
      </c>
    </row>
    <row r="106" spans="1:4" x14ac:dyDescent="0.3">
      <c r="A106" s="2" t="s">
        <v>82</v>
      </c>
      <c r="B106" s="19">
        <v>-2461</v>
      </c>
      <c r="C106" s="19">
        <v>-2186</v>
      </c>
      <c r="D106" s="19">
        <v>-13972</v>
      </c>
    </row>
    <row r="107" spans="1:4" x14ac:dyDescent="0.3">
      <c r="A107" s="2" t="s">
        <v>156</v>
      </c>
      <c r="B107" s="19">
        <v>22681</v>
      </c>
      <c r="C107" s="19">
        <v>8240</v>
      </c>
      <c r="D107" s="19">
        <v>9677</v>
      </c>
    </row>
    <row r="108" spans="1:4" x14ac:dyDescent="0.3">
      <c r="A108" s="2" t="s">
        <v>157</v>
      </c>
      <c r="B108" s="19">
        <v>-31812</v>
      </c>
      <c r="C108" s="19">
        <v>-7100</v>
      </c>
      <c r="D108" s="19">
        <v>-12731</v>
      </c>
    </row>
    <row r="109" spans="1:4" x14ac:dyDescent="0.3">
      <c r="A109" s="2" t="s">
        <v>83</v>
      </c>
      <c r="B109" s="19">
        <v>-24281</v>
      </c>
      <c r="C109" s="19">
        <v>-12369</v>
      </c>
      <c r="D109" s="19">
        <v>-27084</v>
      </c>
    </row>
    <row r="110" spans="1:4" x14ac:dyDescent="0.3">
      <c r="A110" s="2" t="s">
        <v>84</v>
      </c>
      <c r="C110" s="19"/>
    </row>
    <row r="111" spans="1:4" x14ac:dyDescent="0.3">
      <c r="A111" s="2" t="s">
        <v>85</v>
      </c>
      <c r="B111" s="19">
        <v>2273</v>
      </c>
      <c r="C111" s="19">
        <v>768</v>
      </c>
      <c r="D111" s="19">
        <v>16228</v>
      </c>
    </row>
    <row r="112" spans="1:4" x14ac:dyDescent="0.3">
      <c r="A112" s="2" t="s">
        <v>86</v>
      </c>
      <c r="B112" s="19">
        <v>-2684</v>
      </c>
      <c r="C112" s="19">
        <v>-668</v>
      </c>
      <c r="D112" s="19">
        <v>-1301</v>
      </c>
    </row>
    <row r="113" spans="1:4" x14ac:dyDescent="0.3">
      <c r="A113" s="2" t="s">
        <v>87</v>
      </c>
      <c r="B113" s="19">
        <v>-9628</v>
      </c>
      <c r="C113" s="19">
        <v>-7449</v>
      </c>
      <c r="D113" s="19">
        <v>-4799</v>
      </c>
    </row>
    <row r="114" spans="1:4" x14ac:dyDescent="0.3">
      <c r="A114" s="2" t="s">
        <v>88</v>
      </c>
      <c r="B114" s="19">
        <v>-27</v>
      </c>
      <c r="C114" s="19">
        <v>-337</v>
      </c>
      <c r="D114" s="19">
        <v>-200</v>
      </c>
    </row>
    <row r="115" spans="1:4" x14ac:dyDescent="0.3">
      <c r="A115" s="2" t="s">
        <v>89</v>
      </c>
      <c r="B115" s="19">
        <v>-10066</v>
      </c>
      <c r="C115" s="19">
        <v>-7686</v>
      </c>
      <c r="D115" s="19">
        <v>9928</v>
      </c>
    </row>
    <row r="116" spans="1:4" x14ac:dyDescent="0.3">
      <c r="A116" s="2" t="s">
        <v>90</v>
      </c>
      <c r="B116" s="19">
        <v>70</v>
      </c>
      <c r="C116" s="19">
        <v>-351</v>
      </c>
      <c r="D116" s="19">
        <v>713</v>
      </c>
    </row>
    <row r="117" spans="1:4" x14ac:dyDescent="0.3">
      <c r="A117" s="2" t="s">
        <v>91</v>
      </c>
      <c r="B117" s="19">
        <v>4237</v>
      </c>
      <c r="C117" s="19">
        <v>10317</v>
      </c>
      <c r="D117" s="19">
        <v>1922</v>
      </c>
    </row>
    <row r="118" spans="1:4" x14ac:dyDescent="0.3">
      <c r="A118" s="2" t="s">
        <v>92</v>
      </c>
      <c r="B118" s="19">
        <v>36410</v>
      </c>
      <c r="C118" s="19">
        <v>32173</v>
      </c>
      <c r="D118" s="19">
        <v>21856</v>
      </c>
    </row>
    <row r="119" spans="1:4" x14ac:dyDescent="0.3">
      <c r="A119" s="2" t="s">
        <v>93</v>
      </c>
      <c r="C119" s="19"/>
    </row>
    <row r="120" spans="1:4" x14ac:dyDescent="0.3">
      <c r="A120" s="2" t="s">
        <v>94</v>
      </c>
      <c r="B120" s="19">
        <v>875</v>
      </c>
      <c r="C120" s="19">
        <v>854</v>
      </c>
      <c r="D120" s="19">
        <v>328</v>
      </c>
    </row>
    <row r="121" spans="1:4" x14ac:dyDescent="0.3">
      <c r="A121" s="2" t="s">
        <v>95</v>
      </c>
      <c r="B121" s="19">
        <v>3361</v>
      </c>
      <c r="C121" s="19" t="s">
        <v>96</v>
      </c>
      <c r="D121" s="19" t="s">
        <v>96</v>
      </c>
    </row>
    <row r="122" spans="1:4" x14ac:dyDescent="0.3">
      <c r="A122" s="2" t="s">
        <v>97</v>
      </c>
      <c r="B122" s="19">
        <v>647</v>
      </c>
      <c r="C122" s="19">
        <v>381</v>
      </c>
      <c r="D122" s="19">
        <v>200</v>
      </c>
    </row>
    <row r="123" spans="1:4" x14ac:dyDescent="0.3">
      <c r="A123" s="2" t="s">
        <v>98</v>
      </c>
      <c r="B123" s="19">
        <v>39</v>
      </c>
      <c r="C123" s="19">
        <v>194</v>
      </c>
      <c r="D123" s="19">
        <v>119</v>
      </c>
    </row>
    <row r="124" spans="1:4" x14ac:dyDescent="0.3">
      <c r="A124" s="2" t="s">
        <v>99</v>
      </c>
      <c r="B124" s="19">
        <v>881</v>
      </c>
      <c r="C124" s="19">
        <v>1184</v>
      </c>
      <c r="D124" s="19">
        <v>957</v>
      </c>
    </row>
    <row r="125" spans="1:4" x14ac:dyDescent="0.3">
      <c r="A125" s="2" t="s">
        <v>100</v>
      </c>
      <c r="B125" s="19">
        <v>7870</v>
      </c>
      <c r="C125" s="19" t="s">
        <v>96</v>
      </c>
      <c r="D125" s="19" t="s">
        <v>96</v>
      </c>
    </row>
    <row r="126" spans="1:4" x14ac:dyDescent="0.3">
      <c r="A126" s="2" t="s">
        <v>101</v>
      </c>
      <c r="B126" s="19">
        <v>13723</v>
      </c>
      <c r="C126" s="19">
        <v>10615</v>
      </c>
      <c r="D126" s="19">
        <v>9637</v>
      </c>
    </row>
    <row r="127" spans="1:4" x14ac:dyDescent="0.3">
      <c r="A127" s="2" t="s">
        <v>102</v>
      </c>
      <c r="B127" s="19">
        <v>1362</v>
      </c>
      <c r="C127" s="19">
        <v>3641</v>
      </c>
      <c r="D127" s="19">
        <v>3541</v>
      </c>
    </row>
    <row r="128" spans="1:4" x14ac:dyDescent="0.3">
      <c r="C128" s="10"/>
    </row>
    <row r="129" spans="3:3" x14ac:dyDescent="0.3">
      <c r="C129" s="10"/>
    </row>
    <row r="130" spans="3:3" x14ac:dyDescent="0.3">
      <c r="C130" s="10"/>
    </row>
  </sheetData>
  <mergeCells count="6">
    <mergeCell ref="B85:D85"/>
    <mergeCell ref="A2:D2"/>
    <mergeCell ref="B3:D3"/>
    <mergeCell ref="A38:D38"/>
    <mergeCell ref="B39:D39"/>
    <mergeCell ref="A84:D8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1"/>
  <sheetViews>
    <sheetView tabSelected="1" topLeftCell="A24" workbookViewId="0">
      <selection activeCell="F51" sqref="F51"/>
    </sheetView>
  </sheetViews>
  <sheetFormatPr defaultRowHeight="14.4" x14ac:dyDescent="0.3"/>
  <cols>
    <col min="1" max="1" width="4.6640625" customWidth="1"/>
    <col min="2" max="2" width="44.88671875" customWidth="1"/>
    <col min="3" max="5" width="11.109375" style="58" bestFit="1" customWidth="1"/>
    <col min="7" max="7" width="12" customWidth="1"/>
  </cols>
  <sheetData>
    <row r="1" spans="1:10" ht="60" customHeight="1" x14ac:dyDescent="0.5">
      <c r="A1" s="7"/>
      <c r="B1" s="15" t="s">
        <v>59</v>
      </c>
      <c r="C1" s="60"/>
      <c r="D1" s="60"/>
      <c r="E1" s="60"/>
      <c r="F1" s="16"/>
      <c r="G1" s="16"/>
      <c r="H1" s="16"/>
      <c r="I1" s="16"/>
      <c r="J1" s="16"/>
    </row>
    <row r="2" spans="1:10" x14ac:dyDescent="0.3">
      <c r="C2" s="76" t="s">
        <v>60</v>
      </c>
      <c r="D2" s="76"/>
      <c r="E2" s="76"/>
    </row>
    <row r="3" spans="1:10" x14ac:dyDescent="0.3">
      <c r="C3" s="9">
        <v>2019</v>
      </c>
      <c r="D3" s="9">
        <v>2018</v>
      </c>
      <c r="E3" s="9">
        <v>2017</v>
      </c>
    </row>
    <row r="4" spans="1:10" x14ac:dyDescent="0.3">
      <c r="A4" s="17">
        <v>1</v>
      </c>
      <c r="B4" s="9" t="s">
        <v>14</v>
      </c>
    </row>
    <row r="5" spans="1:10" x14ac:dyDescent="0.3">
      <c r="A5" s="17">
        <f>+A4+0.1</f>
        <v>1.1000000000000001</v>
      </c>
      <c r="B5" s="1" t="s">
        <v>15</v>
      </c>
      <c r="C5" s="58">
        <f>'Financial Statements'!B45/'Financial Statements'!B57</f>
        <v>1.0970482394205803</v>
      </c>
      <c r="D5" s="58">
        <f>'Financial Statements'!C45/'Financial Statements'!C57</f>
        <v>1.0981123247210891</v>
      </c>
      <c r="E5" s="58">
        <f>'Financial Statements'!D45/'Financial Statements'!D57</f>
        <v>1.039977195376881</v>
      </c>
    </row>
    <row r="6" spans="1:10" x14ac:dyDescent="0.3">
      <c r="A6" s="17">
        <f t="shared" ref="A6:A13" si="0">+A5+0.1</f>
        <v>1.2000000000000002</v>
      </c>
      <c r="B6" s="1" t="s">
        <v>16</v>
      </c>
      <c r="C6" s="58">
        <f>('Financial Statements'!B41+'Financial Statements'!B42+'Financial Statements'!B44)/'Financial Statements'!B57</f>
        <v>0.86362911674941922</v>
      </c>
      <c r="D6" s="58">
        <f>('Financial Statements'!C41+'Financial Statements'!C42+'Financial Statements'!C44)/'Financial Statements'!C57</f>
        <v>0.84699741194016753</v>
      </c>
      <c r="E6" s="58">
        <f>('Financial Statements'!D41+'Financial Statements'!D42+'Financial Statements'!D44)/'Financial Statements'!D57</f>
        <v>0.76274553841369663</v>
      </c>
    </row>
    <row r="7" spans="1:10" x14ac:dyDescent="0.3">
      <c r="A7" s="17">
        <f t="shared" si="0"/>
        <v>1.3000000000000003</v>
      </c>
      <c r="B7" s="1" t="s">
        <v>17</v>
      </c>
      <c r="C7" s="58">
        <f>('Financial Statements'!B41)/'Financial Statements'!B57</f>
        <v>0.41101443993987152</v>
      </c>
      <c r="D7" s="58">
        <f>('Financial Statements'!C41)/'Financial Statements'!C57</f>
        <v>0.46424237107221711</v>
      </c>
      <c r="E7" s="58">
        <f>('Financial Statements'!D41)/'Financial Statements'!D57</f>
        <v>0.35454278458269267</v>
      </c>
    </row>
    <row r="8" spans="1:10" x14ac:dyDescent="0.3">
      <c r="A8" s="17">
        <f t="shared" si="0"/>
        <v>1.4000000000000004</v>
      </c>
      <c r="B8" s="1" t="s">
        <v>18</v>
      </c>
      <c r="C8" s="58">
        <f>'Financial Statements'!B45/('Financial Statements'!B18/365)</f>
        <v>350.06132709442977</v>
      </c>
      <c r="D8" s="58">
        <f>'Financial Statements'!C45/('Financial Statements'!C18/365)</f>
        <v>337.12784405362191</v>
      </c>
      <c r="E8" s="58">
        <f>'Financial Statements'!D45/('Financial Statements'!D18/365)</f>
        <v>355.38292951185582</v>
      </c>
      <c r="F8" t="s">
        <v>158</v>
      </c>
    </row>
    <row r="9" spans="1:10" x14ac:dyDescent="0.3">
      <c r="A9" s="17">
        <f t="shared" si="0"/>
        <v>1.5000000000000004</v>
      </c>
      <c r="B9" s="1" t="s">
        <v>19</v>
      </c>
      <c r="C9" s="58">
        <f>((AVERAGE('Financial Statements'!B43,'Financial Statements'!C43))/'Financial Statements'!B10)*365</f>
        <v>41.531494659771894</v>
      </c>
      <c r="D9" s="58">
        <f>((AVERAGE('Financial Statements'!C43,'Financial Statements'!D43))/'Financial Statements'!C10)*365</f>
        <v>43.568602862973925</v>
      </c>
      <c r="E9" s="58">
        <f>((AVERAGE('Financial Statements'!D43,11461))/'Financial Statements'!D10)*365</f>
        <v>44.849732878303286</v>
      </c>
    </row>
    <row r="10" spans="1:10" x14ac:dyDescent="0.3">
      <c r="A10" s="17">
        <f t="shared" si="0"/>
        <v>1.6000000000000005</v>
      </c>
      <c r="B10" s="1" t="s">
        <v>20</v>
      </c>
      <c r="C10" s="58">
        <f>((AVERAGE('Financial Statements'!B55,'Financial Statements'!C55)/'Financial Statements'!B10)*365)</f>
        <v>61.851289145563506</v>
      </c>
      <c r="D10" s="58">
        <f>((AVERAGE('Financial Statements'!C55,'Financial Statements'!D55)/'Financial Statements'!C10)*365)</f>
        <v>54.863049383425796</v>
      </c>
      <c r="E10" s="58">
        <f>((AVERAGE('Financial Statements'!D55,25309)/'Financial Statements'!D10)*365)</f>
        <v>70.889251701895759</v>
      </c>
    </row>
    <row r="11" spans="1:10" x14ac:dyDescent="0.3">
      <c r="A11" s="17">
        <f t="shared" si="0"/>
        <v>1.7000000000000006</v>
      </c>
      <c r="B11" s="1" t="s">
        <v>21</v>
      </c>
      <c r="C11" s="58">
        <f>((AVERAGE('Financial Statements'!B44,'Financial Statements'!C44)/'Financial Statements'!B8)*365)</f>
        <v>24.39192826231098</v>
      </c>
      <c r="D11" s="58">
        <f>((AVERAGE('Financial Statements'!C44,'Financial Statements'!D44)/'Financial Statements'!C8)*365)</f>
        <v>23.384656507233121</v>
      </c>
      <c r="E11" s="58">
        <f>((AVERAGE('Financial Statements'!D44,8339)/'Financial Statements'!D8)*365)</f>
        <v>22.063224562310953</v>
      </c>
    </row>
    <row r="12" spans="1:10" x14ac:dyDescent="0.3">
      <c r="A12" s="17">
        <f t="shared" si="0"/>
        <v>1.8000000000000007</v>
      </c>
      <c r="B12" s="1" t="s">
        <v>22</v>
      </c>
      <c r="C12" s="58">
        <f>C11+C9-C10</f>
        <v>4.0721337765193724</v>
      </c>
      <c r="D12" s="58">
        <f t="shared" ref="D12:E12" si="1">D11+D9-D10</f>
        <v>12.090209986781254</v>
      </c>
      <c r="E12" s="58">
        <f t="shared" si="1"/>
        <v>-3.9762942612815237</v>
      </c>
    </row>
    <row r="13" spans="1:10" x14ac:dyDescent="0.3">
      <c r="A13" s="17">
        <f t="shared" si="0"/>
        <v>1.9000000000000008</v>
      </c>
      <c r="B13" s="1" t="s">
        <v>23</v>
      </c>
      <c r="C13" s="62">
        <f>C14/'Financial Statements'!B8</f>
        <v>3.0379079002716365E-2</v>
      </c>
      <c r="D13" s="62">
        <f>D14/'Financial Statements'!C8</f>
        <v>2.8812256587958968E-2</v>
      </c>
      <c r="E13" s="62">
        <f>E14/'Financial Statements'!D8</f>
        <v>1.3009793889782196E-2</v>
      </c>
    </row>
    <row r="14" spans="1:10" x14ac:dyDescent="0.3">
      <c r="A14" s="17"/>
      <c r="B14" s="14" t="s">
        <v>24</v>
      </c>
      <c r="C14" s="19">
        <f>'Financial Statements'!B45-'Financial Statements'!B57</f>
        <v>8522</v>
      </c>
      <c r="D14" s="19">
        <f>'Financial Statements'!C45-'Financial Statements'!C57</f>
        <v>6710</v>
      </c>
      <c r="E14" s="19">
        <f>'Financial Statements'!D45-'Financial Statements'!D57</f>
        <v>2314</v>
      </c>
    </row>
    <row r="15" spans="1:10" x14ac:dyDescent="0.3">
      <c r="A15" s="17"/>
    </row>
    <row r="16" spans="1:10" x14ac:dyDescent="0.3">
      <c r="A16" s="17">
        <f>+A4+1</f>
        <v>2</v>
      </c>
      <c r="B16" s="18" t="s">
        <v>25</v>
      </c>
    </row>
    <row r="17" spans="1:6" x14ac:dyDescent="0.3">
      <c r="A17" s="17">
        <f>+A16+0.1</f>
        <v>2.1</v>
      </c>
      <c r="B17" s="1" t="s">
        <v>11</v>
      </c>
      <c r="C17" s="62">
        <f>'Financial Statements'!B11/'Financial Statements'!B8</f>
        <v>0.40990011478600608</v>
      </c>
      <c r="D17" s="62">
        <f>'Financial Statements'!C11/'Financial Statements'!C8</f>
        <v>0.40247416128852193</v>
      </c>
      <c r="E17" s="62">
        <f>'Financial Statements'!D11/'Financial Statements'!D8</f>
        <v>0.3706835482891615</v>
      </c>
    </row>
    <row r="18" spans="1:6" x14ac:dyDescent="0.3">
      <c r="A18" s="17">
        <f>+A17+0.1</f>
        <v>2.2000000000000002</v>
      </c>
      <c r="B18" s="1" t="s">
        <v>26</v>
      </c>
      <c r="C18" s="62">
        <f>C19/'Financial Statements'!B8</f>
        <v>0.12950855904349748</v>
      </c>
      <c r="D18" s="62">
        <f>D19/'Financial Statements'!C8</f>
        <v>0.11920802792770743</v>
      </c>
      <c r="E18" s="62">
        <f>E19/'Financial Statements'!D8</f>
        <v>8.7616520301800227E-2</v>
      </c>
    </row>
    <row r="19" spans="1:6" x14ac:dyDescent="0.3">
      <c r="A19" s="17"/>
      <c r="B19" s="14" t="s">
        <v>27</v>
      </c>
      <c r="C19" s="19">
        <f>C21+'Financial Statements'!B91</f>
        <v>36330</v>
      </c>
      <c r="D19" s="19">
        <f>D21+'Financial Statements'!C91</f>
        <v>27762</v>
      </c>
      <c r="E19" s="19">
        <f>E21+'Financial Statements'!D91</f>
        <v>15584</v>
      </c>
    </row>
    <row r="20" spans="1:6" x14ac:dyDescent="0.3">
      <c r="A20" s="17">
        <f>+A18+0.1</f>
        <v>2.3000000000000003</v>
      </c>
      <c r="B20" s="1" t="s">
        <v>28</v>
      </c>
      <c r="C20" s="62">
        <f>C21/'Financial Statements'!B8</f>
        <v>5.1835506662579051E-2</v>
      </c>
      <c r="D20" s="62">
        <f>D21/'Financial Statements'!C8</f>
        <v>5.3334879147397665E-2</v>
      </c>
      <c r="E20" s="62">
        <f>E21/'Financial Statements'!D8</f>
        <v>2.3084794170892695E-2</v>
      </c>
    </row>
    <row r="21" spans="1:6" x14ac:dyDescent="0.3">
      <c r="A21" s="17"/>
      <c r="B21" s="14" t="s">
        <v>29</v>
      </c>
      <c r="C21" s="19">
        <f>'Financial Statements'!B19</f>
        <v>14541</v>
      </c>
      <c r="D21" s="19">
        <f>'Financial Statements'!C19</f>
        <v>12421</v>
      </c>
      <c r="E21" s="19">
        <f>'Financial Statements'!D19</f>
        <v>4106</v>
      </c>
    </row>
    <row r="22" spans="1:6" x14ac:dyDescent="0.3">
      <c r="A22" s="17">
        <f>+A20+0.1</f>
        <v>2.4000000000000004</v>
      </c>
      <c r="B22" s="1" t="s">
        <v>30</v>
      </c>
      <c r="C22" s="62">
        <f>'Financial Statements'!B24/'Financial Statements'!B8</f>
        <v>4.1308703060722513E-2</v>
      </c>
      <c r="D22" s="62">
        <f>'Financial Statements'!C24/'Financial Statements'!C8</f>
        <v>4.3252736305590261E-2</v>
      </c>
      <c r="E22" s="62">
        <f>'Financial Statements'!D24/'Financial Statements'!D8</f>
        <v>1.7052162864178651E-2</v>
      </c>
    </row>
    <row r="23" spans="1:6" x14ac:dyDescent="0.3">
      <c r="A23" s="17"/>
    </row>
    <row r="24" spans="1:6" x14ac:dyDescent="0.3">
      <c r="A24" s="17">
        <f>+A16+1</f>
        <v>3</v>
      </c>
      <c r="B24" s="9" t="s">
        <v>31</v>
      </c>
    </row>
    <row r="25" spans="1:6" x14ac:dyDescent="0.3">
      <c r="A25" s="17">
        <f>+A24+0.1</f>
        <v>3.1</v>
      </c>
      <c r="B25" s="1" t="s">
        <v>32</v>
      </c>
      <c r="C25" s="58">
        <f>'Financial Statements'!B59/'Financial Statements'!B73</f>
        <v>0.37728005156300354</v>
      </c>
      <c r="D25" s="58">
        <f>'Financial Statements'!C59/'Financial Statements'!C73</f>
        <v>0.53950722175021237</v>
      </c>
      <c r="E25" s="58">
        <f>'Financial Statements'!D59/'Financial Statements'!D73</f>
        <v>0.89295896640080841</v>
      </c>
    </row>
    <row r="26" spans="1:6" x14ac:dyDescent="0.3">
      <c r="A26" s="17">
        <f t="shared" ref="A26:A30" si="2">+A25+0.1</f>
        <v>3.2</v>
      </c>
      <c r="B26" s="1" t="s">
        <v>33</v>
      </c>
      <c r="C26" s="58">
        <f>'Financial Statements'!B59/'Financial Statements'!B50</f>
        <v>0.10394764881375196</v>
      </c>
      <c r="D26" s="58">
        <f>'Financial Statements'!C59/'Financial Statements'!C50</f>
        <v>0.14445305198957256</v>
      </c>
      <c r="E26" s="58">
        <f>'Financial Statements'!D59/'Financial Statements'!D50</f>
        <v>0.18843195491584799</v>
      </c>
    </row>
    <row r="27" spans="1:6" x14ac:dyDescent="0.3">
      <c r="A27" s="17">
        <f t="shared" si="2"/>
        <v>3.3000000000000003</v>
      </c>
      <c r="B27" s="1" t="s">
        <v>34</v>
      </c>
      <c r="C27" s="58">
        <f>('Financial Statements'!B59)/('Financial Statements'!B68+'Financial Statements'!B70+'Financial Statements'!B59)</f>
        <v>0.4102177759868248</v>
      </c>
      <c r="D27" s="58">
        <f>('Financial Statements'!C59)/('Financial Statements'!C68+'Financial Statements'!C70+'Financial Statements'!C59)</f>
        <v>0.46718100654192601</v>
      </c>
      <c r="E27" s="58">
        <f>('Financial Statements'!D59)/('Financial Statements'!D68+'Financial Statements'!D70+'Financial Statements'!D59)</f>
        <v>0.53618948554587609</v>
      </c>
      <c r="F27" t="s">
        <v>159</v>
      </c>
    </row>
    <row r="28" spans="1:6" x14ac:dyDescent="0.3">
      <c r="A28" s="17">
        <f t="shared" si="2"/>
        <v>3.4000000000000004</v>
      </c>
      <c r="B28" s="1" t="s">
        <v>35</v>
      </c>
      <c r="C28" s="58">
        <f>C21/('Financial Statements'!B122+'Financial Statements'!B123)</f>
        <v>21.196793002915452</v>
      </c>
      <c r="D28" s="58">
        <f>D21/('Financial Statements'!C122+'Financial Statements'!C123)</f>
        <v>21.601739130434783</v>
      </c>
      <c r="E28" s="58">
        <f>E21/('Financial Statements'!D122+'Financial Statements'!D123)</f>
        <v>12.871473354231975</v>
      </c>
    </row>
    <row r="29" spans="1:6" x14ac:dyDescent="0.3">
      <c r="A29" s="17">
        <f t="shared" si="2"/>
        <v>3.5000000000000004</v>
      </c>
      <c r="B29" s="1" t="s">
        <v>36</v>
      </c>
      <c r="C29" s="58">
        <f>C21/('Financial Statements'!B122+'Financial Statements'!B123+(-'Financial Statements'!B112))</f>
        <v>4.3148367952522255</v>
      </c>
      <c r="D29" s="58">
        <f>D21/('Financial Statements'!C122+'Financial Statements'!C123+(-'Financial Statements'!C112))</f>
        <v>9.9927594529364434</v>
      </c>
      <c r="E29" s="58">
        <f>E21/('Financial Statements'!D122+'Financial Statements'!D123+(-'Financial Statements'!D112))</f>
        <v>2.5345679012345679</v>
      </c>
    </row>
    <row r="30" spans="1:6" x14ac:dyDescent="0.3">
      <c r="A30" s="17">
        <f t="shared" si="2"/>
        <v>3.6000000000000005</v>
      </c>
      <c r="B30" s="1" t="s">
        <v>37</v>
      </c>
      <c r="C30" s="58">
        <f>C31/'Financial Statements'!B29</f>
        <v>111.26315789473684</v>
      </c>
      <c r="D30" s="58">
        <f>D31/'Financial Statements'!C29</f>
        <v>90.862422997946609</v>
      </c>
      <c r="E30" s="58">
        <f>E31/'Financial Statements'!D29</f>
        <v>94.264583333333334</v>
      </c>
    </row>
    <row r="31" spans="1:6" x14ac:dyDescent="0.3">
      <c r="A31" s="17"/>
      <c r="B31" s="14" t="s">
        <v>38</v>
      </c>
      <c r="C31" s="19">
        <f>'Financial Statements'!B102-('Financial Statements'!B104)+('Financial Statements'!B111+'Financial Statements'!B112)</f>
        <v>54964</v>
      </c>
      <c r="D31" s="19">
        <f>'Financial Statements'!C102-('Financial Statements'!C104)+('Financial Statements'!C111+'Financial Statements'!C112)</f>
        <v>44250</v>
      </c>
      <c r="E31" s="19">
        <f>'Financial Statements'!D102-('Financial Statements'!D104)+('Financial Statements'!D111+'Financial Statements'!D112)</f>
        <v>45247</v>
      </c>
    </row>
    <row r="32" spans="1:6" x14ac:dyDescent="0.3">
      <c r="A32" s="17"/>
    </row>
    <row r="33" spans="1:9" x14ac:dyDescent="0.3">
      <c r="A33" s="17">
        <f>+A24+1</f>
        <v>4</v>
      </c>
      <c r="B33" s="18" t="s">
        <v>39</v>
      </c>
    </row>
    <row r="34" spans="1:9" x14ac:dyDescent="0.3">
      <c r="A34" s="17">
        <f>+A33+0.1</f>
        <v>4.0999999999999996</v>
      </c>
      <c r="B34" s="1" t="s">
        <v>40</v>
      </c>
      <c r="C34" s="58">
        <f>'Financial Statements'!B8/(AVERAGE('Financial Statements'!B50,'Financial Statements'!C50))</f>
        <v>1.4463773795037844</v>
      </c>
      <c r="D34" s="58">
        <f>'Financial Statements'!C8/(AVERAGE('Financial Statements'!C50,'Financial Statements'!D50))</f>
        <v>1.5844916620741738</v>
      </c>
      <c r="E34" s="58">
        <f>'Financial Statements'!D8/(AVERAGE('Financial Statements'!D50,83402))</f>
        <v>1.6567867655277768</v>
      </c>
    </row>
    <row r="35" spans="1:9" x14ac:dyDescent="0.3">
      <c r="A35" s="17">
        <f t="shared" ref="A35:A37" si="3">+A34+0.1</f>
        <v>4.1999999999999993</v>
      </c>
      <c r="B35" s="1" t="s">
        <v>41</v>
      </c>
      <c r="C35" s="58">
        <f>'Financial Statements'!B8/(AVERAGE('Financial Statements'!B46,'Financial Statements'!C46))</f>
        <v>4.1712688287163013</v>
      </c>
      <c r="D35" s="58">
        <f>'Financial Statements'!C8/(AVERAGE('Financial Statements'!C46,'Financial Statements'!D46))</f>
        <v>4.2089406576723931</v>
      </c>
      <c r="E35" s="58">
        <f>'Financial Statements'!D8/(AVERAGE('Financial Statements'!D46,'Financial Statements'!E46))</f>
        <v>3.6398723038513485</v>
      </c>
    </row>
    <row r="36" spans="1:9" x14ac:dyDescent="0.3">
      <c r="A36" s="17">
        <f t="shared" si="3"/>
        <v>4.2999999999999989</v>
      </c>
      <c r="B36" s="1" t="s">
        <v>42</v>
      </c>
      <c r="C36" s="58">
        <f>'Financial Statements'!B10/(AVERAGE('Financial Statements'!B43,'Financial Statements'!C43))</f>
        <v>8.7885110562501652</v>
      </c>
      <c r="D36" s="58">
        <f>'Financial Statements'!C10/(AVERAGE('Financial Statements'!C43,'Financial Statements'!D43))</f>
        <v>8.3775924866801113</v>
      </c>
      <c r="E36" s="58">
        <f>'Financial Statements'!D10/(AVERAGE('Financial Statements'!D43,11461))</f>
        <v>8.1382870437690862</v>
      </c>
    </row>
    <row r="37" spans="1:9" x14ac:dyDescent="0.3">
      <c r="A37" s="17">
        <f t="shared" si="3"/>
        <v>4.3999999999999986</v>
      </c>
      <c r="B37" s="1" t="s">
        <v>43</v>
      </c>
      <c r="C37" s="62">
        <f>'Financial Statements'!B24/'Financial Statements'!B50</f>
        <v>5.1445517829237106E-2</v>
      </c>
      <c r="D37" s="62">
        <f>'Financial Statements'!C24/'Financial Statements'!C50</f>
        <v>6.1931287196891449E-2</v>
      </c>
      <c r="E37" s="62">
        <f>'Financial Statements'!D24/'Financial Statements'!D50</f>
        <v>2.3098012337217273E-2</v>
      </c>
    </row>
    <row r="38" spans="1:9" x14ac:dyDescent="0.3">
      <c r="A38" s="17"/>
    </row>
    <row r="39" spans="1:9" x14ac:dyDescent="0.3">
      <c r="A39" s="17">
        <f>+A33+1</f>
        <v>5</v>
      </c>
      <c r="B39" s="18" t="s">
        <v>44</v>
      </c>
      <c r="G39" s="77" t="s">
        <v>154</v>
      </c>
      <c r="H39" s="78"/>
      <c r="I39" s="79"/>
    </row>
    <row r="40" spans="1:9" x14ac:dyDescent="0.3">
      <c r="A40" s="17">
        <f>+A39+0.1</f>
        <v>5.0999999999999996</v>
      </c>
      <c r="B40" s="1" t="s">
        <v>45</v>
      </c>
      <c r="C40" s="58">
        <f>G41/'Financial Statements'!B27</f>
        <v>4.0152107779226425</v>
      </c>
      <c r="D40" s="58">
        <f>H41/'Financial Statements'!C27</f>
        <v>3.728897715988083</v>
      </c>
      <c r="E40" s="58">
        <f>I41/'Financial Statements'!D27</f>
        <v>9.5235772357723576</v>
      </c>
      <c r="G40" s="65">
        <v>2019</v>
      </c>
      <c r="H40">
        <v>2018</v>
      </c>
      <c r="I40" s="66">
        <v>2017</v>
      </c>
    </row>
    <row r="41" spans="1:9" x14ac:dyDescent="0.3">
      <c r="A41" s="17">
        <f t="shared" ref="A41:A44" si="4">+A40+0.1</f>
        <v>5.1999999999999993</v>
      </c>
      <c r="B41" s="14" t="s">
        <v>46</v>
      </c>
      <c r="C41" s="58">
        <f>'Financial Statements'!B27</f>
        <v>23.01</v>
      </c>
      <c r="D41" s="58">
        <f>'Financial Statements'!C27</f>
        <v>20.14</v>
      </c>
      <c r="E41" s="58">
        <f>'Financial Statements'!D27</f>
        <v>6.15</v>
      </c>
      <c r="G41" s="67">
        <v>92.39</v>
      </c>
      <c r="H41" s="68">
        <v>75.099999999999994</v>
      </c>
      <c r="I41" s="69">
        <v>58.57</v>
      </c>
    </row>
    <row r="42" spans="1:9" x14ac:dyDescent="0.3">
      <c r="A42" s="17">
        <f t="shared" si="4"/>
        <v>5.2999999999999989</v>
      </c>
      <c r="B42" s="70" t="s">
        <v>47</v>
      </c>
      <c r="C42" s="71">
        <f>G41/C43</f>
        <v>0.75031517885916854</v>
      </c>
      <c r="D42" s="71">
        <f t="shared" ref="D42:E42" si="5">H41/D43</f>
        <v>0.86224712392936687</v>
      </c>
      <c r="E42" s="71">
        <f t="shared" si="5"/>
        <v>1.0420805514453788</v>
      </c>
    </row>
    <row r="43" spans="1:9" x14ac:dyDescent="0.3">
      <c r="A43" s="17">
        <f t="shared" si="4"/>
        <v>5.3999999999999986</v>
      </c>
      <c r="B43" s="72" t="s">
        <v>48</v>
      </c>
      <c r="C43" s="71">
        <f>'Financial Statements'!B73/('Financial Statements'!B30)</f>
        <v>123.13492063492063</v>
      </c>
      <c r="D43" s="71">
        <f>'Financial Statements'!C73/('Financial Statements'!C30)</f>
        <v>87.097999999999999</v>
      </c>
      <c r="E43" s="71">
        <f>'Financial Statements'!D73/('Financial Statements'!D30)</f>
        <v>56.204868154158213</v>
      </c>
    </row>
    <row r="44" spans="1:9" x14ac:dyDescent="0.3">
      <c r="A44" s="17">
        <f t="shared" si="4"/>
        <v>5.4999999999999982</v>
      </c>
      <c r="B44" s="1" t="s">
        <v>49</v>
      </c>
      <c r="C44" s="58">
        <v>0</v>
      </c>
      <c r="D44" s="58">
        <v>0</v>
      </c>
      <c r="E44" s="58">
        <v>0</v>
      </c>
    </row>
    <row r="45" spans="1:9" x14ac:dyDescent="0.3">
      <c r="A45" s="17"/>
      <c r="B45" s="14" t="s">
        <v>50</v>
      </c>
      <c r="C45" s="58">
        <v>0</v>
      </c>
      <c r="D45" s="58">
        <v>0</v>
      </c>
      <c r="E45" s="58">
        <v>0</v>
      </c>
    </row>
    <row r="46" spans="1:9" x14ac:dyDescent="0.3">
      <c r="A46" s="17">
        <f>+A44+0.1</f>
        <v>5.5999999999999979</v>
      </c>
      <c r="B46" s="1" t="s">
        <v>51</v>
      </c>
      <c r="C46" s="61">
        <v>0</v>
      </c>
      <c r="D46" s="61">
        <v>0</v>
      </c>
      <c r="E46" s="61">
        <v>0</v>
      </c>
    </row>
    <row r="47" spans="1:9" x14ac:dyDescent="0.3">
      <c r="A47" s="17">
        <f t="shared" ref="A47:A50" si="6">+A45+0.1</f>
        <v>0.1</v>
      </c>
      <c r="B47" s="1" t="s">
        <v>52</v>
      </c>
      <c r="C47" s="62">
        <f>'Financial Statements'!B24/'Financial Statements'!B73</f>
        <v>0.1867225265871737</v>
      </c>
      <c r="D47" s="62">
        <f>'Financial Statements'!C24/'Financial Statements'!C73</f>
        <v>0.231302670555007</v>
      </c>
      <c r="E47" s="62">
        <f>'Financial Statements'!D24/'Financial Statements'!D73</f>
        <v>0.10945902053484427</v>
      </c>
    </row>
    <row r="48" spans="1:9" x14ac:dyDescent="0.3">
      <c r="A48" s="17">
        <f t="shared" si="6"/>
        <v>5.6999999999999975</v>
      </c>
      <c r="B48" s="1" t="s">
        <v>53</v>
      </c>
      <c r="C48" s="58">
        <f>C21/('Financial Statements'!B58+'Financial Statements'!B59+'Financial Statements'!B60)</f>
        <v>0.19291286351093187</v>
      </c>
      <c r="D48" s="58">
        <f>D21/('Financial Statements'!C58+'Financial Statements'!C59+'Financial Statements'!C60)</f>
        <v>0.24495148694486077</v>
      </c>
      <c r="E48" s="58">
        <f>E21/('Financial Statements'!D58+'Financial Statements'!D59+'Financial Statements'!D60)</f>
        <v>8.9811452819458418E-2</v>
      </c>
      <c r="F48" t="s">
        <v>160</v>
      </c>
    </row>
    <row r="49" spans="1:6" x14ac:dyDescent="0.3">
      <c r="A49" s="17">
        <f t="shared" si="6"/>
        <v>0.2</v>
      </c>
      <c r="B49" s="1" t="s">
        <v>43</v>
      </c>
      <c r="C49" s="62">
        <f>'Financial Statements'!B24/'Financial Statements'!B50</f>
        <v>5.1445517829237106E-2</v>
      </c>
      <c r="D49" s="62">
        <f>'Financial Statements'!C24/'Financial Statements'!C50</f>
        <v>6.1931287196891449E-2</v>
      </c>
      <c r="E49" s="62">
        <f>'Financial Statements'!D24/'Financial Statements'!D50</f>
        <v>2.3098012337217273E-2</v>
      </c>
    </row>
    <row r="50" spans="1:6" x14ac:dyDescent="0.3">
      <c r="A50" s="17">
        <f t="shared" si="6"/>
        <v>5.7999999999999972</v>
      </c>
      <c r="B50" s="1" t="s">
        <v>54</v>
      </c>
      <c r="C50" s="58">
        <f>C51/C19</f>
        <v>1.2817109826589594</v>
      </c>
      <c r="D50" s="58">
        <f t="shared" ref="D50:E50" si="7">D51/D19</f>
        <v>1.352568258770982</v>
      </c>
      <c r="E50" s="58">
        <f t="shared" si="7"/>
        <v>1.8528625513347021</v>
      </c>
    </row>
    <row r="51" spans="1:6" x14ac:dyDescent="0.3">
      <c r="A51" s="17"/>
      <c r="B51" s="14" t="s">
        <v>55</v>
      </c>
      <c r="C51" s="19">
        <f>G41*'Financial Statements'!B30</f>
        <v>46564.56</v>
      </c>
      <c r="D51" s="19">
        <f>H41*'Financial Statements'!C30</f>
        <v>37550</v>
      </c>
      <c r="E51" s="19">
        <f>I41*'Financial Statements'!D30</f>
        <v>28875.01</v>
      </c>
      <c r="F51" t="s">
        <v>161</v>
      </c>
    </row>
  </sheetData>
  <mergeCells count="2">
    <mergeCell ref="C2:E2"/>
    <mergeCell ref="G39:I3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2020-05-19T16:15:53Z</dcterms:created>
  <dcterms:modified xsi:type="dcterms:W3CDTF">2023-12-13T17:05:35Z</dcterms:modified>
</cp:coreProperties>
</file>