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BA3B914-9320-4A8D-BC9F-A1F38AB925A2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3" l="1"/>
  <c r="G5" i="3"/>
  <c r="E75" i="3"/>
  <c r="D75" i="3"/>
  <c r="C75" i="3"/>
  <c r="E74" i="3"/>
  <c r="D74" i="3"/>
  <c r="C74" i="3"/>
  <c r="E73" i="3"/>
  <c r="D73" i="3"/>
  <c r="C73" i="3"/>
  <c r="E71" i="3"/>
  <c r="D71" i="3"/>
  <c r="C71" i="3"/>
  <c r="E70" i="3"/>
  <c r="D70" i="3"/>
  <c r="C70" i="3"/>
  <c r="F69" i="3"/>
  <c r="E69" i="3"/>
  <c r="D69" i="3"/>
  <c r="C69" i="3"/>
  <c r="E68" i="3"/>
  <c r="D68" i="3"/>
  <c r="C68" i="3"/>
  <c r="E66" i="3"/>
  <c r="D66" i="3"/>
  <c r="C66" i="3"/>
  <c r="E65" i="3"/>
  <c r="D65" i="3"/>
  <c r="C65" i="3"/>
  <c r="E62" i="3"/>
  <c r="D62" i="3"/>
  <c r="C62" i="3"/>
  <c r="E61" i="3"/>
  <c r="D61" i="3"/>
  <c r="C61" i="3"/>
  <c r="E60" i="3"/>
  <c r="D60" i="3"/>
  <c r="C60" i="3"/>
  <c r="E58" i="3"/>
  <c r="D58" i="3"/>
  <c r="C58" i="3"/>
  <c r="E57" i="3"/>
  <c r="D57" i="3"/>
  <c r="C57" i="3"/>
  <c r="F56" i="3"/>
  <c r="E56" i="3"/>
  <c r="D56" i="3"/>
  <c r="C56" i="3"/>
  <c r="F55" i="3"/>
  <c r="E55" i="3"/>
  <c r="D55" i="3"/>
  <c r="C55" i="3"/>
  <c r="F54" i="3"/>
  <c r="E54" i="3"/>
  <c r="D54" i="3"/>
  <c r="C54" i="3"/>
  <c r="E51" i="3"/>
  <c r="E50" i="3" s="1"/>
  <c r="D51" i="3"/>
  <c r="C51" i="3"/>
  <c r="D49" i="3"/>
  <c r="C49" i="3"/>
  <c r="A49" i="3"/>
  <c r="E48" i="3"/>
  <c r="D48" i="3"/>
  <c r="E47" i="3"/>
  <c r="D47" i="3"/>
  <c r="C47" i="3"/>
  <c r="A47" i="3"/>
  <c r="E46" i="3"/>
  <c r="D46" i="3"/>
  <c r="C46" i="3"/>
  <c r="F45" i="3"/>
  <c r="E45" i="3"/>
  <c r="D45" i="3"/>
  <c r="C45" i="3"/>
  <c r="E44" i="3"/>
  <c r="D44" i="3"/>
  <c r="C44" i="3"/>
  <c r="E43" i="3"/>
  <c r="E42" i="3" s="1"/>
  <c r="D43" i="3"/>
  <c r="D42" i="3" s="1"/>
  <c r="C43" i="3"/>
  <c r="C42" i="3" s="1"/>
  <c r="E41" i="3"/>
  <c r="D41" i="3"/>
  <c r="D40" i="3" s="1"/>
  <c r="C41" i="3"/>
  <c r="C40" i="3" s="1"/>
  <c r="F40" i="3"/>
  <c r="E40" i="3"/>
  <c r="E37" i="3"/>
  <c r="E49" i="3" s="1"/>
  <c r="D37" i="3"/>
  <c r="C37" i="3"/>
  <c r="F36" i="3"/>
  <c r="E36" i="3"/>
  <c r="D36" i="3"/>
  <c r="C36" i="3"/>
  <c r="E35" i="3"/>
  <c r="D35" i="3"/>
  <c r="C35" i="3"/>
  <c r="E34" i="3"/>
  <c r="D34" i="3"/>
  <c r="C34" i="3"/>
  <c r="E31" i="3"/>
  <c r="D31" i="3"/>
  <c r="C31" i="3"/>
  <c r="E30" i="3"/>
  <c r="D30" i="3"/>
  <c r="C30" i="3"/>
  <c r="E29" i="3"/>
  <c r="E27" i="3"/>
  <c r="D27" i="3"/>
  <c r="C27" i="3"/>
  <c r="E26" i="3"/>
  <c r="D26" i="3"/>
  <c r="C26" i="3"/>
  <c r="E25" i="3"/>
  <c r="D25" i="3"/>
  <c r="C25" i="3"/>
  <c r="A24" i="3"/>
  <c r="A33" i="3" s="1"/>
  <c r="E22" i="3"/>
  <c r="D22" i="3"/>
  <c r="C22" i="3"/>
  <c r="E21" i="3"/>
  <c r="E19" i="3" s="1"/>
  <c r="E18" i="3" s="1"/>
  <c r="D21" i="3"/>
  <c r="D29" i="3" s="1"/>
  <c r="C21" i="3"/>
  <c r="C48" i="3" s="1"/>
  <c r="E20" i="3"/>
  <c r="D20" i="3"/>
  <c r="E17" i="3"/>
  <c r="D17" i="3"/>
  <c r="C17" i="3"/>
  <c r="A16" i="3"/>
  <c r="A17" i="3" s="1"/>
  <c r="A18" i="3" s="1"/>
  <c r="A20" i="3" s="1"/>
  <c r="A22" i="3" s="1"/>
  <c r="E14" i="3"/>
  <c r="D14" i="3"/>
  <c r="C14" i="3"/>
  <c r="C13" i="3" s="1"/>
  <c r="F13" i="3"/>
  <c r="E13" i="3"/>
  <c r="D13" i="3"/>
  <c r="F11" i="3"/>
  <c r="E11" i="3"/>
  <c r="D11" i="3"/>
  <c r="C11" i="3"/>
  <c r="E10" i="3"/>
  <c r="D10" i="3"/>
  <c r="C10" i="3"/>
  <c r="E9" i="3"/>
  <c r="E12" i="3" s="1"/>
  <c r="D9" i="3"/>
  <c r="D12" i="3" s="1"/>
  <c r="C9" i="3"/>
  <c r="F12" i="3" s="1"/>
  <c r="F8" i="3"/>
  <c r="E8" i="3"/>
  <c r="D8" i="3"/>
  <c r="C8" i="3"/>
  <c r="E7" i="3"/>
  <c r="D7" i="3"/>
  <c r="C7" i="3"/>
  <c r="A7" i="3"/>
  <c r="A8" i="3" s="1"/>
  <c r="A9" i="3" s="1"/>
  <c r="A10" i="3" s="1"/>
  <c r="A11" i="3" s="1"/>
  <c r="A12" i="3" s="1"/>
  <c r="A13" i="3" s="1"/>
  <c r="F6" i="3"/>
  <c r="E6" i="3"/>
  <c r="D6" i="3"/>
  <c r="C6" i="3"/>
  <c r="A6" i="3"/>
  <c r="E5" i="3"/>
  <c r="D5" i="3"/>
  <c r="C5" i="3"/>
  <c r="A5" i="3"/>
  <c r="E3" i="3"/>
  <c r="D3" i="3"/>
  <c r="C3" i="3"/>
  <c r="D108" i="2"/>
  <c r="C108" i="2"/>
  <c r="B108" i="2"/>
  <c r="D99" i="2"/>
  <c r="C99" i="2"/>
  <c r="B99" i="2"/>
  <c r="D73" i="2"/>
  <c r="D68" i="2"/>
  <c r="D69" i="2" s="1"/>
  <c r="C68" i="2"/>
  <c r="C69" i="2" s="1"/>
  <c r="B68" i="2"/>
  <c r="F62" i="3" s="1"/>
  <c r="D62" i="2"/>
  <c r="C62" i="2"/>
  <c r="B62" i="2"/>
  <c r="D61" i="2"/>
  <c r="C61" i="2"/>
  <c r="B61" i="2"/>
  <c r="D56" i="2"/>
  <c r="C56" i="2"/>
  <c r="B56" i="2"/>
  <c r="F7" i="3" s="1"/>
  <c r="D47" i="2"/>
  <c r="D48" i="2" s="1"/>
  <c r="C47" i="2"/>
  <c r="C48" i="2" s="1"/>
  <c r="B47" i="2"/>
  <c r="F75" i="3" s="1"/>
  <c r="D42" i="2"/>
  <c r="C42" i="2"/>
  <c r="B42" i="2"/>
  <c r="F5" i="3" s="1"/>
  <c r="D33" i="2"/>
  <c r="C33" i="2"/>
  <c r="C73" i="2" s="1"/>
  <c r="B33" i="2"/>
  <c r="B73" i="2" s="1"/>
  <c r="D17" i="2"/>
  <c r="C17" i="2"/>
  <c r="B17" i="2"/>
  <c r="F58" i="3" s="1"/>
  <c r="D12" i="2"/>
  <c r="D13" i="2" s="1"/>
  <c r="D18" i="2" s="1"/>
  <c r="D20" i="2" s="1"/>
  <c r="D22" i="2" s="1"/>
  <c r="D76" i="2" s="1"/>
  <c r="D91" i="2" s="1"/>
  <c r="D109" i="2" s="1"/>
  <c r="C12" i="2"/>
  <c r="C13" i="2" s="1"/>
  <c r="C18" i="2" s="1"/>
  <c r="C20" i="2" s="1"/>
  <c r="C22" i="2" s="1"/>
  <c r="C76" i="2" s="1"/>
  <c r="C91" i="2" s="1"/>
  <c r="C109" i="2" s="1"/>
  <c r="B12" i="2"/>
  <c r="F10" i="3" s="1"/>
  <c r="D8" i="2"/>
  <c r="C8" i="2"/>
  <c r="B8" i="2"/>
  <c r="F68" i="3" s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F27" i="3"/>
  <c r="F25" i="3"/>
  <c r="B69" i="2"/>
  <c r="F48" i="3" s="1"/>
  <c r="F9" i="3"/>
  <c r="C12" i="3"/>
  <c r="F14" i="3"/>
  <c r="C19" i="3"/>
  <c r="F21" i="3"/>
  <c r="D28" i="3"/>
  <c r="D19" i="3"/>
  <c r="D18" i="3" s="1"/>
  <c r="E28" i="3"/>
  <c r="F61" i="3"/>
  <c r="F74" i="3"/>
  <c r="A25" i="3"/>
  <c r="A26" i="3" s="1"/>
  <c r="A27" i="3" s="1"/>
  <c r="A28" i="3" s="1"/>
  <c r="A29" i="3" s="1"/>
  <c r="A30" i="3" s="1"/>
  <c r="F28" i="3"/>
  <c r="B48" i="2"/>
  <c r="F18" i="3"/>
  <c r="F19" i="3"/>
  <c r="F35" i="3"/>
  <c r="F29" i="3"/>
  <c r="B13" i="2"/>
  <c r="C28" i="3"/>
  <c r="C29" i="3"/>
  <c r="F20" i="3"/>
  <c r="F43" i="3"/>
  <c r="F65" i="3"/>
  <c r="C20" i="3"/>
  <c r="B18" i="2" l="1"/>
  <c r="F66" i="3"/>
  <c r="F57" i="3"/>
  <c r="F17" i="3"/>
  <c r="F26" i="3"/>
  <c r="C18" i="3"/>
  <c r="F50" i="3"/>
  <c r="F34" i="3"/>
  <c r="F60" i="3"/>
  <c r="D50" i="3"/>
  <c r="C50" i="3"/>
  <c r="B20" i="2" l="1"/>
  <c r="F70" i="3"/>
  <c r="B22" i="2" l="1"/>
  <c r="F73" i="3"/>
  <c r="F22" i="3" l="1"/>
  <c r="F44" i="3"/>
  <c r="B76" i="2"/>
  <c r="F41" i="3"/>
  <c r="F71" i="3" l="1"/>
  <c r="F47" i="3"/>
  <c r="B91" i="2"/>
  <c r="F49" i="3"/>
  <c r="F37" i="3"/>
  <c r="F31" i="3" l="1"/>
  <c r="B109" i="2"/>
  <c r="F30" i="3"/>
</calcChain>
</file>

<file path=xl/sharedStrings.xml><?xml version="1.0" encoding="utf-8"?>
<sst xmlns="http://schemas.openxmlformats.org/spreadsheetml/2006/main" count="204" uniqueCount="166">
  <si>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</si>
  <si>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</si>
  <si>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</si>
  <si>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</si>
  <si>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</si>
  <si>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</si>
  <si>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</si>
  <si>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</si>
  <si>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</si>
  <si>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</si>
  <si>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</si>
  <si>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</si>
  <si>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</si>
  <si>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</si>
  <si>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</si>
  <si>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</si>
  <si>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</si>
  <si>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</si>
  <si>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</si>
  <si>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</si>
  <si>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</si>
  <si>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</si>
  <si>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</si>
  <si>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</si>
  <si>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</si>
  <si>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</si>
  <si>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</si>
  <si>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</si>
  <si>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</si>
  <si>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</si>
  <si>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</si>
  <si>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</si>
  <si>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</si>
  <si>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</si>
  <si>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</si>
  <si>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</si>
  <si>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</si>
  <si>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</si>
  <si>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</si>
  <si>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</si>
  <si>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</si>
  <si>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</si>
  <si>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</si>
  <si>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</si>
  <si>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</si>
  <si>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</si>
  <si>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</si>
  <si>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</si>
  <si>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</si>
  <si>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</si>
  <si>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</si>
  <si>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</si>
  <si>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</si>
  <si>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</si>
  <si>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</si>
  <si>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</si>
  <si>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</si>
  <si>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</si>
  <si>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</si>
  <si>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</si>
  <si>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</si>
  <si>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</si>
  <si>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</si>
  <si>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</si>
  <si>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</si>
  <si>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</si>
  <si>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</si>
  <si>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</si>
  <si>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</si>
  <si>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</si>
  <si>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</si>
  <si>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</si>
  <si>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</si>
  <si>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</si>
  <si>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</si>
  <si>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</si>
  <si>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</si>
  <si>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</si>
  <si>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</si>
  <si>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</si>
  <si>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</si>
  <si>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</si>
  <si>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</si>
  <si>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</si>
  <si>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</si>
  <si>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</si>
  <si>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</si>
  <si>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</si>
  <si>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</si>
  <si>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</si>
  <si>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</si>
  <si>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</si>
  <si>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</si>
  <si>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</si>
  <si>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</si>
  <si>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</si>
  <si>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</si>
  <si>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</si>
  <si>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</si>
  <si>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</si>
  <si>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</si>
  <si>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</si>
  <si>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</si>
  <si>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</si>
  <si>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</si>
  <si>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</si>
  <si>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</si>
  <si>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</si>
  <si>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</si>
  <si>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</si>
  <si>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</si>
  <si>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</si>
  <si>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</si>
  <si>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</si>
  <si>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</si>
  <si>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</si>
  <si>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</si>
  <si>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</si>
  <si>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</si>
  <si>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</si>
  <si>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</si>
  <si>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</si>
  <si>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</si>
  <si>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</si>
  <si>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</si>
  <si>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</si>
  <si>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</si>
  <si>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</si>
  <si>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</si>
  <si>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</si>
  <si>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net sales – cost of sales – operating expense / interest expense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</si>
  <si>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</si>
  <si>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</si>
  <si>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</si>
  <si>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</si>
  <si>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</si>
  <si>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</si>
  <si>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</si>
  <si>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</si>
  <si>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</si>
  <si>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</si>
  <si>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</si>
  <si>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</si>
  <si>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market price per share / book value per share</t>
  </si>
  <si>
    <t>Book value per share (BV)</t>
  </si>
  <si>
    <t>Dividend payout ratio</t>
  </si>
  <si>
    <t>Dividend per share</t>
  </si>
  <si>
    <t>Dividend yield</t>
  </si>
  <si>
    <t>dividend per share / price per share</t>
  </si>
  <si>
    <t>Return on equity (ROE)</t>
  </si>
  <si>
    <t>Return on capital employed (ROCE)</t>
  </si>
  <si>
    <t>Enterprise value to EBITDA (EV/EBITDA)</t>
  </si>
  <si>
    <t>Enterprise value (EV)</t>
  </si>
  <si>
    <t>market cap + debt – cash</t>
  </si>
  <si>
    <t>Growth Rates (%)</t>
  </si>
  <si>
    <t>Product</t>
  </si>
  <si>
    <t>Net sales</t>
  </si>
  <si>
    <t>Operating expenses</t>
  </si>
  <si>
    <t>_</t>
  </si>
  <si>
    <t>Total Assets</t>
  </si>
  <si>
    <t>Total Liabilities</t>
  </si>
  <si>
    <t>Total Shareholders’ equity</t>
  </si>
  <si>
    <t>Percentages of net sales (%)</t>
  </si>
  <si>
    <t>Income tax rate (effective %)</t>
  </si>
  <si>
    <t>CapEx as a percentage of sales</t>
  </si>
  <si>
    <t>CapEx as a percentage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</si>
</sst>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_(* #,##0_);_(* \(#,##0\);_(* \-??_);_(@_)"/>
    <numFmt numFmtId="166" formatCode="0.0"/>
  </numFmts>
  <fonts count="9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8" fillId="0" borderId="0" applyBorder="0" applyProtection="0"/>
    <xf numFmtId="0" fontId="3" fillId="0" borderId="0" applyBorder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/>
    <xf numFmtId="0" fontId="3" fillId="0" borderId="0" xfId="2" applyBorder="1" applyAlignment="1" applyProtection="1">
      <alignment horizontal="left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165" fontId="8" fillId="0" borderId="0" xfId="1" applyNumberFormat="1" applyBorder="1" applyProtection="1"/>
    <xf numFmtId="0" fontId="2" fillId="0" borderId="1" xfId="0" applyFont="1" applyBorder="1"/>
    <xf numFmtId="165" fontId="2" fillId="0" borderId="1" xfId="1" applyNumberFormat="1" applyFont="1" applyBorder="1" applyProtection="1"/>
    <xf numFmtId="0" fontId="2" fillId="0" borderId="2" xfId="0" applyFont="1" applyBorder="1"/>
    <xf numFmtId="165" fontId="2" fillId="0" borderId="2" xfId="1" applyNumberFormat="1" applyFont="1" applyBorder="1" applyProtection="1"/>
    <xf numFmtId="0" fontId="0" fillId="4" borderId="0" xfId="0" applyFill="1"/>
    <xf numFmtId="3" fontId="0" fillId="0" borderId="0" xfId="0" applyNumberFormat="1"/>
    <xf numFmtId="0" fontId="2" fillId="0" borderId="3" xfId="0" applyFont="1" applyBorder="1" applyAlignment="1">
      <alignment horizontal="left"/>
    </xf>
    <xf numFmtId="165" fontId="8" fillId="0" borderId="3" xfId="1" applyNumberFormat="1" applyBorder="1" applyProtection="1"/>
    <xf numFmtId="165" fontId="2" fillId="0" borderId="0" xfId="1" applyNumberFormat="1" applyFont="1" applyBorder="1" applyProtection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6" fontId="0" fillId="0" borderId="0" xfId="0" applyNumberFormat="1"/>
    <xf numFmtId="2" fontId="0" fillId="5" borderId="0" xfId="0" applyNumberFormat="1" applyFill="1"/>
    <xf numFmtId="0" fontId="0" fillId="5" borderId="0" xfId="0" applyFill="1"/>
    <xf numFmtId="165" fontId="0" fillId="5" borderId="0" xfId="0" applyNumberFormat="1" applyFill="1"/>
    <xf numFmtId="0" fontId="7" fillId="0" borderId="0" xfId="0" applyFont="1"/>
    <xf numFmtId="0" fontId="7" fillId="5" borderId="0" xfId="0" applyFont="1" applyFill="1"/>
    <xf numFmtId="2" fontId="0" fillId="6" borderId="0" xfId="0" applyNumberForma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zoomScale="110" zoomScaleNormal="110" workbookViewId="0">
      <selection activeCell="A4" sqref="A4"/>
    </sheetView>
  </sheetViews>
  <sheetFormatPr defaultColWidth="8.77734375" defaultRowHeight="14.4" x14ac:dyDescent="0.3"/>
  <cols>
    <col min="1" max="1" width="104.5546875" customWidth="1"/>
  </cols>
  <sheetData>
    <row r="1" spans="1:1" ht="23.4" x14ac:dyDescent="0.45">
      <c r="A1" s="3" t="s">
        <v>0</v>
      </c>
    </row>
    <row r="3" spans="1:1" x14ac:dyDescent="0.3">
      <c r="A3" s="4" t="s">
        <v>1</v>
      </c>
    </row>
    <row r="4" spans="1:1" x14ac:dyDescent="0.3">
      <c r="A4" s="5" t="s">
        <v>2</v>
      </c>
    </row>
    <row r="5" spans="1:1" x14ac:dyDescent="0.3">
      <c r="A5" s="4" t="s">
        <v>3</v>
      </c>
    </row>
    <row r="6" spans="1:1" x14ac:dyDescent="0.3">
      <c r="A6" s="6" t="s">
        <v>4</v>
      </c>
    </row>
    <row r="7" spans="1:1" x14ac:dyDescent="0.3">
      <c r="A7" s="6"/>
    </row>
    <row r="8" spans="1:1" x14ac:dyDescent="0.3">
      <c r="A8" s="7" t="s">
        <v>5</v>
      </c>
    </row>
    <row r="9" spans="1:1" x14ac:dyDescent="0.3">
      <c r="A9" s="6" t="s">
        <v>6</v>
      </c>
    </row>
    <row r="10" spans="1:1" x14ac:dyDescent="0.3">
      <c r="A10" s="6" t="s">
        <v>7</v>
      </c>
    </row>
    <row r="11" spans="1:1" x14ac:dyDescent="0.3">
      <c r="A11" s="6" t="s">
        <v>8</v>
      </c>
    </row>
    <row r="12" spans="1:1" x14ac:dyDescent="0.3">
      <c r="A12" s="6" t="s">
        <v>9</v>
      </c>
    </row>
    <row r="13" spans="1:1" x14ac:dyDescent="0.3">
      <c r="A13" s="6"/>
    </row>
    <row r="14" spans="1:1" x14ac:dyDescent="0.3">
      <c r="A14" s="7" t="s">
        <v>10</v>
      </c>
    </row>
    <row r="15" spans="1:1" x14ac:dyDescent="0.3">
      <c r="A15" s="6" t="s">
        <v>11</v>
      </c>
    </row>
    <row r="16" spans="1:1" x14ac:dyDescent="0.3">
      <c r="A16" s="6" t="s">
        <v>7</v>
      </c>
    </row>
    <row r="17" spans="1:1" x14ac:dyDescent="0.3">
      <c r="A17" s="6" t="s">
        <v>8</v>
      </c>
    </row>
    <row r="18" spans="1:1" x14ac:dyDescent="0.3">
      <c r="A18" s="6" t="s">
        <v>12</v>
      </c>
    </row>
    <row r="19" spans="1:1" x14ac:dyDescent="0.3">
      <c r="A19" s="6" t="s">
        <v>13</v>
      </c>
    </row>
    <row r="20" spans="1:1" x14ac:dyDescent="0.3">
      <c r="A20" s="6"/>
    </row>
    <row r="21" spans="1:1" x14ac:dyDescent="0.3">
      <c r="A21" s="7" t="s">
        <v>14</v>
      </c>
    </row>
    <row r="22" spans="1:1" x14ac:dyDescent="0.3">
      <c r="A22" s="6" t="s">
        <v>15</v>
      </c>
    </row>
    <row r="23" spans="1:1" x14ac:dyDescent="0.3">
      <c r="A23" s="6" t="s">
        <v>16</v>
      </c>
    </row>
    <row r="24" spans="1:1" x14ac:dyDescent="0.3">
      <c r="A24" s="6" t="s">
        <v>17</v>
      </c>
    </row>
    <row r="25" spans="1:1" x14ac:dyDescent="0.3">
      <c r="A25" s="6"/>
    </row>
    <row r="26" spans="1:1" x14ac:dyDescent="0.3">
      <c r="A26" s="7" t="s">
        <v>18</v>
      </c>
    </row>
    <row r="27" spans="1:1" x14ac:dyDescent="0.3">
      <c r="A27" s="5" t="s">
        <v>19</v>
      </c>
    </row>
    <row r="29" spans="1:1" x14ac:dyDescent="0.3">
      <c r="A29" s="4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4" zoomScale="110" zoomScaleNormal="110" workbookViewId="0">
      <selection activeCell="B42" sqref="B42"/>
    </sheetView>
  </sheetViews>
  <sheetFormatPr defaultColWidth="8.77734375" defaultRowHeight="14.4" x14ac:dyDescent="0.3"/>
  <cols>
    <col min="1" max="1" width="59" customWidth="1"/>
    <col min="2" max="3" width="11.5546875" customWidth="1"/>
    <col min="4" max="4" width="11.6640625" customWidth="1"/>
  </cols>
  <sheetData>
    <row r="1" spans="1:10" ht="60" customHeight="1" x14ac:dyDescent="0.3">
      <c r="A1" s="8" t="s">
        <v>21</v>
      </c>
      <c r="B1" s="9" t="s">
        <v>22</v>
      </c>
      <c r="C1" s="9"/>
      <c r="D1" s="9"/>
      <c r="E1" s="9"/>
      <c r="F1" s="9"/>
      <c r="G1" s="9"/>
      <c r="H1" s="9"/>
      <c r="I1" s="9"/>
      <c r="J1" s="9"/>
    </row>
    <row r="2" spans="1:10" x14ac:dyDescent="0.3">
      <c r="A2" s="2" t="s">
        <v>23</v>
      </c>
      <c r="B2" s="2"/>
      <c r="C2" s="2"/>
      <c r="D2" s="2"/>
    </row>
    <row r="3" spans="1:10" x14ac:dyDescent="0.3">
      <c r="B3" s="1" t="s">
        <v>24</v>
      </c>
      <c r="C3" s="1"/>
      <c r="D3" s="1"/>
    </row>
    <row r="4" spans="1:10" x14ac:dyDescent="0.3">
      <c r="B4" s="4">
        <v>2022</v>
      </c>
      <c r="C4" s="4">
        <v>2021</v>
      </c>
      <c r="D4" s="4">
        <v>2020</v>
      </c>
    </row>
    <row r="5" spans="1:10" x14ac:dyDescent="0.3">
      <c r="A5" t="s">
        <v>25</v>
      </c>
    </row>
    <row r="6" spans="1:10" x14ac:dyDescent="0.3">
      <c r="A6" s="6" t="s">
        <v>26</v>
      </c>
      <c r="B6" s="10">
        <v>316199</v>
      </c>
      <c r="C6" s="10">
        <v>297392</v>
      </c>
      <c r="D6" s="10">
        <v>220747</v>
      </c>
    </row>
    <row r="7" spans="1:10" x14ac:dyDescent="0.3">
      <c r="A7" s="6" t="s">
        <v>27</v>
      </c>
      <c r="B7" s="10">
        <v>78129</v>
      </c>
      <c r="C7" s="10">
        <v>68425</v>
      </c>
      <c r="D7" s="10">
        <v>53768</v>
      </c>
    </row>
    <row r="8" spans="1:10" x14ac:dyDescent="0.3">
      <c r="A8" s="11" t="s">
        <v>28</v>
      </c>
      <c r="B8" s="12">
        <f>+B6+B7</f>
        <v>394328</v>
      </c>
      <c r="C8" s="12">
        <f>+C6+C7</f>
        <v>365817</v>
      </c>
      <c r="D8" s="12">
        <f>+D6+D7</f>
        <v>274515</v>
      </c>
    </row>
    <row r="9" spans="1:10" x14ac:dyDescent="0.3">
      <c r="A9" t="s">
        <v>29</v>
      </c>
      <c r="B9" s="10"/>
      <c r="C9" s="10"/>
      <c r="D9" s="10"/>
    </row>
    <row r="10" spans="1:10" x14ac:dyDescent="0.3">
      <c r="A10" s="6" t="s">
        <v>26</v>
      </c>
      <c r="B10" s="10">
        <v>201471</v>
      </c>
      <c r="C10" s="10">
        <v>192266</v>
      </c>
      <c r="D10" s="10">
        <v>151286</v>
      </c>
    </row>
    <row r="11" spans="1:10" x14ac:dyDescent="0.3">
      <c r="A11" s="6" t="s">
        <v>27</v>
      </c>
      <c r="B11" s="10">
        <v>22075</v>
      </c>
      <c r="C11" s="10">
        <v>20715</v>
      </c>
      <c r="D11" s="10">
        <v>18273</v>
      </c>
    </row>
    <row r="12" spans="1:10" x14ac:dyDescent="0.3">
      <c r="A12" s="11" t="s">
        <v>30</v>
      </c>
      <c r="B12" s="12">
        <f>+B10+B11</f>
        <v>223546</v>
      </c>
      <c r="C12" s="12">
        <f>+C10+C11</f>
        <v>212981</v>
      </c>
      <c r="D12" s="12">
        <f>+D10+D11</f>
        <v>169559</v>
      </c>
    </row>
    <row r="13" spans="1:10" x14ac:dyDescent="0.3">
      <c r="A13" s="11" t="s">
        <v>31</v>
      </c>
      <c r="B13" s="12">
        <f>+B8-B12</f>
        <v>170782</v>
      </c>
      <c r="C13" s="12">
        <f>+C8-C12</f>
        <v>152836</v>
      </c>
      <c r="D13" s="12">
        <f>+D8-D12</f>
        <v>104956</v>
      </c>
    </row>
    <row r="14" spans="1:10" x14ac:dyDescent="0.3">
      <c r="A14" t="s">
        <v>32</v>
      </c>
      <c r="B14" s="10"/>
      <c r="C14" s="10"/>
      <c r="D14" s="10"/>
    </row>
    <row r="15" spans="1:10" x14ac:dyDescent="0.3">
      <c r="A15" s="6" t="s">
        <v>33</v>
      </c>
      <c r="B15" s="10">
        <v>26251</v>
      </c>
      <c r="C15" s="10">
        <v>21914</v>
      </c>
      <c r="D15" s="10">
        <v>18752</v>
      </c>
    </row>
    <row r="16" spans="1:10" x14ac:dyDescent="0.3">
      <c r="A16" s="6" t="s">
        <v>34</v>
      </c>
      <c r="B16" s="10">
        <v>25094</v>
      </c>
      <c r="C16" s="10">
        <v>21973</v>
      </c>
      <c r="D16" s="10">
        <v>19916</v>
      </c>
    </row>
    <row r="17" spans="1:4" x14ac:dyDescent="0.3">
      <c r="A17" s="11" t="s">
        <v>35</v>
      </c>
      <c r="B17" s="12">
        <f>+B15+B16</f>
        <v>51345</v>
      </c>
      <c r="C17" s="12">
        <f>+C15+C16</f>
        <v>43887</v>
      </c>
      <c r="D17" s="12">
        <f>+D15+D16</f>
        <v>38668</v>
      </c>
    </row>
    <row r="18" spans="1:4" s="4" customFormat="1" x14ac:dyDescent="0.3">
      <c r="A18" s="11" t="s">
        <v>12</v>
      </c>
      <c r="B18" s="12">
        <f>+B13-B17</f>
        <v>119437</v>
      </c>
      <c r="C18" s="12">
        <f>+C13-C17</f>
        <v>108949</v>
      </c>
      <c r="D18" s="12">
        <f>+D13-D17</f>
        <v>66288</v>
      </c>
    </row>
    <row r="19" spans="1:4" x14ac:dyDescent="0.3">
      <c r="A19" t="s">
        <v>36</v>
      </c>
      <c r="B19" s="10">
        <v>-334</v>
      </c>
      <c r="C19" s="10">
        <v>258</v>
      </c>
      <c r="D19" s="10">
        <v>803</v>
      </c>
    </row>
    <row r="20" spans="1:4" x14ac:dyDescent="0.3">
      <c r="A20" s="11" t="s">
        <v>37</v>
      </c>
      <c r="B20" s="12">
        <f>+B18+B19</f>
        <v>119103</v>
      </c>
      <c r="C20" s="12">
        <f>+C18+C19</f>
        <v>109207</v>
      </c>
      <c r="D20" s="12">
        <f>+D18+D19</f>
        <v>67091</v>
      </c>
    </row>
    <row r="21" spans="1:4" x14ac:dyDescent="0.3">
      <c r="A21" t="s">
        <v>38</v>
      </c>
      <c r="B21" s="10">
        <v>19300</v>
      </c>
      <c r="C21" s="10">
        <v>14527</v>
      </c>
      <c r="D21" s="10">
        <v>9680</v>
      </c>
    </row>
    <row r="22" spans="1:4" x14ac:dyDescent="0.3">
      <c r="A22" s="13" t="s">
        <v>39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x14ac:dyDescent="0.3">
      <c r="A23" t="s">
        <v>40</v>
      </c>
    </row>
    <row r="24" spans="1:4" x14ac:dyDescent="0.3">
      <c r="A24" s="6" t="s">
        <v>41</v>
      </c>
      <c r="B24" s="15">
        <v>6.15</v>
      </c>
      <c r="C24" s="15">
        <v>5.67</v>
      </c>
      <c r="D24" s="15">
        <v>3.31</v>
      </c>
    </row>
    <row r="25" spans="1:4" x14ac:dyDescent="0.3">
      <c r="A25" s="6" t="s">
        <v>42</v>
      </c>
      <c r="B25" s="15">
        <v>6.11</v>
      </c>
      <c r="C25" s="15">
        <v>5.61</v>
      </c>
      <c r="D25" s="15">
        <v>3.28</v>
      </c>
    </row>
    <row r="26" spans="1:4" x14ac:dyDescent="0.3">
      <c r="A26" t="s">
        <v>43</v>
      </c>
    </row>
    <row r="27" spans="1:4" x14ac:dyDescent="0.3">
      <c r="A27" s="6" t="s">
        <v>41</v>
      </c>
      <c r="B27" s="16">
        <v>16215963</v>
      </c>
      <c r="C27" s="16">
        <v>16701272</v>
      </c>
      <c r="D27" s="16">
        <v>17352119</v>
      </c>
    </row>
    <row r="28" spans="1:4" x14ac:dyDescent="0.3">
      <c r="A28" s="6" t="s">
        <v>42</v>
      </c>
      <c r="B28" s="16">
        <v>16325819</v>
      </c>
      <c r="C28" s="16">
        <v>16864919</v>
      </c>
      <c r="D28" s="16">
        <v>17528214</v>
      </c>
    </row>
    <row r="31" spans="1:4" x14ac:dyDescent="0.3">
      <c r="A31" s="2" t="s">
        <v>44</v>
      </c>
      <c r="B31" s="2"/>
      <c r="C31" s="2"/>
      <c r="D31" s="2"/>
    </row>
    <row r="32" spans="1:4" x14ac:dyDescent="0.3">
      <c r="B32" s="1" t="s">
        <v>45</v>
      </c>
      <c r="C32" s="1"/>
      <c r="D32" s="1"/>
    </row>
    <row r="33" spans="1:4" x14ac:dyDescent="0.3">
      <c r="B33" s="4">
        <f>+B4</f>
        <v>2022</v>
      </c>
      <c r="C33" s="4">
        <f>+C4</f>
        <v>2021</v>
      </c>
      <c r="D33" s="4">
        <f>+D4</f>
        <v>2020</v>
      </c>
    </row>
    <row r="35" spans="1:4" x14ac:dyDescent="0.3">
      <c r="A35" t="s">
        <v>46</v>
      </c>
    </row>
    <row r="36" spans="1:4" x14ac:dyDescent="0.3">
      <c r="A36" s="6" t="s">
        <v>47</v>
      </c>
      <c r="B36" s="10">
        <v>23646</v>
      </c>
      <c r="C36" s="10">
        <v>34940</v>
      </c>
      <c r="D36" s="10">
        <v>38016</v>
      </c>
    </row>
    <row r="37" spans="1:4" x14ac:dyDescent="0.3">
      <c r="A37" s="6" t="s">
        <v>48</v>
      </c>
      <c r="B37" s="10">
        <v>24658</v>
      </c>
      <c r="C37" s="10">
        <v>27699</v>
      </c>
      <c r="D37" s="10">
        <v>52927</v>
      </c>
    </row>
    <row r="38" spans="1:4" x14ac:dyDescent="0.3">
      <c r="A38" s="6" t="s">
        <v>49</v>
      </c>
      <c r="B38" s="10">
        <v>28184</v>
      </c>
      <c r="C38" s="10">
        <v>26278</v>
      </c>
      <c r="D38" s="10">
        <v>16120</v>
      </c>
    </row>
    <row r="39" spans="1:4" x14ac:dyDescent="0.3">
      <c r="A39" s="6" t="s">
        <v>50</v>
      </c>
      <c r="B39" s="10">
        <v>4946</v>
      </c>
      <c r="C39" s="10">
        <v>6580</v>
      </c>
      <c r="D39" s="10">
        <v>4061</v>
      </c>
    </row>
    <row r="40" spans="1:4" x14ac:dyDescent="0.3">
      <c r="A40" s="6" t="s">
        <v>51</v>
      </c>
      <c r="B40" s="10">
        <v>32748</v>
      </c>
      <c r="C40" s="10">
        <v>25228</v>
      </c>
      <c r="D40" s="10">
        <v>21325</v>
      </c>
    </row>
    <row r="41" spans="1:4" x14ac:dyDescent="0.3">
      <c r="A41" s="6" t="s">
        <v>52</v>
      </c>
      <c r="B41" s="10">
        <v>21223</v>
      </c>
      <c r="C41" s="10">
        <v>14111</v>
      </c>
      <c r="D41" s="10">
        <v>11264</v>
      </c>
    </row>
    <row r="42" spans="1:4" x14ac:dyDescent="0.3">
      <c r="A42" s="11" t="s">
        <v>53</v>
      </c>
      <c r="B42" s="12">
        <f>+SUM(B36:B41)</f>
        <v>135405</v>
      </c>
      <c r="C42" s="12">
        <f>+SUM(C36:C41)</f>
        <v>134836</v>
      </c>
      <c r="D42" s="12">
        <f>+SUM(D36:D41)</f>
        <v>143713</v>
      </c>
    </row>
    <row r="43" spans="1:4" x14ac:dyDescent="0.3">
      <c r="A43" t="s">
        <v>54</v>
      </c>
      <c r="B43" s="10"/>
      <c r="C43" s="10"/>
      <c r="D43" s="10"/>
    </row>
    <row r="44" spans="1:4" x14ac:dyDescent="0.3">
      <c r="A44" s="6" t="s">
        <v>48</v>
      </c>
      <c r="B44" s="10">
        <v>120805</v>
      </c>
      <c r="C44" s="10">
        <v>127877</v>
      </c>
      <c r="D44" s="10">
        <v>100887</v>
      </c>
    </row>
    <row r="45" spans="1:4" x14ac:dyDescent="0.3">
      <c r="A45" s="6" t="s">
        <v>55</v>
      </c>
      <c r="B45" s="10">
        <v>42117</v>
      </c>
      <c r="C45" s="10">
        <v>39440</v>
      </c>
      <c r="D45" s="10">
        <v>36766</v>
      </c>
    </row>
    <row r="46" spans="1:4" x14ac:dyDescent="0.3">
      <c r="A46" s="6" t="s">
        <v>56</v>
      </c>
      <c r="B46" s="10">
        <v>54428</v>
      </c>
      <c r="C46" s="10">
        <v>48849</v>
      </c>
      <c r="D46" s="10">
        <v>42522</v>
      </c>
    </row>
    <row r="47" spans="1:4" x14ac:dyDescent="0.3">
      <c r="A47" s="11" t="s">
        <v>57</v>
      </c>
      <c r="B47" s="12">
        <f>+SUM(B44:B46)</f>
        <v>217350</v>
      </c>
      <c r="C47" s="12">
        <f>+SUM(C44:C46)</f>
        <v>216166</v>
      </c>
      <c r="D47" s="12">
        <f>+SUM(D44:D46)</f>
        <v>180175</v>
      </c>
    </row>
    <row r="48" spans="1:4" x14ac:dyDescent="0.3">
      <c r="A48" s="13" t="s">
        <v>58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50" spans="1:4" x14ac:dyDescent="0.3">
      <c r="A50" t="s">
        <v>59</v>
      </c>
    </row>
    <row r="51" spans="1:4" x14ac:dyDescent="0.3">
      <c r="A51" s="6" t="s">
        <v>60</v>
      </c>
      <c r="B51" s="10">
        <v>64115</v>
      </c>
      <c r="C51" s="10">
        <v>54763</v>
      </c>
      <c r="D51" s="10">
        <v>42296</v>
      </c>
    </row>
    <row r="52" spans="1:4" x14ac:dyDescent="0.3">
      <c r="A52" s="6" t="s">
        <v>61</v>
      </c>
      <c r="B52" s="10">
        <v>60845</v>
      </c>
      <c r="C52" s="10">
        <v>47493</v>
      </c>
      <c r="D52" s="10">
        <v>42684</v>
      </c>
    </row>
    <row r="53" spans="1:4" x14ac:dyDescent="0.3">
      <c r="A53" s="6" t="s">
        <v>62</v>
      </c>
      <c r="B53" s="10">
        <v>7912</v>
      </c>
      <c r="C53" s="10">
        <v>7612</v>
      </c>
      <c r="D53" s="10">
        <v>6643</v>
      </c>
    </row>
    <row r="54" spans="1:4" x14ac:dyDescent="0.3">
      <c r="A54" s="6" t="s">
        <v>63</v>
      </c>
      <c r="B54" s="10">
        <v>9982</v>
      </c>
      <c r="C54" s="10">
        <v>6000</v>
      </c>
      <c r="D54" s="10">
        <v>4996</v>
      </c>
    </row>
    <row r="55" spans="1:4" x14ac:dyDescent="0.3">
      <c r="A55" s="6" t="s">
        <v>64</v>
      </c>
      <c r="B55" s="10">
        <v>11128</v>
      </c>
      <c r="C55" s="10">
        <v>9613</v>
      </c>
      <c r="D55" s="10">
        <v>8773</v>
      </c>
    </row>
    <row r="56" spans="1:4" x14ac:dyDescent="0.3">
      <c r="A56" s="11" t="s">
        <v>65</v>
      </c>
      <c r="B56" s="12">
        <f>+SUM(B51:B55)</f>
        <v>153982</v>
      </c>
      <c r="C56" s="12">
        <f>+SUM(C51:C55)</f>
        <v>125481</v>
      </c>
      <c r="D56" s="12">
        <f>+SUM(D51:D55)</f>
        <v>105392</v>
      </c>
    </row>
    <row r="57" spans="1:4" x14ac:dyDescent="0.3">
      <c r="A57" t="s">
        <v>66</v>
      </c>
      <c r="B57" s="10"/>
      <c r="C57" s="10"/>
      <c r="D57" s="10"/>
    </row>
    <row r="58" spans="1:4" x14ac:dyDescent="0.3">
      <c r="A58" s="6" t="s">
        <v>62</v>
      </c>
      <c r="B58" s="10"/>
      <c r="C58" s="10"/>
      <c r="D58" s="10"/>
    </row>
    <row r="59" spans="1:4" x14ac:dyDescent="0.3">
      <c r="A59" s="6" t="s">
        <v>64</v>
      </c>
      <c r="B59" s="10">
        <v>98959</v>
      </c>
      <c r="C59" s="10">
        <v>109106</v>
      </c>
      <c r="D59" s="10">
        <v>98667</v>
      </c>
    </row>
    <row r="60" spans="1:4" x14ac:dyDescent="0.3">
      <c r="A60" s="6" t="s">
        <v>67</v>
      </c>
      <c r="B60" s="10">
        <v>49142</v>
      </c>
      <c r="C60" s="10">
        <v>53325</v>
      </c>
      <c r="D60" s="10">
        <v>54490</v>
      </c>
    </row>
    <row r="61" spans="1:4" x14ac:dyDescent="0.3">
      <c r="A61" s="17" t="s">
        <v>68</v>
      </c>
      <c r="B61" s="18">
        <f>+B59+B60</f>
        <v>148101</v>
      </c>
      <c r="C61" s="18">
        <f>+C59+C60</f>
        <v>162431</v>
      </c>
      <c r="D61" s="18">
        <f>+D59+D60</f>
        <v>153157</v>
      </c>
    </row>
    <row r="62" spans="1:4" x14ac:dyDescent="0.3">
      <c r="A62" s="11" t="s">
        <v>69</v>
      </c>
      <c r="B62" s="12">
        <f>+B56+B61</f>
        <v>302083</v>
      </c>
      <c r="C62" s="12">
        <f>+C56+C61</f>
        <v>287912</v>
      </c>
      <c r="D62" s="12">
        <f>+D56+D61</f>
        <v>258549</v>
      </c>
    </row>
    <row r="63" spans="1:4" x14ac:dyDescent="0.3">
      <c r="B63" s="10"/>
      <c r="C63" s="10"/>
      <c r="D63" s="10"/>
    </row>
    <row r="64" spans="1:4" x14ac:dyDescent="0.3">
      <c r="A64" t="s">
        <v>70</v>
      </c>
      <c r="B64" s="10"/>
      <c r="C64" s="10"/>
      <c r="D64" s="10"/>
    </row>
    <row r="65" spans="1:4" x14ac:dyDescent="0.3">
      <c r="A65" s="6" t="s">
        <v>71</v>
      </c>
      <c r="B65" s="10">
        <v>64849</v>
      </c>
      <c r="C65" s="10">
        <v>57365</v>
      </c>
      <c r="D65" s="10">
        <v>50779</v>
      </c>
    </row>
    <row r="66" spans="1:4" x14ac:dyDescent="0.3">
      <c r="A66" s="6" t="s">
        <v>72</v>
      </c>
      <c r="B66" s="10">
        <v>-3068</v>
      </c>
      <c r="C66" s="10">
        <v>5562</v>
      </c>
      <c r="D66" s="10">
        <v>14966</v>
      </c>
    </row>
    <row r="67" spans="1:4" x14ac:dyDescent="0.3">
      <c r="A67" s="6" t="s">
        <v>73</v>
      </c>
      <c r="B67" s="10">
        <v>-11109</v>
      </c>
      <c r="C67" s="10">
        <v>163</v>
      </c>
      <c r="D67" s="10">
        <v>-406</v>
      </c>
    </row>
    <row r="68" spans="1:4" x14ac:dyDescent="0.3">
      <c r="A68" s="11" t="s">
        <v>74</v>
      </c>
      <c r="B68" s="12">
        <f>+SUM(B65:B67)</f>
        <v>50672</v>
      </c>
      <c r="C68" s="12">
        <f>+SUM(C65:C67)</f>
        <v>63090</v>
      </c>
      <c r="D68" s="12">
        <f>+SUM(D65:D67)</f>
        <v>65339</v>
      </c>
    </row>
    <row r="69" spans="1:4" x14ac:dyDescent="0.3">
      <c r="A69" s="13" t="s">
        <v>75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1" spans="1:4" x14ac:dyDescent="0.3">
      <c r="A71" s="2" t="s">
        <v>76</v>
      </c>
      <c r="B71" s="2"/>
      <c r="C71" s="2"/>
      <c r="D71" s="2"/>
    </row>
    <row r="72" spans="1:4" x14ac:dyDescent="0.3">
      <c r="B72" s="1" t="s">
        <v>24</v>
      </c>
      <c r="C72" s="1"/>
      <c r="D72" s="1"/>
    </row>
    <row r="73" spans="1:4" x14ac:dyDescent="0.3">
      <c r="B73" s="4">
        <f>+B33</f>
        <v>2022</v>
      </c>
      <c r="C73" s="4">
        <f>+C33</f>
        <v>2021</v>
      </c>
      <c r="D73" s="4">
        <f>+D33</f>
        <v>2020</v>
      </c>
    </row>
    <row r="75" spans="1:4" x14ac:dyDescent="0.3">
      <c r="A75" s="4" t="s">
        <v>77</v>
      </c>
      <c r="B75" s="19"/>
      <c r="C75" s="19"/>
      <c r="D75" s="19"/>
    </row>
    <row r="76" spans="1:4" x14ac:dyDescent="0.3">
      <c r="A76" t="s">
        <v>78</v>
      </c>
      <c r="B76" s="10">
        <f>+B22</f>
        <v>99803</v>
      </c>
      <c r="C76" s="10">
        <f>+C22</f>
        <v>94680</v>
      </c>
      <c r="D76" s="10">
        <f>+D22</f>
        <v>57411</v>
      </c>
    </row>
    <row r="77" spans="1:4" x14ac:dyDescent="0.3">
      <c r="A77" s="20" t="s">
        <v>39</v>
      </c>
      <c r="B77" s="19"/>
      <c r="C77" s="19"/>
      <c r="D77" s="19"/>
    </row>
    <row r="78" spans="1:4" x14ac:dyDescent="0.3">
      <c r="A78" s="6" t="s">
        <v>79</v>
      </c>
      <c r="B78" s="10"/>
      <c r="C78" s="10"/>
      <c r="D78" s="10"/>
    </row>
    <row r="79" spans="1:4" x14ac:dyDescent="0.3">
      <c r="A79" s="21" t="s">
        <v>80</v>
      </c>
      <c r="B79" s="10">
        <v>11104</v>
      </c>
      <c r="C79" s="10">
        <v>11284</v>
      </c>
      <c r="D79" s="10">
        <v>11056</v>
      </c>
    </row>
    <row r="80" spans="1:4" x14ac:dyDescent="0.3">
      <c r="A80" s="21" t="s">
        <v>81</v>
      </c>
      <c r="B80" s="10">
        <v>9038</v>
      </c>
      <c r="C80" s="10">
        <v>7906</v>
      </c>
      <c r="D80" s="10">
        <v>6829</v>
      </c>
    </row>
    <row r="81" spans="1:4" x14ac:dyDescent="0.3">
      <c r="A81" s="21" t="s">
        <v>82</v>
      </c>
      <c r="B81" s="10">
        <v>895</v>
      </c>
      <c r="C81" s="10">
        <v>-4774</v>
      </c>
      <c r="D81" s="10">
        <v>-215</v>
      </c>
    </row>
    <row r="82" spans="1:4" x14ac:dyDescent="0.3">
      <c r="A82" s="21" t="s">
        <v>83</v>
      </c>
      <c r="B82" s="10">
        <v>111</v>
      </c>
      <c r="C82" s="10">
        <v>-147</v>
      </c>
      <c r="D82" s="10">
        <v>-97</v>
      </c>
    </row>
    <row r="83" spans="1:4" x14ac:dyDescent="0.3">
      <c r="A83" t="s">
        <v>84</v>
      </c>
      <c r="B83" s="10"/>
      <c r="C83" s="10"/>
      <c r="D83" s="10"/>
    </row>
    <row r="84" spans="1:4" x14ac:dyDescent="0.3">
      <c r="A84" s="6" t="s">
        <v>49</v>
      </c>
      <c r="B84" s="10">
        <v>-1823</v>
      </c>
      <c r="C84" s="10">
        <v>-10125</v>
      </c>
      <c r="D84" s="10">
        <v>6917</v>
      </c>
    </row>
    <row r="85" spans="1:4" x14ac:dyDescent="0.3">
      <c r="A85" s="6" t="s">
        <v>50</v>
      </c>
      <c r="B85" s="10">
        <v>1484</v>
      </c>
      <c r="C85" s="10">
        <v>-2642</v>
      </c>
      <c r="D85" s="10">
        <v>-127</v>
      </c>
    </row>
    <row r="86" spans="1:4" x14ac:dyDescent="0.3">
      <c r="A86" s="6" t="s">
        <v>51</v>
      </c>
      <c r="B86" s="10">
        <v>-7520</v>
      </c>
      <c r="C86" s="10">
        <v>-3903</v>
      </c>
      <c r="D86" s="10">
        <v>1553</v>
      </c>
    </row>
    <row r="87" spans="1:4" x14ac:dyDescent="0.3">
      <c r="A87" s="6" t="s">
        <v>85</v>
      </c>
      <c r="B87" s="10">
        <v>-6499</v>
      </c>
      <c r="C87" s="10">
        <v>-8042</v>
      </c>
      <c r="D87" s="10">
        <v>-9588</v>
      </c>
    </row>
    <row r="88" spans="1:4" x14ac:dyDescent="0.3">
      <c r="A88" s="6" t="s">
        <v>60</v>
      </c>
      <c r="B88" s="10">
        <v>9448</v>
      </c>
      <c r="C88" s="10">
        <v>12326</v>
      </c>
      <c r="D88" s="10">
        <v>-4062</v>
      </c>
    </row>
    <row r="89" spans="1:4" x14ac:dyDescent="0.3">
      <c r="A89" s="6" t="s">
        <v>62</v>
      </c>
      <c r="B89" s="10">
        <v>478</v>
      </c>
      <c r="C89" s="10">
        <v>1676</v>
      </c>
      <c r="D89" s="10">
        <v>2081</v>
      </c>
    </row>
    <row r="90" spans="1:4" x14ac:dyDescent="0.3">
      <c r="A90" s="6" t="s">
        <v>86</v>
      </c>
      <c r="B90" s="10">
        <v>5632</v>
      </c>
      <c r="C90" s="10">
        <v>5799</v>
      </c>
      <c r="D90" s="10">
        <v>8916</v>
      </c>
    </row>
    <row r="91" spans="1:4" x14ac:dyDescent="0.3">
      <c r="A91" s="11" t="s">
        <v>87</v>
      </c>
      <c r="B91" s="12">
        <f>+SUM(B76:B90)</f>
        <v>122151</v>
      </c>
      <c r="C91" s="12">
        <f>+SUM(C76:C90)</f>
        <v>104038</v>
      </c>
      <c r="D91" s="12">
        <f>+SUM(D76:D90)</f>
        <v>80674</v>
      </c>
    </row>
    <row r="92" spans="1:4" x14ac:dyDescent="0.3">
      <c r="A92" s="4" t="s">
        <v>88</v>
      </c>
      <c r="B92" s="10"/>
      <c r="C92" s="10"/>
      <c r="D92" s="10"/>
    </row>
    <row r="93" spans="1:4" x14ac:dyDescent="0.3">
      <c r="A93" s="6" t="s">
        <v>89</v>
      </c>
      <c r="B93" s="10">
        <v>-76923</v>
      </c>
      <c r="C93" s="10">
        <v>-109558</v>
      </c>
      <c r="D93" s="10">
        <v>-114938</v>
      </c>
    </row>
    <row r="94" spans="1:4" x14ac:dyDescent="0.3">
      <c r="A94" s="6" t="s">
        <v>90</v>
      </c>
      <c r="B94" s="10">
        <v>29917</v>
      </c>
      <c r="C94" s="10">
        <v>59023</v>
      </c>
      <c r="D94" s="10">
        <v>69918</v>
      </c>
    </row>
    <row r="95" spans="1:4" x14ac:dyDescent="0.3">
      <c r="A95" s="6" t="s">
        <v>91</v>
      </c>
      <c r="B95" s="10">
        <v>37446</v>
      </c>
      <c r="C95" s="10">
        <v>47460</v>
      </c>
      <c r="D95" s="10">
        <v>50473</v>
      </c>
    </row>
    <row r="96" spans="1:4" x14ac:dyDescent="0.3">
      <c r="A96" s="6" t="s">
        <v>92</v>
      </c>
      <c r="B96" s="10">
        <v>-10708</v>
      </c>
      <c r="C96" s="10">
        <v>-11085</v>
      </c>
      <c r="D96" s="10">
        <v>-7309</v>
      </c>
    </row>
    <row r="97" spans="1:4" x14ac:dyDescent="0.3">
      <c r="A97" s="6" t="s">
        <v>93</v>
      </c>
      <c r="B97" s="10">
        <v>-306</v>
      </c>
      <c r="C97" s="10">
        <v>-33</v>
      </c>
      <c r="D97" s="10">
        <v>-1524</v>
      </c>
    </row>
    <row r="98" spans="1:4" x14ac:dyDescent="0.3">
      <c r="A98" s="6" t="s">
        <v>83</v>
      </c>
      <c r="B98" s="10">
        <v>-1780</v>
      </c>
      <c r="C98" s="10">
        <v>-352</v>
      </c>
      <c r="D98" s="10">
        <v>-909</v>
      </c>
    </row>
    <row r="99" spans="1:4" x14ac:dyDescent="0.3">
      <c r="A99" s="11" t="s">
        <v>94</v>
      </c>
      <c r="B99" s="12">
        <f>+SUM(B93:B98)</f>
        <v>-22354</v>
      </c>
      <c r="C99" s="12">
        <f>+SUM(C93:C98)</f>
        <v>-14545</v>
      </c>
      <c r="D99" s="12">
        <f>+SUM(D93:D98)</f>
        <v>-4289</v>
      </c>
    </row>
    <row r="100" spans="1:4" x14ac:dyDescent="0.3">
      <c r="A100" s="4" t="s">
        <v>95</v>
      </c>
      <c r="B100" s="10"/>
      <c r="C100" s="10"/>
      <c r="D100" s="10"/>
    </row>
    <row r="101" spans="1:4" x14ac:dyDescent="0.3">
      <c r="A101" s="6" t="s">
        <v>96</v>
      </c>
      <c r="B101" s="10">
        <v>-6223</v>
      </c>
      <c r="C101" s="10">
        <v>-6556</v>
      </c>
      <c r="D101" s="10">
        <v>-3634</v>
      </c>
    </row>
    <row r="102" spans="1:4" x14ac:dyDescent="0.3">
      <c r="A102" s="6" t="s">
        <v>97</v>
      </c>
      <c r="B102" s="10">
        <v>-14841</v>
      </c>
      <c r="C102" s="10">
        <v>-14467</v>
      </c>
      <c r="D102" s="10">
        <v>-14081</v>
      </c>
    </row>
    <row r="103" spans="1:4" x14ac:dyDescent="0.3">
      <c r="A103" s="6" t="s">
        <v>98</v>
      </c>
      <c r="B103" s="10">
        <v>-89402</v>
      </c>
      <c r="C103" s="10">
        <v>-85971</v>
      </c>
      <c r="D103" s="10">
        <v>-72358</v>
      </c>
    </row>
    <row r="104" spans="1:4" x14ac:dyDescent="0.3">
      <c r="A104" s="6" t="s">
        <v>99</v>
      </c>
      <c r="B104" s="10">
        <v>5465</v>
      </c>
      <c r="C104" s="10">
        <v>20393</v>
      </c>
      <c r="D104" s="10">
        <v>16091</v>
      </c>
    </row>
    <row r="105" spans="1:4" x14ac:dyDescent="0.3">
      <c r="A105" s="6" t="s">
        <v>100</v>
      </c>
      <c r="B105" s="10">
        <v>-9543</v>
      </c>
      <c r="C105" s="10">
        <v>-8750</v>
      </c>
      <c r="D105" s="10">
        <v>-12629</v>
      </c>
    </row>
    <row r="106" spans="1:4" x14ac:dyDescent="0.3">
      <c r="A106" s="6" t="s">
        <v>101</v>
      </c>
      <c r="B106" s="10">
        <v>3955</v>
      </c>
      <c r="C106" s="10">
        <v>1022</v>
      </c>
      <c r="D106" s="10">
        <v>-963</v>
      </c>
    </row>
    <row r="107" spans="1:4" x14ac:dyDescent="0.3">
      <c r="A107" s="6" t="s">
        <v>83</v>
      </c>
      <c r="B107" s="10">
        <v>-160</v>
      </c>
      <c r="C107" s="10">
        <v>976</v>
      </c>
      <c r="D107" s="10">
        <v>754</v>
      </c>
    </row>
    <row r="108" spans="1:4" x14ac:dyDescent="0.3">
      <c r="A108" s="11" t="s">
        <v>102</v>
      </c>
      <c r="B108" s="12">
        <f>+SUM(B101:B107)</f>
        <v>-110749</v>
      </c>
      <c r="C108" s="12">
        <f>+SUM(C101:C107)</f>
        <v>-93353</v>
      </c>
      <c r="D108" s="12">
        <f>+SUM(D101:D107)</f>
        <v>-86820</v>
      </c>
    </row>
    <row r="109" spans="1:4" x14ac:dyDescent="0.3">
      <c r="A109" s="11" t="s">
        <v>103</v>
      </c>
      <c r="B109" s="12">
        <f>+B91+B99+B108</f>
        <v>-10952</v>
      </c>
      <c r="C109" s="12">
        <f>+C91+C99+C108</f>
        <v>-3860</v>
      </c>
      <c r="D109" s="12">
        <f>+D91+D99+D108</f>
        <v>-10435</v>
      </c>
    </row>
    <row r="110" spans="1:4" x14ac:dyDescent="0.3">
      <c r="A110" s="13" t="s">
        <v>104</v>
      </c>
      <c r="B110" s="14">
        <v>24977</v>
      </c>
      <c r="C110" s="14">
        <v>35929</v>
      </c>
      <c r="D110" s="14">
        <v>39789</v>
      </c>
    </row>
    <row r="111" spans="1:4" x14ac:dyDescent="0.3">
      <c r="B111" s="10"/>
      <c r="C111" s="10"/>
      <c r="D111" s="10"/>
    </row>
    <row r="112" spans="1:4" x14ac:dyDescent="0.3">
      <c r="A112" t="s">
        <v>105</v>
      </c>
      <c r="B112" s="10"/>
      <c r="C112" s="10"/>
      <c r="D112" s="10"/>
    </row>
    <row r="113" spans="1:4" x14ac:dyDescent="0.3">
      <c r="A113" t="s">
        <v>106</v>
      </c>
      <c r="B113" s="10">
        <v>19573</v>
      </c>
      <c r="C113" s="10">
        <v>25385</v>
      </c>
      <c r="D113" s="10">
        <v>9501</v>
      </c>
    </row>
    <row r="114" spans="1:4" x14ac:dyDescent="0.3">
      <c r="A114" t="s">
        <v>107</v>
      </c>
      <c r="B114" s="10">
        <v>2865</v>
      </c>
      <c r="C114" s="10">
        <v>2687</v>
      </c>
      <c r="D114" s="10">
        <v>3002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6"/>
  <sheetViews>
    <sheetView tabSelected="1" zoomScale="110" zoomScaleNormal="110" workbookViewId="0">
      <selection activeCell="F5" sqref="F5"/>
    </sheetView>
  </sheetViews>
  <sheetFormatPr defaultColWidth="8.77734375"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8"/>
      <c r="B1" s="22" t="s">
        <v>21</v>
      </c>
      <c r="C1" s="23"/>
      <c r="D1" s="23"/>
      <c r="E1" s="23"/>
      <c r="F1" s="23"/>
      <c r="G1" s="23"/>
      <c r="H1" s="23"/>
      <c r="I1" s="23"/>
      <c r="J1" s="23"/>
    </row>
    <row r="2" spans="1:10" x14ac:dyDescent="0.3">
      <c r="C2" s="1" t="s">
        <v>24</v>
      </c>
      <c r="D2" s="1"/>
      <c r="E2" s="1"/>
    </row>
    <row r="3" spans="1:10" x14ac:dyDescent="0.3">
      <c r="C3" s="4">
        <f>+'Financial Statements'!B4</f>
        <v>2022</v>
      </c>
      <c r="D3" s="4">
        <f>+'Financial Statements'!C4</f>
        <v>2021</v>
      </c>
      <c r="E3" s="4">
        <f>+'Financial Statements'!D4</f>
        <v>2020</v>
      </c>
      <c r="F3" s="4">
        <v>2022</v>
      </c>
      <c r="G3" s="4">
        <v>2021</v>
      </c>
      <c r="H3" s="4">
        <v>2020</v>
      </c>
    </row>
    <row r="4" spans="1:10" x14ac:dyDescent="0.3">
      <c r="A4" s="24">
        <v>1</v>
      </c>
      <c r="B4" s="4" t="s">
        <v>108</v>
      </c>
    </row>
    <row r="5" spans="1:10" x14ac:dyDescent="0.3">
      <c r="A5" s="24">
        <f t="shared" ref="A5:A13" si="0">+A4+0.1</f>
        <v>1.1000000000000001</v>
      </c>
      <c r="B5" s="6" t="s">
        <v>109</v>
      </c>
      <c r="C5">
        <f>135405/153982</f>
        <v>0.87935602862672257</v>
      </c>
      <c r="D5">
        <f>134836/125481</f>
        <v>1.0745531195957954</v>
      </c>
      <c r="E5">
        <f>143713/105392</f>
        <v>1.3636044481554577</v>
      </c>
      <c r="F5" s="25">
        <f>+'Financial Statements'!B42/'Financial Statements'!B56</f>
        <v>0.87935602862672257</v>
      </c>
      <c r="G5" s="30">
        <f>+'Financial Statements'!C42/'Financial Statements'!C56</f>
        <v>1.0745531195957954</v>
      </c>
      <c r="H5" s="30">
        <f>+'Financial Statements'!D42/'Financial Statements'!D56</f>
        <v>1.3636044481554577</v>
      </c>
    </row>
    <row r="6" spans="1:10" x14ac:dyDescent="0.3">
      <c r="A6" s="24">
        <f t="shared" si="0"/>
        <v>1.2000000000000002</v>
      </c>
      <c r="B6" s="6" t="s">
        <v>110</v>
      </c>
      <c r="C6">
        <f>(23646+24658+28184)/153982</f>
        <v>0.49673338442155579</v>
      </c>
      <c r="D6">
        <f>(34940+27699+26278)/125481</f>
        <v>0.70860927152317876</v>
      </c>
      <c r="E6">
        <f>(38016+52927+16120)/105392</f>
        <v>1.0158550933657204</v>
      </c>
      <c r="F6" s="26">
        <f>+('Financial Statements'!B36+'Financial Statements'!B37+'Financial Statements'!B38)/'Financial Statements'!B56</f>
        <v>0.49673338442155579</v>
      </c>
    </row>
    <row r="7" spans="1:10" x14ac:dyDescent="0.3">
      <c r="A7" s="24">
        <f t="shared" si="0"/>
        <v>1.3000000000000003</v>
      </c>
      <c r="B7" s="6" t="s">
        <v>111</v>
      </c>
      <c r="C7">
        <f>23646/153982</f>
        <v>0.15356340351469652</v>
      </c>
      <c r="D7">
        <f>34940/125481</f>
        <v>0.27844853005634318</v>
      </c>
      <c r="E7">
        <f>38016/105392</f>
        <v>0.36071049035979963</v>
      </c>
      <c r="F7" s="26">
        <f>+'Financial Statements'!B36/'Financial Statements'!B56</f>
        <v>0.15356340351469652</v>
      </c>
    </row>
    <row r="8" spans="1:10" x14ac:dyDescent="0.3">
      <c r="A8" s="24">
        <f t="shared" si="0"/>
        <v>1.4000000000000004</v>
      </c>
      <c r="B8" s="6" t="s">
        <v>112</v>
      </c>
      <c r="C8">
        <f>135405/(51345/365)</f>
        <v>962.56354075372474</v>
      </c>
      <c r="D8">
        <f>134836/(43887/365)</f>
        <v>1121.4058832911796</v>
      </c>
      <c r="E8">
        <f>143713/(38668/365)</f>
        <v>1356.5543860556534</v>
      </c>
      <c r="F8" s="26">
        <f>+('Financial Statements'!B42/'Financial Statements'!B17)*365</f>
        <v>962.56354075372474</v>
      </c>
    </row>
    <row r="9" spans="1:10" x14ac:dyDescent="0.3">
      <c r="A9" s="24">
        <f t="shared" si="0"/>
        <v>1.5000000000000004</v>
      </c>
      <c r="B9" s="6" t="s">
        <v>113</v>
      </c>
      <c r="C9">
        <f>(4946/223546)*365</f>
        <v>8.0756980666171607</v>
      </c>
      <c r="D9">
        <f>(6580/212981)*365</f>
        <v>11.27659274770989</v>
      </c>
      <c r="E9">
        <f>(4061/169559)*365</f>
        <v>8.7418833562358831</v>
      </c>
      <c r="F9" s="26">
        <f>+('Financial Statements'!B39/'Financial Statements'!B12)*365</f>
        <v>8.0756980666171607</v>
      </c>
    </row>
    <row r="10" spans="1:10" x14ac:dyDescent="0.3">
      <c r="A10" s="24">
        <f t="shared" si="0"/>
        <v>1.6000000000000005</v>
      </c>
      <c r="B10" s="6" t="s">
        <v>114</v>
      </c>
      <c r="C10">
        <f>(64115*365)/223546</f>
        <v>104.68527730310539</v>
      </c>
      <c r="D10">
        <f>(54763*365)/212981</f>
        <v>93.85107122231561</v>
      </c>
      <c r="E10">
        <f>(42296*365)/169559</f>
        <v>91.048189715674184</v>
      </c>
      <c r="F10" s="26">
        <f>+('Financial Statements'!B51/'Financial Statements'!B12)*365</f>
        <v>104.68527730310539</v>
      </c>
    </row>
    <row r="11" spans="1:10" x14ac:dyDescent="0.3">
      <c r="A11" s="24">
        <f t="shared" si="0"/>
        <v>1.7000000000000006</v>
      </c>
      <c r="B11" s="6" t="s">
        <v>115</v>
      </c>
      <c r="C11">
        <f>(28184*365)/394328</f>
        <v>26.087825363656652</v>
      </c>
      <c r="D11">
        <f>(26278*365)/365817</f>
        <v>26.219311841713207</v>
      </c>
      <c r="E11">
        <f>(16120*365)/274515</f>
        <v>21.433437152796749</v>
      </c>
      <c r="F11" s="26">
        <f>+('Financial Statements'!B38/'Financial Statements'!B8)*365</f>
        <v>26.087825363656648</v>
      </c>
    </row>
    <row r="12" spans="1:10" x14ac:dyDescent="0.3">
      <c r="A12" s="24">
        <f t="shared" si="0"/>
        <v>1.8000000000000007</v>
      </c>
      <c r="B12" s="6" t="s">
        <v>116</v>
      </c>
      <c r="C12">
        <f>C9+C11-C10</f>
        <v>-70.521753872831582</v>
      </c>
      <c r="D12">
        <f>D9+D11-D10</f>
        <v>-56.355166632892512</v>
      </c>
      <c r="E12">
        <f>E9+E11-E10</f>
        <v>-60.872869206641553</v>
      </c>
      <c r="F12" s="26">
        <f>+'List of Ratios'!C9+'List of Ratios'!C11-'List of Ratios'!C10</f>
        <v>-70.521753872831582</v>
      </c>
    </row>
    <row r="13" spans="1:10" x14ac:dyDescent="0.3">
      <c r="A13" s="24">
        <f t="shared" si="0"/>
        <v>1.9000000000000008</v>
      </c>
      <c r="B13" s="6" t="s">
        <v>117</v>
      </c>
      <c r="C13">
        <f>(C14*100)/394328</f>
        <v>-4.7110527276784806</v>
      </c>
      <c r="D13">
        <f>(D14*100)/365817</f>
        <v>2.5572895737486228</v>
      </c>
      <c r="E13">
        <f>(E14*100)/274515</f>
        <v>13.959528623208204</v>
      </c>
      <c r="F13" s="26">
        <f>+('Financial Statements'!B42-'Financial Statements'!B56)/'Financial Statements'!B8</f>
        <v>-4.711052727678481E-2</v>
      </c>
    </row>
    <row r="14" spans="1:10" x14ac:dyDescent="0.3">
      <c r="A14" s="24"/>
      <c r="B14" s="21" t="s">
        <v>118</v>
      </c>
      <c r="C14">
        <f>135405-153982</f>
        <v>-18577</v>
      </c>
      <c r="D14">
        <f>134836-125481</f>
        <v>9355</v>
      </c>
      <c r="E14">
        <f>143713-105392</f>
        <v>38321</v>
      </c>
      <c r="F14" s="26">
        <f>+'Financial Statements'!B42-'Financial Statements'!B56</f>
        <v>-18577</v>
      </c>
    </row>
    <row r="15" spans="1:10" x14ac:dyDescent="0.3">
      <c r="A15" s="24"/>
    </row>
    <row r="16" spans="1:10" x14ac:dyDescent="0.3">
      <c r="A16" s="24">
        <f>+A4+1</f>
        <v>2</v>
      </c>
      <c r="B16" s="7" t="s">
        <v>119</v>
      </c>
    </row>
    <row r="17" spans="1:7" x14ac:dyDescent="0.3">
      <c r="A17" s="24">
        <f>+A16+0.1</f>
        <v>2.1</v>
      </c>
      <c r="B17" s="6" t="s">
        <v>31</v>
      </c>
      <c r="C17">
        <f>114728+56054</f>
        <v>170782</v>
      </c>
      <c r="D17">
        <f>105126+47710</f>
        <v>152836</v>
      </c>
      <c r="E17">
        <f>69461+35495</f>
        <v>104956</v>
      </c>
      <c r="F17" s="27">
        <f>+'Financial Statements'!B13</f>
        <v>170782</v>
      </c>
    </row>
    <row r="18" spans="1:7" x14ac:dyDescent="0.3">
      <c r="A18" s="24">
        <f>+A17+0.1</f>
        <v>2.2000000000000002</v>
      </c>
      <c r="B18" s="6" t="s">
        <v>120</v>
      </c>
      <c r="C18">
        <f>C19/394328</f>
        <v>0.3310467428130896</v>
      </c>
      <c r="D18">
        <f>D19/365817</f>
        <v>0.32866979938056462</v>
      </c>
      <c r="E18">
        <f>E19/274515</f>
        <v>0.2817478097736007</v>
      </c>
      <c r="F18" s="26">
        <f>(+'Financial Statements'!B8-'Financial Statements'!B12-'Financial Statements'!B17+'Financial Statements'!B79)/'Financial Statements'!B8</f>
        <v>0.3310467428130896</v>
      </c>
    </row>
    <row r="19" spans="1:7" x14ac:dyDescent="0.3">
      <c r="A19" s="24"/>
      <c r="B19" s="21" t="s">
        <v>121</v>
      </c>
      <c r="C19">
        <f>C21+11104</f>
        <v>130541</v>
      </c>
      <c r="D19">
        <f>D21+11284</f>
        <v>120233</v>
      </c>
      <c r="E19">
        <f>E21+11056</f>
        <v>77344</v>
      </c>
      <c r="F19" s="26">
        <f>+'Financial Statements'!B8-'Financial Statements'!B12-'Financial Statements'!B17+'Financial Statements'!B79</f>
        <v>130541</v>
      </c>
    </row>
    <row r="20" spans="1:7" x14ac:dyDescent="0.3">
      <c r="A20" s="24">
        <f>+A18+0.1</f>
        <v>2.3000000000000003</v>
      </c>
      <c r="B20" s="6" t="s">
        <v>122</v>
      </c>
      <c r="C20">
        <f>C21/394328</f>
        <v>0.30288744395528594</v>
      </c>
      <c r="D20">
        <f>D21/365817</f>
        <v>0.29782377527561593</v>
      </c>
      <c r="E20">
        <f>E21/274515</f>
        <v>0.24147314354406862</v>
      </c>
      <c r="F20" s="26">
        <f>+('Financial Statements'!B8-'Financial Statements'!B12-'Financial Statements'!B17)/'Financial Statements'!B8</f>
        <v>0.30288744395528594</v>
      </c>
    </row>
    <row r="21" spans="1:7" x14ac:dyDescent="0.3">
      <c r="A21" s="24"/>
      <c r="B21" s="21" t="s">
        <v>123</v>
      </c>
      <c r="C21">
        <f>394328-223546-51345</f>
        <v>119437</v>
      </c>
      <c r="D21">
        <f>365817-212981-43887</f>
        <v>108949</v>
      </c>
      <c r="E21">
        <f>274515-169559-38668</f>
        <v>66288</v>
      </c>
      <c r="F21" s="26">
        <f>+'Financial Statements'!B8-'Financial Statements'!B12-'Financial Statements'!B17</f>
        <v>119437</v>
      </c>
    </row>
    <row r="22" spans="1:7" x14ac:dyDescent="0.3">
      <c r="A22" s="24">
        <f>+A20+0.1</f>
        <v>2.4000000000000004</v>
      </c>
      <c r="B22" s="6" t="s">
        <v>124</v>
      </c>
      <c r="C22">
        <f>(99803/394328)*100</f>
        <v>25.309640705199733</v>
      </c>
      <c r="D22">
        <f>(94680/365817)*100</f>
        <v>25.881793355694239</v>
      </c>
      <c r="E22">
        <f>(57411/274515)*100</f>
        <v>20.913611278072235</v>
      </c>
      <c r="F22" s="26">
        <f>+'Financial Statements'!B22/'Financial Statements'!B8</f>
        <v>0.25309640705199732</v>
      </c>
    </row>
    <row r="23" spans="1:7" x14ac:dyDescent="0.3">
      <c r="A23" s="24"/>
    </row>
    <row r="24" spans="1:7" x14ac:dyDescent="0.3">
      <c r="A24" s="24">
        <f>+A16+1</f>
        <v>3</v>
      </c>
      <c r="B24" s="4" t="s">
        <v>125</v>
      </c>
    </row>
    <row r="25" spans="1:7" x14ac:dyDescent="0.3">
      <c r="A25" s="24">
        <f t="shared" ref="A25:A30" si="1">+A24+0.1</f>
        <v>3.1</v>
      </c>
      <c r="B25" s="6" t="s">
        <v>126</v>
      </c>
      <c r="C25">
        <f>302083/50672</f>
        <v>5.9615369434796337</v>
      </c>
      <c r="D25">
        <f>287912/63090</f>
        <v>4.5635124425423994</v>
      </c>
      <c r="E25">
        <f>258549/65339</f>
        <v>3.9570394404566951</v>
      </c>
      <c r="F25" s="26">
        <f>+'Financial Statements'!B62/'Financial Statements'!B68</f>
        <v>5.9615369434796337</v>
      </c>
    </row>
    <row r="26" spans="1:7" x14ac:dyDescent="0.3">
      <c r="A26" s="24">
        <f t="shared" si="1"/>
        <v>3.2</v>
      </c>
      <c r="B26" s="6" t="s">
        <v>127</v>
      </c>
      <c r="C26">
        <f>302083/352755</f>
        <v>0.85635355983614692</v>
      </c>
      <c r="D26">
        <f>287912/351002</f>
        <v>0.82025743443057308</v>
      </c>
      <c r="E26">
        <f>258549/323888</f>
        <v>0.79826668477992391</v>
      </c>
      <c r="F26" s="26">
        <f>+'Financial Statements'!B62/'Financial Statements'!B69</f>
        <v>0.85635355983614692</v>
      </c>
    </row>
    <row r="27" spans="1:7" x14ac:dyDescent="0.3">
      <c r="A27" s="24">
        <f t="shared" si="1"/>
        <v>3.3000000000000003</v>
      </c>
      <c r="B27" s="6" t="s">
        <v>128</v>
      </c>
      <c r="C27">
        <f>148101/(148101+50672)</f>
        <v>0.74507604151469264</v>
      </c>
      <c r="D27">
        <f>162431/(162431+63090)</f>
        <v>0.72024778180302496</v>
      </c>
      <c r="E27">
        <f>153157/(153157+65339)</f>
        <v>0.70096020064440534</v>
      </c>
      <c r="F27" s="26">
        <f>+'Financial Statements'!B61/'Financial Statements'!B68+'Financial Statements'!B61</f>
        <v>148103.92273839595</v>
      </c>
    </row>
    <row r="28" spans="1:7" x14ac:dyDescent="0.3">
      <c r="A28" s="24">
        <f t="shared" si="1"/>
        <v>3.4000000000000004</v>
      </c>
      <c r="B28" s="6" t="s">
        <v>129</v>
      </c>
      <c r="C28" s="28">
        <f>C21/2931</f>
        <v>40.749573524394407</v>
      </c>
      <c r="D28" s="28">
        <f>D21/2645</f>
        <v>41.190548204158787</v>
      </c>
      <c r="E28" s="28">
        <f>E21/2873</f>
        <v>23.072746258266619</v>
      </c>
      <c r="F28" s="29">
        <f>(+'Financial Statements'!B8-'Financial Statements'!B12-'Financial Statements'!B17)/2800</f>
        <v>42.65607142857143</v>
      </c>
      <c r="G28" t="s">
        <v>130</v>
      </c>
    </row>
    <row r="29" spans="1:7" x14ac:dyDescent="0.3">
      <c r="A29" s="24">
        <f t="shared" si="1"/>
        <v>3.5000000000000004</v>
      </c>
      <c r="B29" s="6" t="s">
        <v>131</v>
      </c>
      <c r="C29">
        <f>C21/302083</f>
        <v>0.39537809145168712</v>
      </c>
      <c r="D29">
        <f>D21/287912</f>
        <v>0.37841076440023341</v>
      </c>
      <c r="E29">
        <f>E21/258549</f>
        <v>0.25638466983047703</v>
      </c>
      <c r="F29" s="26">
        <f>(+'Financial Statements'!B8-'Financial Statements'!B12-'Financial Statements'!B17)/'Financial Statements'!B62</f>
        <v>0.39537809145168712</v>
      </c>
    </row>
    <row r="30" spans="1:7" x14ac:dyDescent="0.3">
      <c r="A30" s="24">
        <f t="shared" si="1"/>
        <v>3.6000000000000005</v>
      </c>
      <c r="B30" s="6" t="s">
        <v>132</v>
      </c>
      <c r="C30">
        <f>122151/16215</f>
        <v>7.533209990749306</v>
      </c>
      <c r="D30">
        <f>104038/16701</f>
        <v>6.2294473384827258</v>
      </c>
      <c r="E30">
        <f>80674/17352</f>
        <v>4.6492623328722917</v>
      </c>
      <c r="F30" s="26">
        <f>+'Financial Statements'!B91/'Financial Statements'!B27</f>
        <v>7.5327626240883749E-3</v>
      </c>
    </row>
    <row r="31" spans="1:7" x14ac:dyDescent="0.3">
      <c r="A31" s="24"/>
      <c r="B31" s="21" t="s">
        <v>133</v>
      </c>
      <c r="C31">
        <f>122151-(42117-39440+11104)+24977</f>
        <v>133347</v>
      </c>
      <c r="D31">
        <f>104038-(39440-36766+11284)+35929</f>
        <v>126009</v>
      </c>
      <c r="E31">
        <f>80672-(36766-37378+11056)+39789</f>
        <v>110017</v>
      </c>
      <c r="F31" s="26">
        <f>+'Financial Statements'!B91-('Financial Statements'!B45-'Financial Statements'!C45+'Financial Statements'!B79)+'Financial Statements'!B110</f>
        <v>133347</v>
      </c>
    </row>
    <row r="32" spans="1:7" x14ac:dyDescent="0.3">
      <c r="A32" s="24"/>
    </row>
    <row r="33" spans="1:7" x14ac:dyDescent="0.3">
      <c r="A33" s="24">
        <f>+A24+1</f>
        <v>4</v>
      </c>
      <c r="B33" s="7" t="s">
        <v>134</v>
      </c>
    </row>
    <row r="34" spans="1:7" x14ac:dyDescent="0.3">
      <c r="A34" s="24">
        <f>+A33+0.1</f>
        <v>4.0999999999999996</v>
      </c>
      <c r="B34" s="6" t="s">
        <v>135</v>
      </c>
      <c r="C34">
        <f>394328/352775</f>
        <v>1.1177889589681809</v>
      </c>
      <c r="D34">
        <f>365817/351002</f>
        <v>1.0422077367080529</v>
      </c>
      <c r="E34">
        <f>274515/323888</f>
        <v>0.84756150274168851</v>
      </c>
      <c r="F34" s="26">
        <f>+'Financial Statements'!B8/'Financial Statements'!B48</f>
        <v>1.1178523337727317</v>
      </c>
    </row>
    <row r="35" spans="1:7" x14ac:dyDescent="0.3">
      <c r="A35" s="24">
        <f>+A34+0.1</f>
        <v>4.1999999999999993</v>
      </c>
      <c r="B35" s="6" t="s">
        <v>136</v>
      </c>
      <c r="C35">
        <f>394328/42117</f>
        <v>9.3626801529073767</v>
      </c>
      <c r="D35">
        <f>365817/39440</f>
        <v>9.2752789046653152</v>
      </c>
      <c r="E35">
        <f>274515/36766</f>
        <v>7.4665451776097482</v>
      </c>
      <c r="F35" s="26">
        <f>+'Financial Statements'!B8/'Financial Statements'!B45</f>
        <v>9.3626801529073767</v>
      </c>
    </row>
    <row r="36" spans="1:7" x14ac:dyDescent="0.3">
      <c r="A36" s="24">
        <f>+A35+0.1</f>
        <v>4.2999999999999989</v>
      </c>
      <c r="B36" s="6" t="s">
        <v>137</v>
      </c>
      <c r="C36">
        <f>394328/4946</f>
        <v>79.726647796198947</v>
      </c>
      <c r="D36">
        <f>365817/6580</f>
        <v>55.595288753799394</v>
      </c>
      <c r="E36">
        <f>274515/4061</f>
        <v>67.597882295001227</v>
      </c>
      <c r="F36" s="26">
        <f>+'Financial Statements'!B8/'Financial Statements'!B39</f>
        <v>79.726647796198947</v>
      </c>
    </row>
    <row r="37" spans="1:7" x14ac:dyDescent="0.3">
      <c r="A37" s="24">
        <f>+A36+0.1</f>
        <v>4.3999999999999986</v>
      </c>
      <c r="B37" s="6" t="s">
        <v>138</v>
      </c>
      <c r="C37">
        <f>99803/352755</f>
        <v>0.28292440929256851</v>
      </c>
      <c r="D37">
        <f>94680/351002</f>
        <v>0.26974205275183616</v>
      </c>
      <c r="E37">
        <f>57411/323888</f>
        <v>0.1772557180259843</v>
      </c>
      <c r="F37" s="26">
        <f>+'Financial Statements'!B76/'Financial Statements'!B48</f>
        <v>0.28292440929256851</v>
      </c>
    </row>
    <row r="38" spans="1:7" x14ac:dyDescent="0.3">
      <c r="A38" s="24"/>
    </row>
    <row r="39" spans="1:7" x14ac:dyDescent="0.3">
      <c r="A39" s="24">
        <f>+A33+1</f>
        <v>5</v>
      </c>
      <c r="B39" s="7" t="s">
        <v>139</v>
      </c>
    </row>
    <row r="40" spans="1:7" x14ac:dyDescent="0.3">
      <c r="A40" s="24">
        <f>+A39+0.1</f>
        <v>5.0999999999999996</v>
      </c>
      <c r="B40" s="6" t="s">
        <v>140</v>
      </c>
      <c r="C40">
        <f>150/C41</f>
        <v>21.470628045479156</v>
      </c>
      <c r="D40">
        <f>150/D41</f>
        <v>23.423416403824817</v>
      </c>
      <c r="E40">
        <f>112/E41</f>
        <v>33.638772213247172</v>
      </c>
      <c r="F40" s="26">
        <f>150/'List of Ratios'!C41</f>
        <v>21.470628045479156</v>
      </c>
    </row>
    <row r="41" spans="1:7" x14ac:dyDescent="0.3">
      <c r="A41" s="24">
        <f>+A40+0.1</f>
        <v>5.1999999999999993</v>
      </c>
      <c r="B41" s="21" t="s">
        <v>141</v>
      </c>
      <c r="C41">
        <f>(99803-14841)/(16215*0.75)</f>
        <v>6.9862884160756504</v>
      </c>
      <c r="D41">
        <f>(94680-14467)/(16701*0.75)</f>
        <v>6.4038480729696827</v>
      </c>
      <c r="E41">
        <f>(57411-14081)/(17352*0.75)</f>
        <v>3.3294913170431841</v>
      </c>
      <c r="F41" s="26">
        <f>(+'Financial Statements'!B22-'Financial Statements'!B102)/'Financial Statements'!B27*1000</f>
        <v>7.0698237286308556</v>
      </c>
    </row>
    <row r="42" spans="1:7" x14ac:dyDescent="0.3">
      <c r="A42" s="24">
        <f>+A41+0.1</f>
        <v>5.2999999999999989</v>
      </c>
      <c r="B42" s="6" t="s">
        <v>142</v>
      </c>
      <c r="C42">
        <f>137.2/C43</f>
        <v>43.903891695610987</v>
      </c>
      <c r="D42">
        <f>139.7/D43</f>
        <v>36.980974797907749</v>
      </c>
      <c r="E42">
        <f>113.6/E43</f>
        <v>30.168615987388847</v>
      </c>
      <c r="F42" s="26"/>
      <c r="G42" t="s">
        <v>143</v>
      </c>
    </row>
    <row r="43" spans="1:7" x14ac:dyDescent="0.3">
      <c r="A43" s="24">
        <f>+A42+0.1</f>
        <v>5.3999999999999986</v>
      </c>
      <c r="B43" s="21" t="s">
        <v>144</v>
      </c>
      <c r="C43">
        <f>50672/16215</f>
        <v>3.1250077089115016</v>
      </c>
      <c r="D43">
        <f>63090/16701</f>
        <v>3.7776181067001975</v>
      </c>
      <c r="E43">
        <f>65339/17352</f>
        <v>3.7655025357307514</v>
      </c>
      <c r="F43" s="26">
        <f>+'Financial Statements'!B68/'Financial Statements'!B27</f>
        <v>3.124822127430853E-3</v>
      </c>
    </row>
    <row r="44" spans="1:7" x14ac:dyDescent="0.3">
      <c r="A44" s="24">
        <f>+A43+0.1</f>
        <v>5.4999999999999982</v>
      </c>
      <c r="B44" s="6" t="s">
        <v>145</v>
      </c>
      <c r="C44">
        <f>14841/99803</f>
        <v>0.14870294480125848</v>
      </c>
      <c r="D44">
        <f>14467/94680</f>
        <v>0.15279890156316012</v>
      </c>
      <c r="E44">
        <f>14081/57411</f>
        <v>0.24526658654264863</v>
      </c>
      <c r="F44" s="26">
        <f>+'Financial Statements'!B102/'Financial Statements'!B22</f>
        <v>-0.14870294480125848</v>
      </c>
    </row>
    <row r="45" spans="1:7" x14ac:dyDescent="0.3">
      <c r="A45" s="24"/>
      <c r="B45" s="21" t="s">
        <v>146</v>
      </c>
      <c r="C45">
        <f>14841/16215</f>
        <v>0.91526364477335798</v>
      </c>
      <c r="D45">
        <f>14467/16701</f>
        <v>0.86623555475720015</v>
      </c>
      <c r="E45">
        <f>14081/17352</f>
        <v>0.81149147072383587</v>
      </c>
      <c r="F45" s="26">
        <f>(+'Financial Statements'!B102/'Financial Statements'!B27)*1000</f>
        <v>-0.91520929099307891</v>
      </c>
    </row>
    <row r="46" spans="1:7" x14ac:dyDescent="0.3">
      <c r="A46" s="24">
        <f>+A44+0.1</f>
        <v>5.5999999999999979</v>
      </c>
      <c r="B46" s="6" t="s">
        <v>147</v>
      </c>
      <c r="C46">
        <f>C45/155.59</f>
        <v>5.8825351550443987E-3</v>
      </c>
      <c r="D46">
        <f>D45/149.81</f>
        <v>5.7822278536626406E-3</v>
      </c>
      <c r="E46">
        <f>E45/114</f>
        <v>7.1183462344196133E-3</v>
      </c>
      <c r="F46" s="26"/>
      <c r="G46" t="s">
        <v>148</v>
      </c>
    </row>
    <row r="47" spans="1:7" x14ac:dyDescent="0.3">
      <c r="A47" s="24">
        <f>+A45+0.1</f>
        <v>0.1</v>
      </c>
      <c r="B47" s="6" t="s">
        <v>149</v>
      </c>
      <c r="C47">
        <f>99803/50672</f>
        <v>1.9695887275023682</v>
      </c>
      <c r="D47">
        <f>94680/63090</f>
        <v>1.5007132667617689</v>
      </c>
      <c r="E47">
        <f>57411/65339</f>
        <v>0.87866358530127486</v>
      </c>
      <c r="F47" s="26">
        <f>+'Financial Statements'!B76/'Financial Statements'!B68</f>
        <v>1.9695887275023682</v>
      </c>
    </row>
    <row r="48" spans="1:7" x14ac:dyDescent="0.3">
      <c r="A48" s="24">
        <f>+A46+0.1</f>
        <v>5.6999999999999975</v>
      </c>
      <c r="B48" s="6" t="s">
        <v>150</v>
      </c>
      <c r="C48">
        <f>C21/(352755-153982)</f>
        <v>0.60087134570590572</v>
      </c>
      <c r="D48">
        <f>D21/(351002-125481)</f>
        <v>0.48309913489209433</v>
      </c>
      <c r="E48">
        <f>E21/(323888-10392)</f>
        <v>0.21144767397351164</v>
      </c>
      <c r="F48" s="26">
        <f>(+'Financial Statements'!B8-'Financial Statements'!B12-'Financial Statements'!B17)/('Financial Statements'!B69-'Financial Statements'!B56)</f>
        <v>0.60087134570590572</v>
      </c>
    </row>
    <row r="49" spans="1:7" x14ac:dyDescent="0.3">
      <c r="A49" s="24">
        <f>+A47+0.1</f>
        <v>0.2</v>
      </c>
      <c r="B49" s="6" t="s">
        <v>138</v>
      </c>
      <c r="C49">
        <f>99803/352755</f>
        <v>0.28292440929256851</v>
      </c>
      <c r="D49">
        <f>94680/351002</f>
        <v>0.26974205275183616</v>
      </c>
      <c r="E49">
        <f>E37</f>
        <v>0.1772557180259843</v>
      </c>
      <c r="F49" s="26">
        <f>+'Financial Statements'!B76/'Financial Statements'!B69</f>
        <v>0.28292440929256851</v>
      </c>
    </row>
    <row r="50" spans="1:7" x14ac:dyDescent="0.3">
      <c r="A50" s="24">
        <f>+A48+0.1</f>
        <v>5.7999999999999972</v>
      </c>
      <c r="B50" s="6" t="s">
        <v>151</v>
      </c>
      <c r="C50">
        <f>C51/C19</f>
        <v>21.449183398319303</v>
      </c>
      <c r="D50">
        <f>D51/D19</f>
        <v>22.905190837789959</v>
      </c>
      <c r="E50">
        <f>E51/E19</f>
        <v>28.393799131154324</v>
      </c>
      <c r="F50" s="26">
        <f>+'List of Ratios'!C51/'List of Ratios'!C19</f>
        <v>21.449183398319303</v>
      </c>
    </row>
    <row r="51" spans="1:7" x14ac:dyDescent="0.3">
      <c r="A51" s="24"/>
      <c r="B51" s="21" t="s">
        <v>152</v>
      </c>
      <c r="C51">
        <f>(155.59*16215)+302083-24977</f>
        <v>2799997.85</v>
      </c>
      <c r="D51">
        <f>(149.81*16701)+287912-35929</f>
        <v>2753959.81</v>
      </c>
      <c r="E51">
        <f>(114*17345)+258549-39789</f>
        <v>2196090</v>
      </c>
      <c r="F51" s="26"/>
      <c r="G51" t="s">
        <v>153</v>
      </c>
    </row>
    <row r="53" spans="1:7" x14ac:dyDescent="0.3">
      <c r="A53">
        <v>6</v>
      </c>
      <c r="B53" t="s">
        <v>154</v>
      </c>
    </row>
    <row r="54" spans="1:7" x14ac:dyDescent="0.3">
      <c r="B54" t="s">
        <v>155</v>
      </c>
      <c r="C54">
        <f>((316199-297392)/297392)*100</f>
        <v>6.3239764351428418</v>
      </c>
      <c r="D54">
        <f>((297392-220747)/220747)*100</f>
        <v>34.720743656765436</v>
      </c>
      <c r="E54">
        <f>((220747-213883)/213883)*100</f>
        <v>3.2092312151970939</v>
      </c>
      <c r="F54" s="26">
        <f>(+'Financial Statements'!B6-'Financial Statements'!C6)/'Financial Statements'!C6</f>
        <v>6.3239764351428418E-2</v>
      </c>
    </row>
    <row r="55" spans="1:7" x14ac:dyDescent="0.3">
      <c r="B55" t="s">
        <v>27</v>
      </c>
      <c r="C55">
        <f>((78129-68425)/68425)*100</f>
        <v>14.181951041286078</v>
      </c>
      <c r="D55">
        <f>((68425-53768)/53768)*100</f>
        <v>27.259708376729652</v>
      </c>
      <c r="E55">
        <f>((53768-46291)/53768)*100</f>
        <v>13.906040767742894</v>
      </c>
      <c r="F55" s="26">
        <f>(+'Financial Statements'!B7-'Financial Statements'!C7)/'Financial Statements'!C7</f>
        <v>0.14181951041286078</v>
      </c>
    </row>
    <row r="56" spans="1:7" x14ac:dyDescent="0.3">
      <c r="B56" t="s">
        <v>156</v>
      </c>
      <c r="C56">
        <f>((394328-365817)/365817)*100</f>
        <v>7.7937876041846055</v>
      </c>
      <c r="D56">
        <f>((365817-274515)/274515)*100</f>
        <v>33.25938473307469</v>
      </c>
      <c r="E56">
        <f>((274515-260174)/260174)*100</f>
        <v>5.5120803769784832</v>
      </c>
      <c r="F56" s="26">
        <f>(+'Financial Statements'!B8-'Financial Statements'!C8)/'Financial Statements'!C8</f>
        <v>7.7937876041846058E-2</v>
      </c>
    </row>
    <row r="57" spans="1:7" x14ac:dyDescent="0.3">
      <c r="B57" t="s">
        <v>7</v>
      </c>
      <c r="C57">
        <f>(170782/394328)*100</f>
        <v>43.309630561360088</v>
      </c>
      <c r="D57">
        <f>(152836/365817)*100</f>
        <v>41.779359625167778</v>
      </c>
      <c r="E57">
        <f>(104956/274515)*100</f>
        <v>38.233247727810863</v>
      </c>
      <c r="F57" s="26">
        <f>+'Financial Statements'!B13/'Financial Statements'!B8</f>
        <v>0.43309630561360085</v>
      </c>
    </row>
    <row r="58" spans="1:7" x14ac:dyDescent="0.3">
      <c r="B58" t="s">
        <v>157</v>
      </c>
      <c r="C58">
        <f>((51345-43887)/43887)*100</f>
        <v>16.993642764372137</v>
      </c>
      <c r="D58">
        <f>((43887-38668)/38668)*100</f>
        <v>13.496948381090307</v>
      </c>
      <c r="E58">
        <f>((38668-34462)/34462)*100</f>
        <v>12.204747257849226</v>
      </c>
      <c r="F58" s="26">
        <f>(+'Financial Statements'!B17-'Financial Statements'!C17)/'Financial Statements'!C17</f>
        <v>0.16993642764372138</v>
      </c>
    </row>
    <row r="59" spans="1:7" x14ac:dyDescent="0.3">
      <c r="B59" s="6" t="s">
        <v>9</v>
      </c>
      <c r="C59" t="s">
        <v>158</v>
      </c>
      <c r="D59" t="s">
        <v>158</v>
      </c>
      <c r="E59" t="s">
        <v>158</v>
      </c>
    </row>
    <row r="60" spans="1:7" x14ac:dyDescent="0.3">
      <c r="B60" s="6" t="s">
        <v>159</v>
      </c>
      <c r="C60">
        <f>((352755-351002)/352755)*100</f>
        <v>0.49694547206985018</v>
      </c>
      <c r="D60">
        <f>((351002-323888)/351002)*100</f>
        <v>7.7247423091606313</v>
      </c>
      <c r="E60">
        <f>((323888-338516)/323888)*100</f>
        <v>-4.5163760312206689</v>
      </c>
      <c r="F60" s="26">
        <f>(+'Financial Statements'!B48-'Financial Statements'!C48)/'Financial Statements'!B48</f>
        <v>4.9694547206985016E-3</v>
      </c>
    </row>
    <row r="61" spans="1:7" x14ac:dyDescent="0.3">
      <c r="B61" t="s">
        <v>160</v>
      </c>
      <c r="C61">
        <f>((302083-287912)/302083)*100</f>
        <v>4.6910948315529177</v>
      </c>
      <c r="D61">
        <f>((287912-258549)/287912)*100</f>
        <v>10.198602350718275</v>
      </c>
      <c r="E61">
        <f>((258549-248028)/258549)*100</f>
        <v>4.069247995544365</v>
      </c>
      <c r="F61" s="26">
        <f>(+'Financial Statements'!B62-'Financial Statements'!C62)/'Financial Statements'!C62</f>
        <v>4.9219900525160468E-2</v>
      </c>
    </row>
    <row r="62" spans="1:7" x14ac:dyDescent="0.3">
      <c r="B62" t="s">
        <v>161</v>
      </c>
      <c r="C62">
        <f>((50672-63090)/50672)*100</f>
        <v>-24.506630880959897</v>
      </c>
      <c r="D62">
        <f>((63090-65339)/63090)*100</f>
        <v>-3.5647487715961326</v>
      </c>
      <c r="E62">
        <f>((65339-90488)/65339)*100</f>
        <v>-38.490028926062536</v>
      </c>
      <c r="F62" s="26">
        <f>(+'Financial Statements'!B68-'Financial Statements'!C68)/'Financial Statements'!B68</f>
        <v>-0.24506630880959898</v>
      </c>
    </row>
    <row r="64" spans="1:7" x14ac:dyDescent="0.3">
      <c r="A64">
        <v>7</v>
      </c>
      <c r="B64" t="s">
        <v>162</v>
      </c>
    </row>
    <row r="65" spans="1:6" x14ac:dyDescent="0.3">
      <c r="B65" s="6" t="s">
        <v>11</v>
      </c>
      <c r="C65">
        <f>(223546/394328)*100</f>
        <v>56.690369438639912</v>
      </c>
      <c r="D65">
        <f>(212981/365817)*100</f>
        <v>58.220640374832222</v>
      </c>
      <c r="E65">
        <f>(169559/274515)*100</f>
        <v>61.76675227218913</v>
      </c>
      <c r="F65" s="26">
        <f>+'Financial Statements'!B12/'Financial Statements'!B8</f>
        <v>0.56690369438639909</v>
      </c>
    </row>
    <row r="66" spans="1:6" x14ac:dyDescent="0.3">
      <c r="B66" s="6" t="s">
        <v>7</v>
      </c>
      <c r="C66">
        <f>(170782/394328)*100</f>
        <v>43.309630561360088</v>
      </c>
      <c r="D66">
        <f>(152836/365817)*100</f>
        <v>41.779359625167778</v>
      </c>
      <c r="E66">
        <f>(104956/274515)*100</f>
        <v>38.233247727810863</v>
      </c>
      <c r="F66" s="26">
        <f>+'Financial Statements'!B13/'Financial Statements'!B8</f>
        <v>0.43309630561360085</v>
      </c>
    </row>
    <row r="67" spans="1:6" x14ac:dyDescent="0.3">
      <c r="B67" s="6" t="s">
        <v>8</v>
      </c>
      <c r="C67" t="s">
        <v>158</v>
      </c>
      <c r="D67" t="s">
        <v>158</v>
      </c>
      <c r="E67" t="s">
        <v>158</v>
      </c>
    </row>
    <row r="68" spans="1:6" x14ac:dyDescent="0.3">
      <c r="B68" s="6" t="s">
        <v>33</v>
      </c>
      <c r="C68">
        <f>(26251/394328)*100</f>
        <v>6.6571483637986653</v>
      </c>
      <c r="D68">
        <f>(21914/365817)*100</f>
        <v>5.9904269074427923</v>
      </c>
      <c r="E68">
        <f>(18752/274515)*100</f>
        <v>6.8309564140393064</v>
      </c>
      <c r="F68" s="26">
        <f>+'Financial Statements'!B15/'Financial Statements'!B8</f>
        <v>6.657148363798665E-2</v>
      </c>
    </row>
    <row r="69" spans="1:6" x14ac:dyDescent="0.3">
      <c r="B69" s="6" t="s">
        <v>34</v>
      </c>
      <c r="C69">
        <f>(25094/394328)*100</f>
        <v>6.3637378020328264</v>
      </c>
      <c r="D69">
        <f>(21973/365817)*100</f>
        <v>6.0065551901633878</v>
      </c>
      <c r="E69">
        <f>(19916/274515)*100</f>
        <v>7.254976959364698</v>
      </c>
      <c r="F69" s="26">
        <f>+'Financial Statements'!B16/'Financial Statements'!B8</f>
        <v>6.3637378020328261E-2</v>
      </c>
    </row>
    <row r="70" spans="1:6" x14ac:dyDescent="0.3">
      <c r="B70" s="6" t="s">
        <v>12</v>
      </c>
      <c r="C70">
        <f>(119437/394328)*100</f>
        <v>30.288744395528592</v>
      </c>
      <c r="D70">
        <f>(108949/365817)*100</f>
        <v>29.782377527561593</v>
      </c>
      <c r="E70">
        <f>(66288/274515)*100</f>
        <v>24.147314354406863</v>
      </c>
      <c r="F70" s="26">
        <f>+'Financial Statements'!B18/'Financial Statements'!B8</f>
        <v>0.30288744395528594</v>
      </c>
    </row>
    <row r="71" spans="1:6" x14ac:dyDescent="0.3">
      <c r="B71" s="6" t="s">
        <v>13</v>
      </c>
      <c r="C71">
        <f>(99803/394328)*100</f>
        <v>25.309640705199733</v>
      </c>
      <c r="D71">
        <f>(94680/365817)*100</f>
        <v>25.881793355694239</v>
      </c>
      <c r="E71">
        <f>(57411/274515)*100</f>
        <v>20.913611278072235</v>
      </c>
      <c r="F71" s="26">
        <f>+'Financial Statements'!B76/'Financial Statements'!B8</f>
        <v>0.25309640705199732</v>
      </c>
    </row>
    <row r="73" spans="1:6" x14ac:dyDescent="0.3">
      <c r="A73">
        <v>8</v>
      </c>
      <c r="B73" s="6" t="s">
        <v>163</v>
      </c>
      <c r="C73">
        <f>(19300/119103)*100</f>
        <v>16.204461684424405</v>
      </c>
      <c r="D73">
        <f>(14527/109207)*100</f>
        <v>13.302260844085087</v>
      </c>
      <c r="E73">
        <f>(9680/67091)*100</f>
        <v>14.428164731484102</v>
      </c>
      <c r="F73" s="26">
        <f>+'Financial Statements'!B21/'Financial Statements'!B20</f>
        <v>0.16204461684424407</v>
      </c>
    </row>
    <row r="74" spans="1:6" x14ac:dyDescent="0.3">
      <c r="B74" s="6" t="s">
        <v>164</v>
      </c>
      <c r="C74">
        <f>((42117-39440+11104)/394328)*100</f>
        <v>3.4948063541011543</v>
      </c>
      <c r="D74">
        <f>((39440-36766+11284)/365817)*100</f>
        <v>3.815568986679132</v>
      </c>
      <c r="E74">
        <f>((36766-37378+11056)/274515)*100</f>
        <v>3.8045279857202705</v>
      </c>
      <c r="F74" s="26">
        <f>+('Financial Statements'!B45-'Financial Statements'!C45+'Financial Statements'!B79)/'Financial Statements'!B8</f>
        <v>3.4948063541011543E-2</v>
      </c>
    </row>
    <row r="75" spans="1:6" x14ac:dyDescent="0.3">
      <c r="B75" s="6" t="s">
        <v>165</v>
      </c>
      <c r="C75">
        <f>((42117-39440+11104)/217350)*100</f>
        <v>6.3404646882907754</v>
      </c>
      <c r="D75">
        <f>((39440-36766+11284)/216166)*100</f>
        <v>6.4570746555887597</v>
      </c>
      <c r="E75">
        <f>((36766-37378+11056)/180175)*100</f>
        <v>5.7965866518662406</v>
      </c>
      <c r="F75" s="26">
        <f>+('Financial Statements'!B45-'Financial Statements'!C45+'Financial Statements'!B79)/'Financial Statements'!B47</f>
        <v>6.3404646882907756E-2</v>
      </c>
    </row>
    <row r="77" spans="1:6" x14ac:dyDescent="0.3">
      <c r="B77" s="6"/>
    </row>
    <row r="78" spans="1:6" x14ac:dyDescent="0.3">
      <c r="B78" s="6"/>
    </row>
    <row r="79" spans="1:6" x14ac:dyDescent="0.3">
      <c r="B79" s="6"/>
    </row>
    <row r="80" spans="1:6" x14ac:dyDescent="0.3">
      <c r="B80" s="6"/>
    </row>
    <row r="81" spans="2:2" x14ac:dyDescent="0.3">
      <c r="B81" s="6"/>
    </row>
    <row r="84" spans="2:2" x14ac:dyDescent="0.3">
      <c r="B84" s="6"/>
    </row>
    <row r="85" spans="2:2" x14ac:dyDescent="0.3">
      <c r="B85" s="6"/>
    </row>
    <row r="86" spans="2:2" x14ac:dyDescent="0.3">
      <c r="B86" s="6"/>
    </row>
  </sheetData>
  <mergeCells count="1">
    <mergeCell ref="C2:E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45</cp:revision>
  <dcterms:created xsi:type="dcterms:W3CDTF">2020-05-18T16:32:37Z</dcterms:created>
  <dcterms:modified xsi:type="dcterms:W3CDTF">2023-12-13T17:25:09Z</dcterms:modified>
  <dc:language>en-GB</dc:language>
</cp:coreProperties>
</file>