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D421326B-9639-40A5-9FF5-6305CD6F070D}"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4" l="1"/>
  <c r="J26" i="4"/>
  <c r="L27" i="4"/>
  <c r="M27" i="4" s="1"/>
  <c r="N27" i="4" s="1"/>
  <c r="O27" i="4" s="1"/>
  <c r="C19" i="1"/>
  <c r="C17" i="4" s="1"/>
  <c r="D19" i="1"/>
  <c r="D17" i="4" s="1"/>
  <c r="E19" i="1"/>
  <c r="E17" i="4" s="1"/>
  <c r="F19" i="1"/>
  <c r="F17" i="4" s="1"/>
  <c r="G19" i="1"/>
  <c r="G17" i="4" s="1"/>
  <c r="H19" i="1"/>
  <c r="H17" i="4" s="1"/>
  <c r="I19" i="1"/>
  <c r="I17" i="4" s="1"/>
  <c r="J19" i="1"/>
  <c r="J17" i="4" s="1"/>
  <c r="B19" i="1"/>
  <c r="B17" i="4" s="1"/>
  <c r="J42" i="4"/>
  <c r="K42" i="4" s="1"/>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J21" i="4"/>
  <c r="J18" i="4" l="1"/>
  <c r="K27" i="3"/>
  <c r="L27" i="3" s="1"/>
  <c r="N28" i="3"/>
  <c r="O28" i="3"/>
  <c r="M28" i="3"/>
  <c r="J159" i="1"/>
  <c r="O90" i="3"/>
  <c r="O1" i="3"/>
  <c r="O55" i="3"/>
  <c r="O59" i="3"/>
  <c r="O63" i="3"/>
  <c r="O86" i="3"/>
  <c r="O94" i="3"/>
  <c r="O117" i="3"/>
  <c r="O121" i="3"/>
  <c r="J10" i="4"/>
  <c r="J12" i="4"/>
  <c r="J15" i="4"/>
  <c r="J22" i="4"/>
  <c r="K22" i="4" s="1"/>
  <c r="J23" i="4"/>
  <c r="J25" i="4"/>
  <c r="K25" i="4" s="1"/>
  <c r="J27" i="4"/>
  <c r="J28" i="4"/>
  <c r="K28" i="4" s="1"/>
  <c r="J29" i="4"/>
  <c r="K29" i="4" s="1"/>
  <c r="J30" i="4"/>
  <c r="K30" i="4" s="1"/>
  <c r="J33" i="4"/>
  <c r="K33" i="4" s="1"/>
  <c r="L33" i="4" s="1"/>
  <c r="M33" i="4" s="1"/>
  <c r="N33" i="4" s="1"/>
  <c r="O33" i="4" s="1"/>
  <c r="J34" i="4"/>
  <c r="K34" i="4" s="1"/>
  <c r="J35" i="4"/>
  <c r="K35" i="4" s="1"/>
  <c r="J36" i="4"/>
  <c r="K36" i="4" s="1"/>
  <c r="L36" i="4" s="1"/>
  <c r="M36" i="4" s="1"/>
  <c r="N36" i="4" s="1"/>
  <c r="J37" i="4"/>
  <c r="K37" i="4" s="1"/>
  <c r="J38" i="4"/>
  <c r="K38" i="4" s="1"/>
  <c r="J40" i="4"/>
  <c r="K40" i="4" s="1"/>
  <c r="L40" i="4" s="1"/>
  <c r="M40" i="4" s="1"/>
  <c r="N40" i="4" s="1"/>
  <c r="O40" i="4" s="1"/>
  <c r="J41" i="4"/>
  <c r="J39" i="4" s="1"/>
  <c r="J48" i="4"/>
  <c r="J50" i="4"/>
  <c r="J57" i="4"/>
  <c r="J59" i="4"/>
  <c r="J61" i="4"/>
  <c r="J62" i="4"/>
  <c r="J63" i="4"/>
  <c r="J65" i="4"/>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J64" i="4" l="1"/>
  <c r="L34" i="4"/>
  <c r="K32" i="4"/>
  <c r="J31" i="4"/>
  <c r="J106" i="3"/>
  <c r="J102" i="3"/>
  <c r="J197" i="3"/>
  <c r="K197" i="3" s="1"/>
  <c r="L197" i="3" s="1"/>
  <c r="M197" i="3" s="1"/>
  <c r="N197" i="3" s="1"/>
  <c r="O197" i="3" s="1"/>
  <c r="J3" i="3"/>
  <c r="J81" i="3"/>
  <c r="J37" i="3"/>
  <c r="J109" i="3"/>
  <c r="J143" i="3"/>
  <c r="J140" i="3"/>
  <c r="J11" i="3"/>
  <c r="J44" i="3"/>
  <c r="J32" i="4"/>
  <c r="L203" i="3"/>
  <c r="M203" i="3" s="1"/>
  <c r="N203" i="3" s="1"/>
  <c r="O203" i="3" s="1"/>
  <c r="J128" i="3"/>
  <c r="J99" i="3"/>
  <c r="J8" i="3"/>
  <c r="J41" i="3"/>
  <c r="M27" i="3"/>
  <c r="N27" i="3" s="1"/>
  <c r="O27" i="3" s="1"/>
  <c r="J147" i="3"/>
  <c r="J194" i="3"/>
  <c r="J78" i="3"/>
  <c r="J40" i="3"/>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43" i="4" l="1"/>
  <c r="M34" i="4"/>
  <c r="L32" i="4"/>
  <c r="J149" i="3"/>
  <c r="J3" i="4"/>
  <c r="J24" i="4" s="1"/>
  <c r="J47" i="4"/>
  <c r="J6" i="4"/>
  <c r="J10" i="3"/>
  <c r="J7" i="4"/>
  <c r="J11" i="4" s="1"/>
  <c r="J46" i="4"/>
  <c r="J49" i="4" s="1"/>
  <c r="J58" i="4"/>
  <c r="J16" i="3"/>
  <c r="J7" i="3"/>
  <c r="J19" i="3"/>
  <c r="J134" i="1"/>
  <c r="J135" i="1" s="1"/>
  <c r="J20" i="1"/>
  <c r="J146" i="1"/>
  <c r="B23" i="4"/>
  <c r="C57" i="4"/>
  <c r="D57" i="4"/>
  <c r="E57" i="4"/>
  <c r="F57" i="4"/>
  <c r="G57" i="4"/>
  <c r="H57" i="4"/>
  <c r="I57" i="4"/>
  <c r="B57" i="4"/>
  <c r="N34" i="4" l="1"/>
  <c r="M32" i="4"/>
  <c r="J14" i="4"/>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N1" i="4" s="1"/>
  <c r="O1" i="4" s="1"/>
  <c r="H1" i="4"/>
  <c r="G1" i="4" s="1"/>
  <c r="F1" i="4" s="1"/>
  <c r="E1" i="4" s="1"/>
  <c r="D1" i="4" s="1"/>
  <c r="C1" i="4" s="1"/>
  <c r="B1" i="4" s="1"/>
  <c r="O34" i="4" l="1"/>
  <c r="O32" i="4" s="1"/>
  <c r="N32" i="4"/>
  <c r="G51" i="4"/>
  <c r="N125" i="3"/>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K151" i="3" l="1"/>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H16" i="4"/>
  <c r="H19" i="4" s="1"/>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K19" i="4" l="1"/>
  <c r="L19" i="4" s="1"/>
  <c r="M19" i="4" s="1"/>
  <c r="N19" i="4" s="1"/>
  <c r="O19" i="4" s="1"/>
  <c r="O145" i="3"/>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B69" i="4" l="1"/>
  <c r="B70" i="4"/>
  <c r="B73" i="4" s="1"/>
  <c r="N76" i="3"/>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C73" i="4" s="1"/>
  <c r="D67" i="4"/>
  <c r="D68" i="4" s="1"/>
  <c r="D69" i="4" s="1"/>
  <c r="N135" i="3" l="1"/>
  <c r="N136" i="3" s="1"/>
  <c r="N70" i="3"/>
  <c r="O70" i="3"/>
  <c r="M136" i="3"/>
  <c r="O132" i="3"/>
  <c r="O101" i="3"/>
  <c r="D70" i="4"/>
  <c r="D73" i="4" s="1"/>
  <c r="E67" i="4"/>
  <c r="E68" i="4" s="1"/>
  <c r="E69" i="4" s="1"/>
  <c r="O136" i="3" l="1"/>
  <c r="N137" i="3"/>
  <c r="F67" i="4"/>
  <c r="F68" i="4" s="1"/>
  <c r="F69" i="4" s="1"/>
  <c r="E70" i="4"/>
  <c r="E73" i="4" s="1"/>
  <c r="F70" i="4" l="1"/>
  <c r="F73" i="4" s="1"/>
  <c r="G67" i="4"/>
  <c r="G68" i="4" s="1"/>
  <c r="G69" i="4" s="1"/>
  <c r="G70" i="4" l="1"/>
  <c r="G73" i="4" s="1"/>
  <c r="H67" i="4"/>
  <c r="H68" i="4" s="1"/>
  <c r="H69" i="4" s="1"/>
  <c r="H70" i="4" l="1"/>
  <c r="H73" i="4" s="1"/>
  <c r="I67" i="4"/>
  <c r="I68" i="4" s="1"/>
  <c r="J67" i="4" s="1"/>
  <c r="J68" i="4" s="1"/>
  <c r="J69" i="4" l="1"/>
  <c r="J70" i="4"/>
  <c r="J73" i="4" s="1"/>
  <c r="K67" i="4"/>
  <c r="I70" i="4"/>
  <c r="I73" i="4" s="1"/>
  <c r="I69" i="4"/>
  <c r="K73" i="4" l="1"/>
  <c r="K50" i="4" s="1"/>
  <c r="K10" i="4" s="1"/>
  <c r="K97" i="3"/>
  <c r="K98" i="3" s="1"/>
  <c r="L97" i="3"/>
  <c r="M97" i="3"/>
  <c r="M104" i="3" s="1"/>
  <c r="N97" i="3"/>
  <c r="O97" i="3"/>
  <c r="L73" i="4" l="1"/>
  <c r="M73" i="4" s="1"/>
  <c r="N73" i="4" s="1"/>
  <c r="O73" i="4" s="1"/>
  <c r="K104" i="3"/>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51" i="4" s="1"/>
  <c r="K17" i="3"/>
  <c r="K38" i="3"/>
  <c r="K49" i="3"/>
  <c r="K5" i="3"/>
  <c r="K5" i="4" s="1"/>
  <c r="K36" i="3"/>
  <c r="K42" i="3"/>
  <c r="K46" i="3"/>
  <c r="K14" i="3"/>
  <c r="K18" i="3" l="1"/>
  <c r="K19" i="3"/>
  <c r="K52" i="4"/>
  <c r="K15" i="3"/>
  <c r="K16" i="3"/>
  <c r="K6" i="3"/>
  <c r="K7" i="3"/>
  <c r="K43" i="3"/>
  <c r="K44" i="3"/>
  <c r="K39" i="3"/>
  <c r="K8" i="3"/>
  <c r="K6" i="4" s="1"/>
  <c r="K40" i="3"/>
  <c r="K58" i="4" l="1"/>
  <c r="K26" i="4"/>
  <c r="K9" i="3"/>
  <c r="K10" i="3"/>
  <c r="K47" i="4"/>
  <c r="K11" i="3"/>
  <c r="K7" i="4" s="1"/>
  <c r="K11" i="4" l="1"/>
  <c r="K13" i="3"/>
  <c r="K9" i="4" s="1"/>
  <c r="K46" i="4"/>
  <c r="K12" i="3"/>
  <c r="K8" i="4" s="1"/>
  <c r="K12" i="4" l="1"/>
  <c r="K14" i="4" l="1"/>
  <c r="K48" i="4"/>
  <c r="L24" i="3"/>
  <c r="L23" i="3" s="1"/>
  <c r="M24" i="3"/>
  <c r="N24" i="3"/>
  <c r="O24" i="3"/>
  <c r="M23" i="3" l="1"/>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11" i="3" l="1"/>
  <c r="L7" i="4" s="1"/>
  <c r="L6" i="4"/>
  <c r="L26" i="4" s="1"/>
  <c r="M26" i="4" s="1"/>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N14" i="3"/>
  <c r="N46" i="3"/>
  <c r="M18" i="3"/>
  <c r="M19" i="3"/>
  <c r="O14" i="3"/>
  <c r="O46" i="3"/>
  <c r="N5" i="3"/>
  <c r="N5" i="4" s="1"/>
  <c r="N36" i="3"/>
  <c r="N42" i="3"/>
  <c r="O5" i="3"/>
  <c r="O5" i="4" s="1"/>
  <c r="O36" i="3"/>
  <c r="O51" i="4" l="1"/>
  <c r="L12" i="3"/>
  <c r="L8" i="4" s="1"/>
  <c r="N51" i="4"/>
  <c r="O43" i="3"/>
  <c r="O44" i="3"/>
  <c r="N6" i="3"/>
  <c r="N7" i="3"/>
  <c r="N43" i="3"/>
  <c r="N44" i="3"/>
  <c r="N18" i="3"/>
  <c r="N19" i="3"/>
  <c r="O15" i="3"/>
  <c r="O16" i="3"/>
  <c r="O52" i="4"/>
  <c r="O8" i="3"/>
  <c r="O6" i="4" s="1"/>
  <c r="O39" i="3"/>
  <c r="O40" i="3"/>
  <c r="M9" i="3"/>
  <c r="M10" i="3"/>
  <c r="M47" i="4"/>
  <c r="N15" i="3"/>
  <c r="N16" i="3"/>
  <c r="N52" i="4"/>
  <c r="N26" i="4" s="1"/>
  <c r="O26" i="4" s="1"/>
  <c r="M11" i="3"/>
  <c r="M7" i="4" s="1"/>
  <c r="O18" i="3"/>
  <c r="O19" i="3"/>
  <c r="O6" i="3"/>
  <c r="O7" i="3"/>
  <c r="N8" i="3"/>
  <c r="N6" i="4" s="1"/>
  <c r="N39" i="3"/>
  <c r="N40" i="3"/>
  <c r="O9" i="3" l="1"/>
  <c r="O10" i="3"/>
  <c r="O47" i="4"/>
  <c r="N9" i="3"/>
  <c r="N10" i="3"/>
  <c r="N47" i="4"/>
  <c r="N11" i="3"/>
  <c r="N7" i="4" s="1"/>
  <c r="O11" i="3"/>
  <c r="O7" i="4" s="1"/>
  <c r="M12" i="3"/>
  <c r="M8" i="4" s="1"/>
  <c r="M13" i="3"/>
  <c r="M9" i="4" s="1"/>
  <c r="M46" i="4"/>
  <c r="N12" i="3" l="1"/>
  <c r="N8" i="4" s="1"/>
  <c r="N13" i="3"/>
  <c r="N9" i="4" s="1"/>
  <c r="N46" i="4"/>
  <c r="O12" i="3"/>
  <c r="O8" i="4" s="1"/>
  <c r="O13" i="3"/>
  <c r="O9" i="4" s="1"/>
  <c r="O46" i="4"/>
  <c r="K49" i="4" l="1"/>
  <c r="K53" i="4" s="1"/>
  <c r="K55" i="4" l="1"/>
  <c r="K59" i="4" l="1"/>
  <c r="K15" i="4" s="1"/>
  <c r="K16" i="4" l="1"/>
  <c r="K17" i="4" s="1"/>
  <c r="K61" i="4" l="1"/>
  <c r="K18" i="4"/>
  <c r="L59" i="4"/>
  <c r="L15" i="4" l="1"/>
  <c r="K41" i="4"/>
  <c r="K39" i="4" s="1"/>
  <c r="M59" i="4"/>
  <c r="M15" i="4" l="1"/>
  <c r="N59" i="4"/>
  <c r="N15" i="4" l="1"/>
  <c r="O59" i="4"/>
  <c r="O15" i="4" l="1"/>
  <c r="K43" i="4" l="1"/>
  <c r="K66" i="4"/>
  <c r="K68" i="4" s="1"/>
  <c r="K21" i="4" l="1"/>
  <c r="K31" i="4" s="1"/>
  <c r="K44" i="4" s="1"/>
  <c r="K69" i="4"/>
  <c r="K70" i="4"/>
  <c r="L50" i="4" s="1"/>
  <c r="L67" i="4"/>
  <c r="L10" i="4" l="1"/>
  <c r="L11" i="4" s="1"/>
  <c r="L58" i="4"/>
  <c r="L12" i="4" l="1"/>
  <c r="L48" i="4" s="1"/>
  <c r="L49" i="4" s="1"/>
  <c r="L14" i="4" l="1"/>
  <c r="L16" i="4"/>
  <c r="L17" i="4" s="1"/>
  <c r="L53" i="4"/>
  <c r="L55" i="4"/>
  <c r="L18" i="4" l="1"/>
  <c r="L61" i="4"/>
  <c r="L64" i="4" s="1"/>
  <c r="L66" i="4" l="1"/>
  <c r="L68" i="4" s="1"/>
  <c r="L41" i="4"/>
  <c r="L21" i="4" l="1"/>
  <c r="L31" i="4" s="1"/>
  <c r="M67" i="4"/>
  <c r="L70" i="4"/>
  <c r="M50" i="4" s="1"/>
  <c r="L39" i="4"/>
  <c r="L43" i="4" s="1"/>
  <c r="L69" i="4" l="1"/>
  <c r="L44" i="4"/>
  <c r="M58" i="4"/>
  <c r="M10" i="4"/>
  <c r="M11" i="4" s="1"/>
  <c r="M12" i="4" l="1"/>
  <c r="M48" i="4" s="1"/>
  <c r="M49" i="4" s="1"/>
  <c r="M55" i="4" l="1"/>
  <c r="M53" i="4"/>
  <c r="M14" i="4"/>
  <c r="M16" i="4" l="1"/>
  <c r="M17" i="4" s="1"/>
  <c r="M61" i="4" l="1"/>
  <c r="M18" i="4"/>
  <c r="M64" i="4" l="1"/>
  <c r="M66" i="4" s="1"/>
  <c r="M68" i="4" s="1"/>
  <c r="M41" i="4"/>
  <c r="M39" i="4" l="1"/>
  <c r="M43" i="4" s="1"/>
  <c r="N67" i="4"/>
  <c r="M21" i="4"/>
  <c r="M31" i="4" s="1"/>
  <c r="M70" i="4"/>
  <c r="N50" i="4" s="1"/>
  <c r="M44" i="4" l="1"/>
  <c r="N58" i="4"/>
  <c r="N10" i="4"/>
  <c r="N11" i="4" s="1"/>
  <c r="M69" i="4"/>
  <c r="N12" i="4" l="1"/>
  <c r="N48" i="4" s="1"/>
  <c r="N49" i="4" s="1"/>
  <c r="N14" i="4" l="1"/>
  <c r="N16" i="4" s="1"/>
  <c r="N17" i="4" s="1"/>
  <c r="N55" i="4"/>
  <c r="N53" i="4"/>
  <c r="N18" i="4" l="1"/>
  <c r="N61" i="4"/>
  <c r="N64" i="4" l="1"/>
  <c r="N66" i="4" s="1"/>
  <c r="N68" i="4" s="1"/>
  <c r="N41" i="4"/>
  <c r="O67" i="4" l="1"/>
  <c r="N21" i="4"/>
  <c r="N31" i="4" s="1"/>
  <c r="N70" i="4"/>
  <c r="O50" i="4" s="1"/>
  <c r="N39" i="4"/>
  <c r="N43" i="4" s="1"/>
  <c r="N69" i="4" l="1"/>
  <c r="N44" i="4"/>
  <c r="O58" i="4"/>
  <c r="O10" i="4"/>
  <c r="O11" i="4" s="1"/>
  <c r="O12" i="4" l="1"/>
  <c r="O48" i="4" s="1"/>
  <c r="O49" i="4" s="1"/>
  <c r="O14" i="4" l="1"/>
  <c r="O55" i="4"/>
  <c r="O53" i="4"/>
  <c r="O16" i="4" l="1"/>
  <c r="O17" i="4" s="1"/>
  <c r="O18" i="4" l="1"/>
  <c r="O61" i="4"/>
  <c r="O41" i="4" l="1"/>
  <c r="O39" i="4" s="1"/>
  <c r="O64" i="4"/>
  <c r="O66" i="4" s="1"/>
  <c r="O68" i="4" s="1"/>
  <c r="O36" i="4"/>
  <c r="O43" i="4" s="1"/>
  <c r="O70" i="4" l="1"/>
  <c r="O21" i="4"/>
  <c r="O31" i="4" s="1"/>
  <c r="O44" i="4" s="1"/>
  <c r="O6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<sst xmlns="http://schemas.openxmlformats.org/spreadsheetml/2006/main" count="582" uniqueCount="264">
  <si>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</si>
  <si>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</si>
  <si>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</si>
  <si>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</si>
  <si>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</si>
  <si>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</si>
  <si>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</si>
  <si>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</si>
  <si>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</si>
  <si>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</si>
  <si>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</si>
  <si>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</si>
  <si>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</si>
  <si>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</si>
  <si>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</si>
  <si>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</si>
  <si>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</si>
  <si>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</si>
  <si>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</si>
  <si>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</si>
  <si>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</si>
  <si>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</si>
  <si>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</si>
  <si>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</si>
  <si>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</si>
  <si>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</si>
  <si>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</si>
  <si>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</si>
  <si>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</si>
  <si>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</si>
  <si>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</si>
  <si>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</si>
  <si>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</si>
  <si>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</si>
  <si>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</si>
  <si>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</si>
  <si>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</si>
  <si>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</si>
  <si>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</si>
  <si>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</si>
  <si>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</si>
  <si>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</si>
  <si>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</si>
  <si>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</si>
  <si>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</si>
  <si>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</si>
  <si>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</si>
  <si>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</si>
  <si>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</si>
  <si>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</si>
  <si>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</si>
  <si>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</si>
  <si>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</si>
  <si>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</si>
  <si>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</si>
  <si>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</si>
  <si>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</si>
  <si>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</si>
  <si>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</si>
  <si>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</si>
  <si>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</si>
  <si>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</si>
  <si>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</si>
  <si>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</si>
  <si>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</si>
  <si>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</si>
  <si>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</si>
  <si>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</si>
  <si>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</si>
  <si>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</si>
  <si>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</si>
  <si>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</si>
  <si>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</si>
  <si>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</si>
  <si>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</si>
  <si>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</si>
  <si>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</si>
  <si>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</si>
  <si>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</si>
  <si>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</si>
  <si>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</si>
  <si>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</si>
  <si>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</si>
  <si>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</si>
  <si>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</si>
  <si>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</si>
  <si>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</si>
  <si>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</si>
  <si>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</si>
  <si>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</si>
  <si>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</si>
  <si>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</si>
  <si>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</si>
  <si>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</si>
  <si>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</si>
  <si>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</si>
  <si>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</si>
  <si>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</si>
  <si>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</si>
  <si>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</si>
  <si>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</si>
  <si>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</si>
  <si>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</si>
  <si>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</si>
  <si>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</si>
  <si>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</si>
  <si>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</si>
  <si>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</si>
  <si>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</si>
  <si>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</si>
  <si>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</si>
  <si>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</si>
  <si>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</si>
  <si>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</si>
  <si>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</si>
  <si>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</si>
  <si>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</si>
  <si>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</si>
  <si>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</si>
  <si>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</si>
  <si>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</si>
  <si>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</si>
  <si>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</si>
  <si>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</si>
  <si>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</si>
  <si>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</si>
  <si>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</si>
  <si>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</si>
  <si>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</si>
  <si>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</si>
  <si>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</si>
  <si>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</si>
  <si>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</si>
  <si>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</si>
  <si>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</si>
  <si>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</si>
  <si>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</si>
  <si>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</si>
  <si>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</si>
  <si>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</si>
  <si>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</si>
  <si>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</si>
  <si>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</si>
  <si>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</si>
  <si>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</si>
  <si>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</si>
  <si>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</si>
  <si>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</si>
  <si>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</si>
  <si>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</si>
  <si>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</si>
  <si>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</si>
  <si>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</si>
  <si>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</si>
  <si>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</si>
  <si>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</si>
  <si>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</si>
  <si>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</si>
  <si>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</si>
  <si>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</si>
  <si>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</si>
  <si>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</si>
  <si>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</si>
  <si>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</si>
  <si>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</si>
  <si>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</si>
  <si>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</si>
  <si>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</si>
  <si>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</si>
  <si>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</si>
  <si>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</si>
  <si>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</si>
  <si>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</si>
  <si>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</si>
  <si>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</si>
  <si>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</si>
  <si>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</si>
  <si>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</si>
  <si>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</si>
  <si>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</si>
  <si>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</si>
  <si>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</si>
  <si>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</si>
  <si>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</si>
  <si>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</si>
  <si>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</si>
  <si>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</si>
  <si>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</si>
  <si>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</si>
  <si>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</si>
  <si>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</si>
  <si>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</si>
  <si>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</si>
  <si>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</si>
  <si>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</si>
  <si>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</si>
  <si>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</si>
  <si>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</si>
  <si>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</si>
  <si>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</si>
  <si>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</si>
  <si>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</si>
  <si>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</si>
  <si>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</si>
  <si>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</si>
  <si>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</si>
  <si>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</si>
  <si>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</si>
  <si>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</si>
  <si>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</si>
  <si>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</si>
  <si>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</si>
  <si>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</si>
  <si>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</si>
  <si>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</si>
  <si>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</si>
  <si>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</si>
  <si>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</si>
  <si>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</si>
  <si>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</si>
  <si>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</si>
  <si>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</si>
  <si>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</si>
  <si>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</si>
  <si>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</si>
  <si>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</si>
  <si>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</si>
  <si>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</si>
  <si>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</si>
  <si>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</si>
  <si>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</si>
  <si>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</si>
  <si>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</si>
  <si>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</si>
  <si>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</si>
  <si>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</si>
  <si>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</si>
  <si>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</si>
  <si>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</si>
  <si>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</si>
  <si>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</si>
  <si>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</si>
  <si>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</si>
  <si>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</si>
  <si>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</si>
  <si>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</si>
  <si>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</si>
  <si>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</si>
  <si>
    <t>Forecast this based on opening net debt</t>
  </si>
  <si>
    <t>Keep this blank</t>
  </si>
  <si>
    <t>Should be forecasted based on growth</t>
  </si>
  <si>
    <t>Add interest along with this</t>
  </si>
  <si>
    <t>Opening Retained Earnings + Net income -  Dividends paid - Share repurchase (link them with + sign since they are already negative)</t>
  </si>
  <si>
    <t>Opening shares - shares bought back. Shares bought back = Share buy back value in cash flow/current share price</t>
  </si>
  <si>
    <t>Current Share Price (29/11/2023)</t>
  </si>
  <si>
    <t>Link this to Cash interest in cash flow statement</t>
  </si>
  <si>
    <t>Opening PPE + Capex - D&amp;A</t>
  </si>
  <si>
    <t>Add cash interest to this with - sign</t>
  </si>
  <si>
    <t>Addition of the line items above</t>
  </si>
  <si>
    <t>Keep this equal to 2023 number because we cannot forecast the company's short term credit related decisions</t>
  </si>
  <si>
    <t>Do not hardcode numbers in formula, forecast the repayments in the cash flow statement and add it to the opening balance (Opening balance -Repayments or + Borrowings here)</t>
  </si>
  <si>
    <t>remove row 10 from this</t>
  </si>
  <si>
    <t>Keep forecast equal to 2023 number</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</si>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</sst>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164"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164"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164" fontId="0" fillId="0" borderId="0" xfId="0" applyNumberFormat="1"/>
    <xf numFmtId="168" fontId="0" fillId="0" borderId="0" xfId="0" applyNumberFormat="1"/>
    <xf numFmtId="165" fontId="2" fillId="0" borderId="2" xfId="1" applyNumberFormat="1" applyFont="1" applyFill="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90" zoomScaleNormal="90" workbookViewId="0">
      <selection activeCell="A8" sqref="A8"/>
    </sheetView>
  </sheetViews>
  <sheetFormatPr defaultColWidth="8.77734375" defaultRowHeight="14.4" x14ac:dyDescent="0.3"/>
  <cols>
    <col min="1" max="1" width="176.109375" style="19" customWidth="1"/>
  </cols>
  <sheetData>
    <row r="1" spans="1:1" ht="23.4" x14ac:dyDescent="0.45">
      <c r="A1" s="18" t="s">
        <v>20</v>
      </c>
    </row>
    <row r="2" spans="1:1" x14ac:dyDescent="0.3">
      <c r="A2" t="s">
        <v>219</v>
      </c>
    </row>
    <row r="3" spans="1:1" x14ac:dyDescent="0.3">
      <c r="A3" s="1" t="s">
        <v>195</v>
      </c>
    </row>
    <row r="4" spans="1:1" x14ac:dyDescent="0.3">
      <c r="A4" s="47" t="s">
        <v>220</v>
      </c>
    </row>
    <row r="5" spans="1:1" x14ac:dyDescent="0.3">
      <c r="A5" t="s">
        <v>221</v>
      </c>
    </row>
    <row r="6" spans="1:1" x14ac:dyDescent="0.3">
      <c r="A6" t="s">
        <v>222</v>
      </c>
    </row>
    <row r="7" spans="1:1" x14ac:dyDescent="0.3">
      <c r="A7" t="s">
        <v>223</v>
      </c>
    </row>
    <row r="8" spans="1:1" x14ac:dyDescent="0.3">
      <c r="A8"/>
    </row>
    <row r="9" spans="1:1" x14ac:dyDescent="0.3">
      <c r="A9" s="1" t="s">
        <v>224</v>
      </c>
    </row>
    <row r="10" spans="1:1" x14ac:dyDescent="0.3">
      <c r="A10" t="s">
        <v>225</v>
      </c>
    </row>
    <row r="11" spans="1:1" x14ac:dyDescent="0.3">
      <c r="A11" t="s">
        <v>226</v>
      </c>
    </row>
    <row r="12" spans="1:1" x14ac:dyDescent="0.3">
      <c r="A12" t="s">
        <v>227</v>
      </c>
    </row>
    <row r="13" spans="1:1" x14ac:dyDescent="0.3">
      <c r="A13" t="s">
        <v>228</v>
      </c>
    </row>
    <row r="14" spans="1:1" x14ac:dyDescent="0.3">
      <c r="A14" t="s">
        <v>229</v>
      </c>
    </row>
    <row r="15" spans="1:1" x14ac:dyDescent="0.3">
      <c r="A15" t="s">
        <v>230</v>
      </c>
    </row>
    <row r="16" spans="1:1" x14ac:dyDescent="0.3">
      <c r="A16" t="s">
        <v>231</v>
      </c>
    </row>
    <row r="17" spans="1:1" x14ac:dyDescent="0.3">
      <c r="A17" t="s">
        <v>232</v>
      </c>
    </row>
    <row r="18" spans="1:1" x14ac:dyDescent="0.3">
      <c r="A18" t="s">
        <v>233</v>
      </c>
    </row>
    <row r="19" spans="1:1" x14ac:dyDescent="0.3">
      <c r="A19" t="s">
        <v>234</v>
      </c>
    </row>
    <row r="20" spans="1:1" x14ac:dyDescent="0.3">
      <c r="A20" t="s">
        <v>235</v>
      </c>
    </row>
    <row r="21" spans="1:1" x14ac:dyDescent="0.3">
      <c r="A21" t="s">
        <v>236</v>
      </c>
    </row>
    <row r="22" spans="1:1" x14ac:dyDescent="0.3">
      <c r="A22" t="s">
        <v>237</v>
      </c>
    </row>
    <row r="23" spans="1:1" x14ac:dyDescent="0.3">
      <c r="A23"/>
    </row>
    <row r="24" spans="1:1" x14ac:dyDescent="0.3">
      <c r="A24" t="s">
        <v>238</v>
      </c>
    </row>
    <row r="26" spans="1:1" x14ac:dyDescent="0.3">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30" activePane="bottomLeft" state="frozen"/>
      <selection pane="bottomLeft" activeCell="C40" sqref="C40"/>
    </sheetView>
  </sheetViews>
  <sheetFormatPr defaultColWidth="8.77734375" defaultRowHeight="14.4" x14ac:dyDescent="0.3"/>
  <cols>
    <col min="1" max="1" width="78.109375" customWidth="1"/>
    <col min="2" max="10" width="11" customWidth="1"/>
  </cols>
  <sheetData>
    <row r="1" spans="1:10"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
      <c r="A2" t="s">
        <v>27</v>
      </c>
      <c r="B2" s="3">
        <v>30601</v>
      </c>
      <c r="C2" s="3">
        <v>32376</v>
      </c>
      <c r="D2" s="3">
        <v>34350</v>
      </c>
      <c r="E2" s="3">
        <v>36397</v>
      </c>
      <c r="F2" s="3">
        <v>39117</v>
      </c>
      <c r="G2" s="3">
        <v>37403</v>
      </c>
      <c r="H2" s="3">
        <v>44538</v>
      </c>
      <c r="I2" s="3">
        <v>46710</v>
      </c>
      <c r="J2" s="3">
        <v>51217</v>
      </c>
    </row>
    <row r="3" spans="1:10" x14ac:dyDescent="0.3">
      <c r="A3" s="22" t="s">
        <v>28</v>
      </c>
      <c r="B3" s="23">
        <v>16534</v>
      </c>
      <c r="C3" s="23">
        <v>17405</v>
      </c>
      <c r="D3" s="23">
        <v>19038</v>
      </c>
      <c r="E3" s="23">
        <v>20441</v>
      </c>
      <c r="F3" s="23">
        <v>21643</v>
      </c>
      <c r="G3" s="23">
        <v>21162</v>
      </c>
      <c r="H3" s="23">
        <v>24576</v>
      </c>
      <c r="I3" s="23">
        <v>25231</v>
      </c>
      <c r="J3" s="23">
        <v>28925</v>
      </c>
    </row>
    <row r="4" spans="1:10"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3">
      <c r="A5" s="11" t="s">
        <v>21</v>
      </c>
      <c r="B5" s="3">
        <v>3213</v>
      </c>
      <c r="C5" s="3">
        <v>3278</v>
      </c>
      <c r="D5" s="3">
        <v>3341</v>
      </c>
      <c r="E5" s="3">
        <v>3577</v>
      </c>
      <c r="F5" s="3">
        <v>3753</v>
      </c>
      <c r="G5" s="3">
        <v>3592</v>
      </c>
      <c r="H5" s="3">
        <v>3114</v>
      </c>
      <c r="I5" s="3">
        <v>3850</v>
      </c>
      <c r="J5" s="3">
        <v>4060</v>
      </c>
    </row>
    <row r="6" spans="1:10" x14ac:dyDescent="0.3">
      <c r="A6" s="11" t="s">
        <v>22</v>
      </c>
      <c r="B6" s="3">
        <v>6679</v>
      </c>
      <c r="C6" s="3">
        <v>7191</v>
      </c>
      <c r="D6" s="3">
        <v>7222</v>
      </c>
      <c r="E6" s="3">
        <v>7934</v>
      </c>
      <c r="F6" s="3">
        <v>8949</v>
      </c>
      <c r="G6" s="3">
        <v>9534</v>
      </c>
      <c r="H6" s="3">
        <v>9911</v>
      </c>
      <c r="I6" s="3">
        <v>10954</v>
      </c>
      <c r="J6" s="3">
        <v>12317</v>
      </c>
    </row>
    <row r="7" spans="1:10" x14ac:dyDescent="0.3">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3">
      <c r="A8" s="2" t="s">
        <v>24</v>
      </c>
      <c r="B8" s="3">
        <v>28</v>
      </c>
      <c r="C8" s="3">
        <v>19</v>
      </c>
      <c r="D8" s="3">
        <v>59</v>
      </c>
      <c r="E8" s="54">
        <v>54</v>
      </c>
      <c r="F8" s="54">
        <v>49</v>
      </c>
      <c r="G8" s="54">
        <v>89</v>
      </c>
      <c r="H8" s="3">
        <v>262</v>
      </c>
      <c r="I8" s="3">
        <v>205</v>
      </c>
      <c r="J8" s="3">
        <v>-6</v>
      </c>
    </row>
    <row r="9" spans="1:10" x14ac:dyDescent="0.3">
      <c r="A9" s="2" t="s">
        <v>5</v>
      </c>
      <c r="B9" s="3">
        <v>-58</v>
      </c>
      <c r="C9" s="3">
        <v>-140</v>
      </c>
      <c r="D9" s="3">
        <v>-196</v>
      </c>
      <c r="E9" s="54">
        <v>66</v>
      </c>
      <c r="F9" s="54">
        <v>-78</v>
      </c>
      <c r="G9" s="54">
        <v>139</v>
      </c>
      <c r="H9" s="3">
        <v>14</v>
      </c>
      <c r="I9" s="3">
        <v>-181</v>
      </c>
      <c r="J9" s="3">
        <v>-280</v>
      </c>
    </row>
    <row r="10" spans="1:10" x14ac:dyDescent="0.3">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3">
      <c r="A11" s="2" t="s">
        <v>26</v>
      </c>
      <c r="B11" s="54">
        <v>932</v>
      </c>
      <c r="C11" s="54">
        <v>863</v>
      </c>
      <c r="D11" s="54">
        <v>646</v>
      </c>
      <c r="E11" s="54">
        <v>2392</v>
      </c>
      <c r="F11" s="54">
        <v>772</v>
      </c>
      <c r="G11" s="54">
        <v>348</v>
      </c>
      <c r="H11" s="54">
        <v>934</v>
      </c>
      <c r="I11" s="54">
        <v>605</v>
      </c>
      <c r="J11" s="54">
        <v>1131</v>
      </c>
    </row>
    <row r="12" spans="1:10" ht="15" thickBot="1" x14ac:dyDescent="0.3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5" thickTop="1" x14ac:dyDescent="0.3">
      <c r="A13" s="1" t="s">
        <v>8</v>
      </c>
    </row>
    <row r="14" spans="1:10" x14ac:dyDescent="0.3">
      <c r="A14" s="2" t="s">
        <v>6</v>
      </c>
      <c r="B14">
        <v>1.9</v>
      </c>
      <c r="C14">
        <v>2.21</v>
      </c>
      <c r="D14">
        <v>2.56</v>
      </c>
      <c r="E14">
        <v>1.19</v>
      </c>
      <c r="F14">
        <v>2.5499999999999998</v>
      </c>
      <c r="G14">
        <v>1.63</v>
      </c>
      <c r="H14">
        <v>3.64</v>
      </c>
      <c r="I14">
        <v>3.83</v>
      </c>
      <c r="J14">
        <v>3.27</v>
      </c>
    </row>
    <row r="15" spans="1:10" x14ac:dyDescent="0.3">
      <c r="A15" s="2" t="s">
        <v>7</v>
      </c>
      <c r="B15">
        <v>1.85</v>
      </c>
      <c r="C15">
        <v>2.16</v>
      </c>
      <c r="D15">
        <v>2.5099999999999998</v>
      </c>
      <c r="E15">
        <v>1.17</v>
      </c>
      <c r="F15">
        <v>2.4900000000000002</v>
      </c>
      <c r="G15">
        <v>1.6</v>
      </c>
      <c r="H15">
        <v>3.56</v>
      </c>
      <c r="I15">
        <v>3.75</v>
      </c>
      <c r="J15">
        <v>3.23</v>
      </c>
    </row>
    <row r="16" spans="1:10" x14ac:dyDescent="0.3">
      <c r="A16" s="1" t="s">
        <v>9</v>
      </c>
      <c r="B16" s="79"/>
    </row>
    <row r="17" spans="1:10" x14ac:dyDescent="0.3">
      <c r="A17" s="2" t="s">
        <v>6</v>
      </c>
      <c r="B17">
        <v>1723.5</v>
      </c>
      <c r="C17">
        <v>1697.9</v>
      </c>
      <c r="D17">
        <v>1657.8</v>
      </c>
      <c r="E17">
        <v>1623.8</v>
      </c>
      <c r="F17">
        <v>1579.7</v>
      </c>
      <c r="G17" s="55">
        <v>1558.8</v>
      </c>
      <c r="H17" s="8">
        <v>1573</v>
      </c>
      <c r="I17" s="8">
        <v>1578.8</v>
      </c>
      <c r="J17" s="8">
        <v>1551.6</v>
      </c>
    </row>
    <row r="18" spans="1:10" x14ac:dyDescent="0.3">
      <c r="A18" s="2" t="s">
        <v>7</v>
      </c>
      <c r="B18">
        <v>1768.8</v>
      </c>
      <c r="C18">
        <v>1742.5</v>
      </c>
      <c r="D18">
        <v>1692</v>
      </c>
      <c r="E18">
        <v>1659.1</v>
      </c>
      <c r="F18">
        <v>1618.4</v>
      </c>
      <c r="G18" s="55">
        <v>1591.6</v>
      </c>
      <c r="H18" s="8">
        <v>1609.4</v>
      </c>
      <c r="I18" s="8">
        <v>1610.8</v>
      </c>
      <c r="J18" s="8">
        <v>1569.8</v>
      </c>
    </row>
    <row r="19" spans="1:10" x14ac:dyDescent="0.3">
      <c r="A19" s="2" t="s">
        <v>149</v>
      </c>
      <c r="B19" s="80">
        <f>-B92/B18</f>
        <v>0.508254183627318</v>
      </c>
      <c r="C19" s="80">
        <f t="shared" ref="C19:J19" si="9">-C92/C18</f>
        <v>0.58651362984218081</v>
      </c>
      <c r="D19" s="80">
        <f t="shared" si="9"/>
        <v>0.66962174940898345</v>
      </c>
      <c r="E19" s="80">
        <f t="shared" si="9"/>
        <v>0.74920137423904531</v>
      </c>
      <c r="F19" s="80">
        <f t="shared" si="9"/>
        <v>0.82303509639149774</v>
      </c>
      <c r="G19" s="80">
        <f t="shared" si="9"/>
        <v>0.91228951997989449</v>
      </c>
      <c r="H19" s="80">
        <f t="shared" si="9"/>
        <v>1.0177705977382876</v>
      </c>
      <c r="I19" s="80">
        <f t="shared" si="9"/>
        <v>1.1404271169605165</v>
      </c>
      <c r="J19" s="80">
        <f t="shared" si="9"/>
        <v>1.2816919352783795</v>
      </c>
    </row>
    <row r="20" spans="1:10" s="12" customFormat="1" x14ac:dyDescent="0.3">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3">
      <c r="A22" s="14" t="s">
        <v>0</v>
      </c>
      <c r="B22" s="14"/>
      <c r="C22" s="14"/>
      <c r="D22" s="14"/>
      <c r="E22" s="14"/>
      <c r="F22" s="14"/>
      <c r="G22" s="14"/>
      <c r="H22" s="14"/>
      <c r="I22" s="14"/>
      <c r="J22" s="14"/>
    </row>
    <row r="23" spans="1:10" x14ac:dyDescent="0.3">
      <c r="A23" s="1" t="s">
        <v>30</v>
      </c>
    </row>
    <row r="24" spans="1:10" x14ac:dyDescent="0.3">
      <c r="A24" s="10" t="s">
        <v>31</v>
      </c>
      <c r="B24" s="3"/>
      <c r="C24" s="3"/>
      <c r="D24" s="3"/>
      <c r="E24" s="3"/>
      <c r="F24" s="3"/>
      <c r="G24" s="3"/>
      <c r="H24" s="3"/>
      <c r="I24" s="3"/>
      <c r="J24" s="3"/>
    </row>
    <row r="25" spans="1:10" x14ac:dyDescent="0.3">
      <c r="A25" s="11" t="s">
        <v>32</v>
      </c>
      <c r="B25" s="3">
        <v>3852</v>
      </c>
      <c r="C25" s="3">
        <v>3138</v>
      </c>
      <c r="D25" s="3">
        <v>3808</v>
      </c>
      <c r="E25" s="3">
        <v>4249</v>
      </c>
      <c r="F25" s="3">
        <v>4466</v>
      </c>
      <c r="G25" s="3">
        <v>8348</v>
      </c>
      <c r="H25" s="3">
        <v>9889</v>
      </c>
      <c r="I25" s="3">
        <v>8574</v>
      </c>
      <c r="J25" s="3">
        <v>7441</v>
      </c>
    </row>
    <row r="26" spans="1:10" x14ac:dyDescent="0.3">
      <c r="A26" s="11" t="s">
        <v>33</v>
      </c>
      <c r="B26" s="3">
        <v>2072</v>
      </c>
      <c r="C26" s="3">
        <v>2319</v>
      </c>
      <c r="D26" s="3">
        <v>2371</v>
      </c>
      <c r="E26" s="3">
        <v>996</v>
      </c>
      <c r="F26" s="3">
        <v>197</v>
      </c>
      <c r="G26" s="3">
        <v>439</v>
      </c>
      <c r="H26" s="3">
        <v>3587</v>
      </c>
      <c r="I26" s="3">
        <v>4423</v>
      </c>
      <c r="J26" s="3">
        <v>3234</v>
      </c>
    </row>
    <row r="27" spans="1:10" x14ac:dyDescent="0.3">
      <c r="A27" s="11" t="s">
        <v>34</v>
      </c>
      <c r="B27" s="56">
        <v>3358</v>
      </c>
      <c r="C27" s="56">
        <v>3241</v>
      </c>
      <c r="D27" s="56">
        <v>3677</v>
      </c>
      <c r="E27" s="56">
        <v>3498</v>
      </c>
      <c r="F27" s="56">
        <v>4272</v>
      </c>
      <c r="G27" s="56">
        <v>2749</v>
      </c>
      <c r="H27" s="56">
        <v>4463</v>
      </c>
      <c r="I27" s="56">
        <v>4667</v>
      </c>
      <c r="J27" s="56">
        <v>4131</v>
      </c>
    </row>
    <row r="28" spans="1:10" x14ac:dyDescent="0.3">
      <c r="A28" s="11" t="s">
        <v>35</v>
      </c>
      <c r="B28" s="56">
        <v>4337</v>
      </c>
      <c r="C28" s="56">
        <v>4838</v>
      </c>
      <c r="D28" s="56">
        <v>5055</v>
      </c>
      <c r="E28" s="56">
        <v>5261</v>
      </c>
      <c r="F28" s="56">
        <v>5622</v>
      </c>
      <c r="G28" s="56">
        <v>7367</v>
      </c>
      <c r="H28" s="56">
        <v>6854</v>
      </c>
      <c r="I28" s="56">
        <v>8420</v>
      </c>
      <c r="J28" s="56">
        <v>8454</v>
      </c>
    </row>
    <row r="29" spans="1:10" x14ac:dyDescent="0.3">
      <c r="A29" s="11" t="s">
        <v>36</v>
      </c>
      <c r="B29" s="56">
        <v>1968</v>
      </c>
      <c r="C29" s="56">
        <v>1489</v>
      </c>
      <c r="D29" s="56">
        <v>1150</v>
      </c>
      <c r="E29" s="56">
        <v>1130</v>
      </c>
      <c r="F29" s="56">
        <v>1968</v>
      </c>
      <c r="G29" s="56">
        <v>1653</v>
      </c>
      <c r="H29" s="56">
        <v>1498</v>
      </c>
      <c r="I29" s="56">
        <v>2129</v>
      </c>
      <c r="J29" s="56">
        <v>1942</v>
      </c>
    </row>
    <row r="30" spans="1:10" x14ac:dyDescent="0.3">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3">
      <c r="A31" s="2" t="s">
        <v>37</v>
      </c>
      <c r="B31" s="54">
        <v>3011</v>
      </c>
      <c r="C31" s="54">
        <v>3520</v>
      </c>
      <c r="D31" s="54">
        <v>3989</v>
      </c>
      <c r="E31" s="54">
        <v>4454</v>
      </c>
      <c r="F31" s="54">
        <v>4744</v>
      </c>
      <c r="G31" s="54">
        <v>4866</v>
      </c>
      <c r="H31" s="54">
        <v>4904</v>
      </c>
      <c r="I31" s="54">
        <v>4791</v>
      </c>
      <c r="J31" s="54">
        <v>5081</v>
      </c>
    </row>
    <row r="32" spans="1:10" x14ac:dyDescent="0.3">
      <c r="A32" s="2" t="s">
        <v>38</v>
      </c>
      <c r="B32" s="54">
        <v>0</v>
      </c>
      <c r="C32" s="54">
        <v>0</v>
      </c>
      <c r="D32" s="54">
        <v>0</v>
      </c>
      <c r="E32" s="54">
        <v>0</v>
      </c>
      <c r="F32" s="54">
        <v>0</v>
      </c>
      <c r="G32" s="54">
        <v>3097</v>
      </c>
      <c r="H32" s="54">
        <v>3113</v>
      </c>
      <c r="I32" s="54">
        <v>2926</v>
      </c>
      <c r="J32" s="54">
        <v>2923</v>
      </c>
    </row>
    <row r="33" spans="1:10" x14ac:dyDescent="0.3">
      <c r="A33" s="2" t="s">
        <v>39</v>
      </c>
      <c r="B33" s="54">
        <v>281</v>
      </c>
      <c r="C33" s="54">
        <v>281</v>
      </c>
      <c r="D33" s="54">
        <v>283</v>
      </c>
      <c r="E33" s="54">
        <v>285</v>
      </c>
      <c r="F33" s="54">
        <v>283</v>
      </c>
      <c r="G33" s="54">
        <v>274</v>
      </c>
      <c r="H33" s="54">
        <v>269</v>
      </c>
      <c r="I33" s="54">
        <v>286</v>
      </c>
      <c r="J33" s="54">
        <v>274</v>
      </c>
    </row>
    <row r="34" spans="1:10" x14ac:dyDescent="0.3">
      <c r="A34" s="2" t="s">
        <v>40</v>
      </c>
      <c r="B34" s="54">
        <v>131</v>
      </c>
      <c r="C34" s="54">
        <v>131</v>
      </c>
      <c r="D34" s="54">
        <v>139</v>
      </c>
      <c r="E34" s="54">
        <v>154</v>
      </c>
      <c r="F34" s="54">
        <v>154</v>
      </c>
      <c r="G34" s="54">
        <v>223</v>
      </c>
      <c r="H34" s="54">
        <v>242</v>
      </c>
      <c r="I34" s="54">
        <v>284</v>
      </c>
      <c r="J34" s="54">
        <v>281</v>
      </c>
    </row>
    <row r="35" spans="1:10" x14ac:dyDescent="0.3">
      <c r="A35" s="2" t="s">
        <v>41</v>
      </c>
      <c r="B35" s="54">
        <v>2587</v>
      </c>
      <c r="C35" s="54">
        <v>2439</v>
      </c>
      <c r="D35" s="54">
        <v>2787</v>
      </c>
      <c r="E35" s="54">
        <v>2509</v>
      </c>
      <c r="F35" s="54">
        <v>2011</v>
      </c>
      <c r="G35" s="54">
        <v>2326</v>
      </c>
      <c r="H35" s="54">
        <v>2921</v>
      </c>
      <c r="I35" s="54">
        <v>3821</v>
      </c>
      <c r="J35" s="54">
        <v>3770</v>
      </c>
    </row>
    <row r="36" spans="1:10" ht="15" thickBot="1" x14ac:dyDescent="0.3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5" thickTop="1" x14ac:dyDescent="0.3">
      <c r="A37" s="1" t="s">
        <v>43</v>
      </c>
      <c r="B37" s="3"/>
      <c r="C37" s="3"/>
      <c r="D37" s="3"/>
      <c r="E37" s="3"/>
      <c r="F37" s="3"/>
      <c r="G37" s="3"/>
      <c r="H37" s="3"/>
      <c r="I37" s="3"/>
      <c r="J37" s="3"/>
    </row>
    <row r="38" spans="1:10" x14ac:dyDescent="0.3">
      <c r="A38" s="2" t="s">
        <v>44</v>
      </c>
      <c r="B38" s="3"/>
      <c r="C38" s="3"/>
      <c r="D38" s="3"/>
      <c r="E38" s="3"/>
      <c r="F38" s="3"/>
      <c r="G38" s="3"/>
      <c r="H38" s="3"/>
      <c r="I38" s="3"/>
      <c r="J38" s="3"/>
    </row>
    <row r="39" spans="1:10" x14ac:dyDescent="0.3">
      <c r="A39" s="11" t="s">
        <v>45</v>
      </c>
      <c r="B39" s="56">
        <v>107</v>
      </c>
      <c r="C39" s="56">
        <v>44</v>
      </c>
      <c r="D39" s="56">
        <v>6</v>
      </c>
      <c r="E39" s="56">
        <v>6</v>
      </c>
      <c r="F39" s="56">
        <v>6</v>
      </c>
      <c r="G39" s="56">
        <v>3</v>
      </c>
      <c r="H39" s="56">
        <v>0</v>
      </c>
      <c r="I39" s="56">
        <v>500</v>
      </c>
      <c r="J39" s="56">
        <v>0</v>
      </c>
    </row>
    <row r="40" spans="1:10" x14ac:dyDescent="0.3">
      <c r="A40" s="11" t="s">
        <v>46</v>
      </c>
      <c r="B40" s="56">
        <v>74</v>
      </c>
      <c r="C40" s="56">
        <v>1</v>
      </c>
      <c r="D40" s="56">
        <v>325</v>
      </c>
      <c r="E40" s="56">
        <v>336</v>
      </c>
      <c r="F40" s="56">
        <v>9</v>
      </c>
      <c r="G40" s="56">
        <v>248</v>
      </c>
      <c r="H40" s="56">
        <v>2</v>
      </c>
      <c r="I40" s="56">
        <v>10</v>
      </c>
      <c r="J40" s="56">
        <v>6</v>
      </c>
    </row>
    <row r="41" spans="1:10" x14ac:dyDescent="0.3">
      <c r="A41" s="11" t="s">
        <v>11</v>
      </c>
      <c r="B41" s="56">
        <v>2131</v>
      </c>
      <c r="C41" s="56">
        <v>2191</v>
      </c>
      <c r="D41" s="56">
        <v>2048</v>
      </c>
      <c r="E41" s="56">
        <v>2279</v>
      </c>
      <c r="F41" s="56">
        <v>2612</v>
      </c>
      <c r="G41" s="56">
        <v>2248</v>
      </c>
      <c r="H41" s="56">
        <v>2836</v>
      </c>
      <c r="I41" s="56">
        <v>3358</v>
      </c>
      <c r="J41" s="56">
        <v>2862</v>
      </c>
    </row>
    <row r="42" spans="1:10" x14ac:dyDescent="0.3">
      <c r="A42" s="11" t="s">
        <v>47</v>
      </c>
      <c r="B42" s="56">
        <v>0</v>
      </c>
      <c r="C42" s="56">
        <v>0</v>
      </c>
      <c r="D42" s="56">
        <v>0</v>
      </c>
      <c r="E42" s="56">
        <v>0</v>
      </c>
      <c r="F42" s="56">
        <v>0</v>
      </c>
      <c r="G42" s="56">
        <v>445</v>
      </c>
      <c r="H42" s="56">
        <v>467</v>
      </c>
      <c r="I42" s="56">
        <v>420</v>
      </c>
      <c r="J42" s="56">
        <v>425</v>
      </c>
    </row>
    <row r="43" spans="1:10" x14ac:dyDescent="0.3">
      <c r="A43" s="11" t="s">
        <v>12</v>
      </c>
      <c r="B43" s="56">
        <v>3949</v>
      </c>
      <c r="C43" s="56">
        <v>3037</v>
      </c>
      <c r="D43" s="56">
        <v>3011</v>
      </c>
      <c r="E43" s="56">
        <v>3269</v>
      </c>
      <c r="F43" s="56">
        <v>5010</v>
      </c>
      <c r="G43" s="56">
        <v>5184</v>
      </c>
      <c r="H43" s="56">
        <v>6063</v>
      </c>
      <c r="I43" s="56">
        <v>6220</v>
      </c>
      <c r="J43" s="56">
        <v>5723</v>
      </c>
    </row>
    <row r="44" spans="1:10" x14ac:dyDescent="0.3">
      <c r="A44" s="11" t="s">
        <v>48</v>
      </c>
      <c r="B44" s="56">
        <v>71</v>
      </c>
      <c r="C44" s="56">
        <v>85</v>
      </c>
      <c r="D44" s="56">
        <v>84</v>
      </c>
      <c r="E44" s="56">
        <v>150</v>
      </c>
      <c r="F44" s="56">
        <v>229</v>
      </c>
      <c r="G44" s="56">
        <v>156</v>
      </c>
      <c r="H44" s="56">
        <v>306</v>
      </c>
      <c r="I44" s="56">
        <v>222</v>
      </c>
      <c r="J44" s="56">
        <v>240</v>
      </c>
    </row>
    <row r="45" spans="1:10" x14ac:dyDescent="0.3">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3">
      <c r="A46" s="2" t="s">
        <v>49</v>
      </c>
      <c r="B46" s="54">
        <v>1079</v>
      </c>
      <c r="C46" s="54">
        <v>2010</v>
      </c>
      <c r="D46" s="54">
        <v>3471</v>
      </c>
      <c r="E46" s="54">
        <v>3468</v>
      </c>
      <c r="F46" s="54">
        <v>3464</v>
      </c>
      <c r="G46" s="54">
        <v>9406</v>
      </c>
      <c r="H46" s="54">
        <v>9413</v>
      </c>
      <c r="I46" s="54">
        <v>8920</v>
      </c>
      <c r="J46" s="54">
        <v>8927</v>
      </c>
    </row>
    <row r="47" spans="1:10" x14ac:dyDescent="0.3">
      <c r="A47" s="2" t="s">
        <v>50</v>
      </c>
      <c r="B47" s="54">
        <v>0</v>
      </c>
      <c r="C47" s="54">
        <v>0</v>
      </c>
      <c r="D47" s="54">
        <v>0</v>
      </c>
      <c r="E47" s="54">
        <v>0</v>
      </c>
      <c r="F47" s="54">
        <v>0</v>
      </c>
      <c r="G47" s="54">
        <v>2913</v>
      </c>
      <c r="H47" s="54">
        <v>2931</v>
      </c>
      <c r="I47" s="54">
        <v>2777</v>
      </c>
      <c r="J47" s="54">
        <v>2786</v>
      </c>
    </row>
    <row r="48" spans="1:10" x14ac:dyDescent="0.3">
      <c r="A48" s="2" t="s">
        <v>51</v>
      </c>
      <c r="B48" s="54">
        <v>1479</v>
      </c>
      <c r="C48" s="54">
        <v>1770</v>
      </c>
      <c r="D48" s="54">
        <v>1907</v>
      </c>
      <c r="E48" s="54">
        <v>3216</v>
      </c>
      <c r="F48" s="54">
        <v>3347</v>
      </c>
      <c r="G48" s="54">
        <v>2684</v>
      </c>
      <c r="H48" s="54">
        <v>2955</v>
      </c>
      <c r="I48" s="54">
        <v>2613</v>
      </c>
      <c r="J48" s="54">
        <v>2558</v>
      </c>
    </row>
    <row r="49" spans="1:11" x14ac:dyDescent="0.3">
      <c r="A49" s="2" t="s">
        <v>52</v>
      </c>
      <c r="B49" s="54" t="s">
        <v>191</v>
      </c>
      <c r="C49" s="54" t="s">
        <v>191</v>
      </c>
      <c r="D49" s="54" t="s">
        <v>191</v>
      </c>
      <c r="E49" s="54" t="s">
        <v>191</v>
      </c>
      <c r="F49" s="54" t="s">
        <v>191</v>
      </c>
      <c r="G49" s="54"/>
      <c r="H49" s="54"/>
      <c r="I49" s="54"/>
      <c r="J49" s="54"/>
      <c r="K49" s="54"/>
    </row>
    <row r="50" spans="1:11" x14ac:dyDescent="0.3">
      <c r="A50" s="11" t="s">
        <v>53</v>
      </c>
      <c r="B50" s="54" t="s">
        <v>191</v>
      </c>
      <c r="C50" s="54" t="s">
        <v>191</v>
      </c>
      <c r="D50" s="54" t="s">
        <v>191</v>
      </c>
      <c r="E50" s="54" t="s">
        <v>191</v>
      </c>
      <c r="F50" s="54" t="s">
        <v>191</v>
      </c>
      <c r="G50" s="54" t="s">
        <v>191</v>
      </c>
      <c r="H50" s="54" t="s">
        <v>192</v>
      </c>
      <c r="I50" s="54" t="s">
        <v>193</v>
      </c>
      <c r="J50" s="54" t="s">
        <v>193</v>
      </c>
      <c r="K50" s="54" t="s">
        <v>193</v>
      </c>
    </row>
    <row r="51" spans="1:11" x14ac:dyDescent="0.3">
      <c r="A51" s="2" t="s">
        <v>54</v>
      </c>
      <c r="B51" s="54"/>
      <c r="C51" s="54"/>
      <c r="D51" s="54"/>
      <c r="E51" s="54"/>
      <c r="F51" s="54"/>
      <c r="G51" s="54"/>
      <c r="H51" s="54"/>
      <c r="I51" s="54"/>
      <c r="J51" s="54"/>
      <c r="K51" s="54"/>
    </row>
    <row r="52" spans="1:11" x14ac:dyDescent="0.3">
      <c r="A52" s="11" t="s">
        <v>55</v>
      </c>
      <c r="B52" s="54"/>
      <c r="C52" s="54"/>
      <c r="D52" s="54"/>
      <c r="E52" s="54"/>
      <c r="F52" s="54"/>
      <c r="G52" s="54"/>
      <c r="H52" s="54"/>
      <c r="I52" s="54"/>
      <c r="J52" s="54"/>
    </row>
    <row r="53" spans="1:11" x14ac:dyDescent="0.3">
      <c r="A53" s="17" t="s">
        <v>56</v>
      </c>
      <c r="B53" s="54" t="s">
        <v>191</v>
      </c>
      <c r="C53" s="54" t="s">
        <v>191</v>
      </c>
      <c r="D53" s="54" t="s">
        <v>191</v>
      </c>
      <c r="E53" s="54" t="s">
        <v>191</v>
      </c>
      <c r="F53" s="54" t="s">
        <v>191</v>
      </c>
      <c r="G53" s="54" t="s">
        <v>191</v>
      </c>
      <c r="H53" s="54"/>
      <c r="I53" s="54"/>
      <c r="J53" s="54"/>
    </row>
    <row r="54" spans="1:11" x14ac:dyDescent="0.3">
      <c r="A54" s="17" t="s">
        <v>57</v>
      </c>
      <c r="B54" s="54">
        <v>3</v>
      </c>
      <c r="C54" s="54">
        <v>3</v>
      </c>
      <c r="D54" s="54">
        <v>3</v>
      </c>
      <c r="E54" s="54">
        <v>3</v>
      </c>
      <c r="F54" s="54">
        <v>3</v>
      </c>
      <c r="G54" s="54">
        <v>3</v>
      </c>
      <c r="H54" s="54">
        <v>3</v>
      </c>
      <c r="I54" s="54">
        <v>3</v>
      </c>
      <c r="J54" s="54">
        <v>3</v>
      </c>
    </row>
    <row r="55" spans="1:11" x14ac:dyDescent="0.3">
      <c r="A55" s="17" t="s">
        <v>58</v>
      </c>
      <c r="B55" s="54">
        <v>6773</v>
      </c>
      <c r="C55" s="54">
        <v>7786</v>
      </c>
      <c r="D55" s="54">
        <v>8638</v>
      </c>
      <c r="E55" s="54">
        <v>6384</v>
      </c>
      <c r="F55" s="54">
        <v>7163</v>
      </c>
      <c r="G55" s="54">
        <v>8299</v>
      </c>
      <c r="H55" s="54">
        <v>9965</v>
      </c>
      <c r="I55" s="54">
        <v>11484</v>
      </c>
      <c r="J55" s="54">
        <v>12412</v>
      </c>
    </row>
    <row r="56" spans="1:11" x14ac:dyDescent="0.3">
      <c r="A56" s="17" t="s">
        <v>59</v>
      </c>
      <c r="B56" s="54">
        <v>1246</v>
      </c>
      <c r="C56" s="54">
        <v>318</v>
      </c>
      <c r="D56" s="54">
        <v>-213</v>
      </c>
      <c r="E56" s="54">
        <v>-92</v>
      </c>
      <c r="F56" s="54">
        <v>231</v>
      </c>
      <c r="G56" s="54">
        <v>-56</v>
      </c>
      <c r="H56" s="54">
        <v>-380</v>
      </c>
      <c r="I56" s="54">
        <v>318</v>
      </c>
      <c r="J56" s="54">
        <v>231</v>
      </c>
    </row>
    <row r="57" spans="1:11" x14ac:dyDescent="0.3">
      <c r="A57" s="17" t="s">
        <v>60</v>
      </c>
      <c r="B57" s="54">
        <v>4685</v>
      </c>
      <c r="C57" s="54">
        <v>4151</v>
      </c>
      <c r="D57" s="54">
        <v>3979</v>
      </c>
      <c r="E57" s="54">
        <v>3517</v>
      </c>
      <c r="F57" s="54">
        <v>1643</v>
      </c>
      <c r="G57" s="54">
        <v>-191</v>
      </c>
      <c r="H57" s="54">
        <v>3179</v>
      </c>
      <c r="I57" s="54">
        <v>3476</v>
      </c>
      <c r="J57" s="54">
        <v>1358</v>
      </c>
    </row>
    <row r="58" spans="1:11" x14ac:dyDescent="0.3">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5" thickBot="1" x14ac:dyDescent="0.3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5" thickTop="1" x14ac:dyDescent="0.3">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3">
      <c r="A61" s="14" t="s">
        <v>1</v>
      </c>
      <c r="B61" s="14"/>
      <c r="C61" s="14"/>
      <c r="D61" s="14"/>
      <c r="E61" s="14"/>
      <c r="F61" s="14"/>
      <c r="G61" s="14"/>
      <c r="H61" s="14"/>
      <c r="I61" s="14"/>
      <c r="J61" s="14"/>
    </row>
    <row r="62" spans="1:11" x14ac:dyDescent="0.3">
      <c r="A62" t="s">
        <v>15</v>
      </c>
    </row>
    <row r="63" spans="1:11" x14ac:dyDescent="0.3">
      <c r="A63" s="1" t="s">
        <v>63</v>
      </c>
    </row>
    <row r="64" spans="1:11" s="1" customFormat="1" x14ac:dyDescent="0.3">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3">
      <c r="A65" s="2" t="s">
        <v>65</v>
      </c>
      <c r="B65" s="3"/>
      <c r="C65" s="3"/>
      <c r="D65" s="3"/>
      <c r="E65" s="3"/>
      <c r="F65" s="3"/>
      <c r="G65" s="3"/>
      <c r="H65" s="3"/>
      <c r="I65" s="3"/>
      <c r="J65" s="3"/>
    </row>
    <row r="66" spans="1:10" x14ac:dyDescent="0.3">
      <c r="A66" s="11" t="s">
        <v>66</v>
      </c>
      <c r="B66" s="54">
        <v>606</v>
      </c>
      <c r="C66" s="54">
        <v>649</v>
      </c>
      <c r="D66" s="54">
        <v>706</v>
      </c>
      <c r="E66" s="54">
        <v>747</v>
      </c>
      <c r="F66" s="54">
        <v>705</v>
      </c>
      <c r="G66" s="54">
        <v>721</v>
      </c>
      <c r="H66" s="3">
        <v>744</v>
      </c>
      <c r="I66" s="3">
        <v>717</v>
      </c>
      <c r="J66" s="3">
        <v>703</v>
      </c>
    </row>
    <row r="67" spans="1:10" x14ac:dyDescent="0.3">
      <c r="A67" s="11" t="s">
        <v>67</v>
      </c>
      <c r="B67" s="54">
        <v>-113</v>
      </c>
      <c r="C67" s="54">
        <v>-80</v>
      </c>
      <c r="D67" s="54">
        <v>-273</v>
      </c>
      <c r="E67" s="54">
        <v>647</v>
      </c>
      <c r="F67" s="54">
        <v>34</v>
      </c>
      <c r="G67" s="54">
        <v>-380</v>
      </c>
      <c r="H67" s="3">
        <v>-385</v>
      </c>
      <c r="I67" s="3">
        <v>-650</v>
      </c>
      <c r="J67" s="3">
        <v>-117</v>
      </c>
    </row>
    <row r="68" spans="1:10" x14ac:dyDescent="0.3">
      <c r="A68" s="11" t="s">
        <v>68</v>
      </c>
      <c r="B68" s="54">
        <v>191</v>
      </c>
      <c r="C68" s="54">
        <v>236</v>
      </c>
      <c r="D68" s="54">
        <v>215</v>
      </c>
      <c r="E68" s="54">
        <v>218</v>
      </c>
      <c r="F68" s="54">
        <v>325</v>
      </c>
      <c r="G68" s="54">
        <v>429</v>
      </c>
      <c r="H68" s="3">
        <v>611</v>
      </c>
      <c r="I68" s="3">
        <v>638</v>
      </c>
      <c r="J68" s="3">
        <v>755</v>
      </c>
    </row>
    <row r="69" spans="1:10" x14ac:dyDescent="0.3">
      <c r="A69" s="11" t="s">
        <v>69</v>
      </c>
      <c r="B69" s="54">
        <v>43</v>
      </c>
      <c r="C69" s="54">
        <v>13</v>
      </c>
      <c r="D69" s="54">
        <v>10</v>
      </c>
      <c r="E69" s="54">
        <v>27</v>
      </c>
      <c r="F69" s="54">
        <v>15</v>
      </c>
      <c r="G69" s="54">
        <v>398</v>
      </c>
      <c r="H69" s="3">
        <v>53</v>
      </c>
      <c r="I69" s="3">
        <v>123</v>
      </c>
      <c r="J69" s="3">
        <v>156</v>
      </c>
    </row>
    <row r="70" spans="1:10" x14ac:dyDescent="0.3">
      <c r="A70" s="11" t="s">
        <v>70</v>
      </c>
      <c r="B70" s="54">
        <v>424</v>
      </c>
      <c r="C70" s="54">
        <v>98</v>
      </c>
      <c r="D70" s="54">
        <v>-117</v>
      </c>
      <c r="E70" s="54">
        <v>-99</v>
      </c>
      <c r="F70" s="54">
        <v>233</v>
      </c>
      <c r="G70" s="54">
        <v>23</v>
      </c>
      <c r="H70" s="3">
        <v>-138</v>
      </c>
      <c r="I70" s="3">
        <v>-26</v>
      </c>
      <c r="J70" s="3">
        <v>-213</v>
      </c>
    </row>
    <row r="71" spans="1:10" x14ac:dyDescent="0.3">
      <c r="A71" s="2" t="s">
        <v>71</v>
      </c>
      <c r="B71" s="54"/>
      <c r="C71" s="54"/>
      <c r="D71" s="54"/>
      <c r="E71" s="54"/>
      <c r="F71" s="54"/>
      <c r="G71" s="54"/>
      <c r="H71" s="3"/>
      <c r="I71" s="3"/>
      <c r="J71" s="3"/>
    </row>
    <row r="72" spans="1:10" x14ac:dyDescent="0.3">
      <c r="A72" s="11" t="s">
        <v>72</v>
      </c>
      <c r="B72" s="54">
        <v>-216</v>
      </c>
      <c r="C72" s="54">
        <v>60</v>
      </c>
      <c r="D72" s="54">
        <v>-426</v>
      </c>
      <c r="E72" s="54">
        <v>187</v>
      </c>
      <c r="F72" s="54">
        <v>-270</v>
      </c>
      <c r="G72" s="54">
        <v>1239</v>
      </c>
      <c r="H72" s="3">
        <v>-1606</v>
      </c>
      <c r="I72" s="3">
        <v>-504</v>
      </c>
      <c r="J72" s="3">
        <v>489</v>
      </c>
    </row>
    <row r="73" spans="1:10" x14ac:dyDescent="0.3">
      <c r="A73" s="11" t="s">
        <v>73</v>
      </c>
      <c r="B73" s="54">
        <v>-621</v>
      </c>
      <c r="C73" s="54">
        <v>-590</v>
      </c>
      <c r="D73" s="54">
        <v>-231</v>
      </c>
      <c r="E73" s="54">
        <v>-255</v>
      </c>
      <c r="F73" s="54">
        <v>-490</v>
      </c>
      <c r="G73" s="54">
        <v>-1854</v>
      </c>
      <c r="H73" s="3">
        <v>507</v>
      </c>
      <c r="I73" s="3">
        <v>-1676</v>
      </c>
      <c r="J73" s="3">
        <v>-133</v>
      </c>
    </row>
    <row r="74" spans="1:10" x14ac:dyDescent="0.3">
      <c r="A74" s="11" t="s">
        <v>98</v>
      </c>
      <c r="B74" s="54">
        <v>-144</v>
      </c>
      <c r="C74" s="54">
        <v>-161</v>
      </c>
      <c r="D74" s="54">
        <v>-120</v>
      </c>
      <c r="E74" s="54">
        <v>35</v>
      </c>
      <c r="F74" s="54">
        <v>-203</v>
      </c>
      <c r="G74" s="54">
        <v>-654</v>
      </c>
      <c r="H74" s="3">
        <v>-182</v>
      </c>
      <c r="I74" s="3">
        <v>-845</v>
      </c>
      <c r="J74" s="3">
        <v>-644</v>
      </c>
    </row>
    <row r="75" spans="1:10" x14ac:dyDescent="0.3">
      <c r="A75" s="11" t="s">
        <v>97</v>
      </c>
      <c r="B75" s="54">
        <v>1237</v>
      </c>
      <c r="C75" s="54">
        <v>-889</v>
      </c>
      <c r="D75" s="54">
        <v>-158</v>
      </c>
      <c r="E75" s="54">
        <v>1515</v>
      </c>
      <c r="F75" s="54">
        <v>1525</v>
      </c>
      <c r="G75" s="54">
        <v>24</v>
      </c>
      <c r="H75" s="3">
        <v>1326</v>
      </c>
      <c r="I75" s="3">
        <v>1365</v>
      </c>
      <c r="J75" s="3">
        <v>-225</v>
      </c>
    </row>
    <row r="76" spans="1:10" x14ac:dyDescent="0.3">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3">
      <c r="A77" s="1" t="s">
        <v>75</v>
      </c>
      <c r="B77" s="3"/>
      <c r="C77" s="3"/>
      <c r="D77" s="3"/>
      <c r="E77" s="3"/>
      <c r="F77" s="3"/>
      <c r="G77" s="3"/>
      <c r="H77" s="3"/>
      <c r="I77" s="3"/>
      <c r="J77" s="3"/>
    </row>
    <row r="78" spans="1:10" x14ac:dyDescent="0.3">
      <c r="A78" s="2" t="s">
        <v>76</v>
      </c>
      <c r="B78" s="54">
        <v>-4936</v>
      </c>
      <c r="C78" s="54">
        <v>-5367</v>
      </c>
      <c r="D78" s="54">
        <v>-5928</v>
      </c>
      <c r="E78" s="54">
        <v>-4783</v>
      </c>
      <c r="F78" s="54">
        <v>-2937</v>
      </c>
      <c r="G78" s="54">
        <v>-2426</v>
      </c>
      <c r="H78" s="54">
        <v>-9961</v>
      </c>
      <c r="I78" s="54">
        <v>-12913</v>
      </c>
      <c r="J78" s="54">
        <v>-6059</v>
      </c>
    </row>
    <row r="79" spans="1:10" x14ac:dyDescent="0.3">
      <c r="A79" s="2" t="s">
        <v>77</v>
      </c>
      <c r="B79" s="54">
        <v>3655</v>
      </c>
      <c r="C79" s="54">
        <v>2924</v>
      </c>
      <c r="D79" s="54">
        <v>3623</v>
      </c>
      <c r="E79" s="54">
        <v>3613</v>
      </c>
      <c r="F79" s="54">
        <v>1715</v>
      </c>
      <c r="G79" s="54">
        <v>74</v>
      </c>
      <c r="H79" s="54">
        <v>4236</v>
      </c>
      <c r="I79" s="54">
        <v>8199</v>
      </c>
      <c r="J79" s="54">
        <v>3356</v>
      </c>
    </row>
    <row r="80" spans="1:10" x14ac:dyDescent="0.3">
      <c r="A80" s="2" t="s">
        <v>78</v>
      </c>
      <c r="B80" s="54">
        <v>2216</v>
      </c>
      <c r="C80" s="54">
        <v>2386</v>
      </c>
      <c r="D80" s="54">
        <v>2423</v>
      </c>
      <c r="E80" s="54">
        <v>2496</v>
      </c>
      <c r="F80" s="54">
        <v>2072</v>
      </c>
      <c r="G80" s="54">
        <v>2379</v>
      </c>
      <c r="H80" s="54">
        <v>2449</v>
      </c>
      <c r="I80" s="54">
        <v>3967</v>
      </c>
      <c r="J80" s="54">
        <v>4184</v>
      </c>
    </row>
    <row r="81" spans="1:10" x14ac:dyDescent="0.3">
      <c r="A81" s="2"/>
      <c r="B81" s="54">
        <v>-150</v>
      </c>
      <c r="C81" s="54">
        <v>150</v>
      </c>
      <c r="D81" s="54">
        <v>0</v>
      </c>
      <c r="E81" s="54">
        <v>0</v>
      </c>
      <c r="F81" s="54">
        <v>0</v>
      </c>
      <c r="G81" s="54">
        <v>0</v>
      </c>
      <c r="H81" s="54">
        <v>0</v>
      </c>
      <c r="I81" s="54">
        <v>0</v>
      </c>
      <c r="J81" s="54"/>
    </row>
    <row r="82" spans="1:10" x14ac:dyDescent="0.3">
      <c r="A82" s="2" t="s">
        <v>14</v>
      </c>
      <c r="B82" s="54">
        <v>-963</v>
      </c>
      <c r="C82" s="54">
        <v>-1143</v>
      </c>
      <c r="D82" s="54">
        <v>-1105</v>
      </c>
      <c r="E82" s="54">
        <v>-1028</v>
      </c>
      <c r="F82" s="54">
        <v>-1119</v>
      </c>
      <c r="G82" s="54">
        <v>-1086</v>
      </c>
      <c r="H82" s="54">
        <v>-695</v>
      </c>
      <c r="I82" s="54">
        <v>-758</v>
      </c>
      <c r="J82" s="54">
        <v>-969</v>
      </c>
    </row>
    <row r="83" spans="1:10" x14ac:dyDescent="0.3">
      <c r="A83" s="2"/>
      <c r="B83" s="54">
        <v>3</v>
      </c>
      <c r="C83" s="54">
        <v>10</v>
      </c>
      <c r="D83" s="54">
        <v>13</v>
      </c>
      <c r="E83" s="54">
        <v>3</v>
      </c>
      <c r="F83" s="54">
        <v>0</v>
      </c>
      <c r="G83" s="54">
        <v>0</v>
      </c>
      <c r="H83" s="54">
        <v>0</v>
      </c>
      <c r="I83" s="54">
        <v>0</v>
      </c>
      <c r="J83" s="54"/>
    </row>
    <row r="84" spans="1:10" x14ac:dyDescent="0.3">
      <c r="A84" s="2" t="s">
        <v>79</v>
      </c>
      <c r="B84" s="54">
        <v>0</v>
      </c>
      <c r="C84" s="54">
        <v>6</v>
      </c>
      <c r="D84" s="54">
        <v>-34</v>
      </c>
      <c r="E84" s="54">
        <v>-25</v>
      </c>
      <c r="F84" s="54">
        <v>5</v>
      </c>
      <c r="G84" s="54">
        <v>31</v>
      </c>
      <c r="H84" s="54">
        <v>171</v>
      </c>
      <c r="I84" s="54">
        <v>-19</v>
      </c>
      <c r="J84" s="54">
        <v>52</v>
      </c>
    </row>
    <row r="85" spans="1:10" x14ac:dyDescent="0.3">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3">
      <c r="A86" s="1" t="s">
        <v>81</v>
      </c>
      <c r="B86" s="3"/>
      <c r="C86" s="3"/>
      <c r="D86" s="3"/>
      <c r="E86" s="3"/>
      <c r="F86" s="3"/>
      <c r="G86" s="3"/>
      <c r="H86" s="3"/>
      <c r="I86" s="3"/>
      <c r="J86" s="3"/>
    </row>
    <row r="87" spans="1:10" x14ac:dyDescent="0.3">
      <c r="A87" s="2" t="s">
        <v>82</v>
      </c>
      <c r="B87" s="3">
        <v>0</v>
      </c>
      <c r="C87" s="3">
        <v>981</v>
      </c>
      <c r="D87" s="3">
        <v>1482</v>
      </c>
      <c r="E87" s="3">
        <v>0</v>
      </c>
      <c r="F87" s="3">
        <v>0</v>
      </c>
      <c r="G87" s="3">
        <v>6134</v>
      </c>
      <c r="H87" s="3">
        <v>0</v>
      </c>
      <c r="I87" s="3">
        <v>0</v>
      </c>
      <c r="J87" s="3">
        <v>0</v>
      </c>
    </row>
    <row r="88" spans="1:10" x14ac:dyDescent="0.3">
      <c r="A88" s="2" t="s">
        <v>83</v>
      </c>
      <c r="B88" s="3">
        <v>-63</v>
      </c>
      <c r="C88" s="3">
        <v>-67</v>
      </c>
      <c r="D88" s="3">
        <v>327</v>
      </c>
      <c r="E88" s="3">
        <v>13</v>
      </c>
      <c r="F88" s="3">
        <v>-325</v>
      </c>
      <c r="G88" s="3">
        <v>49</v>
      </c>
      <c r="H88" s="3">
        <v>-52</v>
      </c>
      <c r="I88" s="3">
        <v>15</v>
      </c>
      <c r="J88" s="3">
        <v>-4</v>
      </c>
    </row>
    <row r="89" spans="1:10" x14ac:dyDescent="0.3">
      <c r="A89" s="2" t="s">
        <v>84</v>
      </c>
      <c r="B89" s="3">
        <v>-7</v>
      </c>
      <c r="C89" s="3">
        <v>-106</v>
      </c>
      <c r="D89" s="3">
        <v>-44</v>
      </c>
      <c r="E89" s="3">
        <v>-6</v>
      </c>
      <c r="F89" s="3">
        <v>-6</v>
      </c>
      <c r="G89" s="3">
        <v>-6</v>
      </c>
      <c r="H89" s="3">
        <v>-197</v>
      </c>
      <c r="I89" s="3">
        <v>0</v>
      </c>
      <c r="J89" s="3">
        <v>-500</v>
      </c>
    </row>
    <row r="90" spans="1:10" x14ac:dyDescent="0.3">
      <c r="A90" s="2" t="s">
        <v>85</v>
      </c>
      <c r="B90" s="3">
        <v>514</v>
      </c>
      <c r="C90" s="3">
        <v>507</v>
      </c>
      <c r="D90" s="3">
        <v>489</v>
      </c>
      <c r="E90" s="3">
        <v>733</v>
      </c>
      <c r="F90" s="3">
        <v>700</v>
      </c>
      <c r="G90" s="3">
        <v>885</v>
      </c>
      <c r="H90" s="3">
        <v>1172</v>
      </c>
      <c r="I90" s="3">
        <v>1151</v>
      </c>
      <c r="J90" s="3">
        <v>651</v>
      </c>
    </row>
    <row r="91" spans="1:10" x14ac:dyDescent="0.3">
      <c r="A91" s="2" t="s">
        <v>16</v>
      </c>
      <c r="B91" s="3">
        <v>-2534</v>
      </c>
      <c r="C91" s="3">
        <v>-3238</v>
      </c>
      <c r="D91" s="3">
        <v>-3223</v>
      </c>
      <c r="E91" s="3">
        <v>-4254</v>
      </c>
      <c r="F91" s="3">
        <v>-4286</v>
      </c>
      <c r="G91" s="3">
        <v>-3067</v>
      </c>
      <c r="H91" s="3">
        <v>-608</v>
      </c>
      <c r="I91" s="3">
        <v>-4014</v>
      </c>
      <c r="J91" s="3">
        <v>-5480</v>
      </c>
    </row>
    <row r="92" spans="1:10" x14ac:dyDescent="0.3">
      <c r="A92" s="2" t="s">
        <v>86</v>
      </c>
      <c r="B92" s="3">
        <v>-899</v>
      </c>
      <c r="C92" s="3">
        <v>-1022</v>
      </c>
      <c r="D92" s="3">
        <v>-1133</v>
      </c>
      <c r="E92" s="3">
        <v>-1243</v>
      </c>
      <c r="F92" s="3">
        <v>-1332</v>
      </c>
      <c r="G92" s="3">
        <v>-1452</v>
      </c>
      <c r="H92" s="3">
        <v>-1638</v>
      </c>
      <c r="I92" s="3">
        <v>-1837</v>
      </c>
      <c r="J92" s="3">
        <v>-2012</v>
      </c>
    </row>
    <row r="93" spans="1:10" x14ac:dyDescent="0.3">
      <c r="A93" s="2" t="s">
        <v>87</v>
      </c>
      <c r="B93" s="3">
        <f>(218-19)</f>
        <v>199</v>
      </c>
      <c r="C93" s="3">
        <f>(281-7)</f>
        <v>274</v>
      </c>
      <c r="D93" s="3">
        <f>(-17-29)</f>
        <v>-46</v>
      </c>
      <c r="E93" s="3">
        <f>(-23-55)</f>
        <v>-78</v>
      </c>
      <c r="F93" s="3">
        <v>-44</v>
      </c>
      <c r="G93" s="3">
        <v>-52</v>
      </c>
      <c r="H93" s="3">
        <v>-136</v>
      </c>
      <c r="I93" s="3">
        <v>-151</v>
      </c>
      <c r="J93" s="3">
        <v>-102</v>
      </c>
    </row>
    <row r="94" spans="1:10" x14ac:dyDescent="0.3">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3">
      <c r="A95" s="2" t="s">
        <v>89</v>
      </c>
      <c r="B95" s="54">
        <v>-83</v>
      </c>
      <c r="C95" s="54">
        <v>-105</v>
      </c>
      <c r="D95" s="54">
        <v>-20</v>
      </c>
      <c r="E95" s="54">
        <v>45</v>
      </c>
      <c r="F95" s="54">
        <v>-129</v>
      </c>
      <c r="G95" s="54">
        <v>-66</v>
      </c>
      <c r="H95" s="54">
        <v>143</v>
      </c>
      <c r="I95" s="54">
        <v>-143</v>
      </c>
      <c r="J95" s="54">
        <v>-91</v>
      </c>
    </row>
    <row r="96" spans="1:10" x14ac:dyDescent="0.3">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3">
      <c r="A97" t="s">
        <v>91</v>
      </c>
      <c r="B97" s="3">
        <v>2220</v>
      </c>
      <c r="C97" s="3">
        <v>3852</v>
      </c>
      <c r="D97" s="3">
        <v>3138</v>
      </c>
      <c r="E97" s="3">
        <v>3808</v>
      </c>
      <c r="F97" s="3">
        <v>4249</v>
      </c>
      <c r="G97" s="3">
        <v>4466</v>
      </c>
      <c r="H97" s="3">
        <v>8348</v>
      </c>
      <c r="I97" s="3">
        <f>+H98</f>
        <v>9889</v>
      </c>
      <c r="J97" s="3">
        <f t="shared" ref="J97" si="33">+I98</f>
        <v>8574</v>
      </c>
    </row>
    <row r="98" spans="1:10" ht="15" thickBot="1" x14ac:dyDescent="0.3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5" thickTop="1" x14ac:dyDescent="0.3">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3">
      <c r="A100" t="s">
        <v>93</v>
      </c>
      <c r="B100" s="3"/>
      <c r="C100" s="3"/>
      <c r="D100" s="3"/>
      <c r="E100" s="3"/>
      <c r="F100" s="3"/>
      <c r="G100" s="3"/>
      <c r="H100" s="3"/>
      <c r="I100" s="3"/>
      <c r="J100" s="3"/>
    </row>
    <row r="101" spans="1:10" x14ac:dyDescent="0.3">
      <c r="A101" s="2" t="s">
        <v>17</v>
      </c>
      <c r="B101" s="3"/>
      <c r="C101" s="3"/>
      <c r="D101" s="3"/>
      <c r="E101" s="3"/>
      <c r="F101" s="3"/>
      <c r="G101" s="3"/>
      <c r="H101" s="3"/>
      <c r="I101" s="3"/>
      <c r="J101" s="3"/>
    </row>
    <row r="102" spans="1:10" x14ac:dyDescent="0.3">
      <c r="A102" s="11" t="s">
        <v>94</v>
      </c>
      <c r="B102" s="3">
        <v>53</v>
      </c>
      <c r="C102" s="3">
        <v>70</v>
      </c>
      <c r="D102" s="3">
        <v>98</v>
      </c>
      <c r="E102" s="3">
        <v>125</v>
      </c>
      <c r="F102" s="3">
        <v>153</v>
      </c>
      <c r="G102" s="3">
        <v>140</v>
      </c>
      <c r="H102" s="3">
        <v>293</v>
      </c>
      <c r="I102" s="3">
        <v>290</v>
      </c>
      <c r="J102" s="3">
        <v>347</v>
      </c>
    </row>
    <row r="103" spans="1:10" x14ac:dyDescent="0.3">
      <c r="A103" s="11" t="s">
        <v>18</v>
      </c>
      <c r="B103" s="3">
        <v>1262</v>
      </c>
      <c r="C103" s="3">
        <v>748</v>
      </c>
      <c r="D103" s="3">
        <v>703</v>
      </c>
      <c r="E103" s="3">
        <v>529</v>
      </c>
      <c r="F103" s="3">
        <v>757</v>
      </c>
      <c r="G103" s="3">
        <v>1028</v>
      </c>
      <c r="H103" s="3">
        <v>1177</v>
      </c>
      <c r="I103" s="3">
        <v>1231</v>
      </c>
      <c r="J103" s="3">
        <v>1517</v>
      </c>
    </row>
    <row r="104" spans="1:10" x14ac:dyDescent="0.3">
      <c r="A104" s="11"/>
      <c r="B104" s="3"/>
      <c r="C104" s="3"/>
      <c r="D104" s="3"/>
      <c r="E104" s="3"/>
      <c r="F104" s="3"/>
      <c r="G104" s="3"/>
      <c r="H104" s="3"/>
      <c r="I104" s="3"/>
      <c r="J104" s="3"/>
    </row>
    <row r="105" spans="1:10" x14ac:dyDescent="0.3">
      <c r="A105" s="2" t="s">
        <v>95</v>
      </c>
      <c r="B105" s="56">
        <v>206</v>
      </c>
      <c r="C105" s="56">
        <v>252</v>
      </c>
      <c r="D105" s="56">
        <v>266</v>
      </c>
      <c r="E105" s="56">
        <v>294</v>
      </c>
      <c r="F105" s="56">
        <v>160</v>
      </c>
      <c r="G105" s="56">
        <v>121</v>
      </c>
      <c r="H105" s="56">
        <v>179</v>
      </c>
      <c r="I105" s="56">
        <v>160</v>
      </c>
      <c r="J105" s="56">
        <v>211</v>
      </c>
    </row>
    <row r="106" spans="1:10" x14ac:dyDescent="0.3">
      <c r="A106" s="2" t="s">
        <v>96</v>
      </c>
      <c r="B106" s="3">
        <v>240</v>
      </c>
      <c r="C106" s="3">
        <v>271</v>
      </c>
      <c r="D106" s="3">
        <v>300</v>
      </c>
      <c r="E106" s="3">
        <v>320</v>
      </c>
      <c r="F106" s="3">
        <v>347</v>
      </c>
      <c r="G106" s="3">
        <v>385</v>
      </c>
      <c r="H106" s="3">
        <v>438</v>
      </c>
      <c r="I106" s="3">
        <v>480</v>
      </c>
      <c r="J106" s="3">
        <v>524</v>
      </c>
    </row>
    <row r="108" spans="1:10" x14ac:dyDescent="0.3">
      <c r="A108" s="14" t="s">
        <v>99</v>
      </c>
      <c r="B108" s="14"/>
      <c r="C108" s="14"/>
      <c r="D108" s="14"/>
      <c r="E108" s="14"/>
      <c r="F108" s="14"/>
      <c r="G108" s="14"/>
      <c r="H108" s="14"/>
      <c r="I108" s="14"/>
      <c r="J108" s="14"/>
    </row>
    <row r="109" spans="1:10" x14ac:dyDescent="0.3">
      <c r="A109" s="27" t="s">
        <v>109</v>
      </c>
      <c r="B109" s="3"/>
      <c r="C109" s="3"/>
      <c r="D109" s="3"/>
      <c r="E109" s="3"/>
      <c r="F109" s="3"/>
      <c r="G109" s="3"/>
      <c r="H109" s="3"/>
      <c r="I109" s="3"/>
      <c r="J109" s="3"/>
    </row>
    <row r="110" spans="1:10" x14ac:dyDescent="0.3">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3">
      <c r="A111" s="11" t="s">
        <v>113</v>
      </c>
      <c r="B111" s="57">
        <v>8506</v>
      </c>
      <c r="C111" s="57">
        <v>9299</v>
      </c>
      <c r="D111" s="57">
        <v>9684</v>
      </c>
      <c r="E111" s="57">
        <v>9322</v>
      </c>
      <c r="F111" s="57">
        <v>10045</v>
      </c>
      <c r="G111" s="57">
        <v>9329</v>
      </c>
      <c r="H111" s="58">
        <v>11644</v>
      </c>
      <c r="I111" s="58">
        <v>12228</v>
      </c>
      <c r="J111" s="58">
        <v>14897</v>
      </c>
    </row>
    <row r="112" spans="1:10" x14ac:dyDescent="0.3">
      <c r="A112" s="11" t="s">
        <v>114</v>
      </c>
      <c r="B112" s="57">
        <v>4410</v>
      </c>
      <c r="C112" s="57">
        <v>4746</v>
      </c>
      <c r="D112" s="57">
        <v>4886</v>
      </c>
      <c r="E112" s="57">
        <v>4938</v>
      </c>
      <c r="F112" s="57">
        <v>5260</v>
      </c>
      <c r="G112" s="57">
        <v>4639</v>
      </c>
      <c r="H112" s="58">
        <v>5028</v>
      </c>
      <c r="I112" s="58">
        <v>5492</v>
      </c>
      <c r="J112" s="58">
        <v>5947</v>
      </c>
    </row>
    <row r="113" spans="1:10" x14ac:dyDescent="0.3">
      <c r="A113" s="11" t="s">
        <v>115</v>
      </c>
      <c r="B113" s="57">
        <v>824</v>
      </c>
      <c r="C113" s="57">
        <v>719</v>
      </c>
      <c r="D113" s="57">
        <v>646</v>
      </c>
      <c r="E113" s="57">
        <v>595</v>
      </c>
      <c r="F113" s="57">
        <v>597</v>
      </c>
      <c r="G113" s="57">
        <v>516</v>
      </c>
      <c r="H113" s="57">
        <v>507</v>
      </c>
      <c r="I113" s="57">
        <v>633</v>
      </c>
      <c r="J113" s="57">
        <v>764</v>
      </c>
    </row>
    <row r="114" spans="1:10" x14ac:dyDescent="0.3">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3">
      <c r="A115" s="11" t="s">
        <v>113</v>
      </c>
      <c r="B115">
        <f>3876+827</f>
        <v>4703</v>
      </c>
      <c r="C115">
        <f>882+3985</f>
        <v>4867</v>
      </c>
      <c r="D115">
        <v>5192</v>
      </c>
      <c r="E115">
        <v>5875</v>
      </c>
      <c r="F115">
        <v>6293</v>
      </c>
      <c r="G115">
        <v>5892</v>
      </c>
      <c r="H115" s="8">
        <v>6970</v>
      </c>
      <c r="I115" s="8">
        <v>7388</v>
      </c>
      <c r="J115" s="8">
        <v>8260</v>
      </c>
    </row>
    <row r="116" spans="1:10" x14ac:dyDescent="0.3">
      <c r="A116" s="11" t="s">
        <v>114</v>
      </c>
      <c r="B116">
        <f>1552+499</f>
        <v>2051</v>
      </c>
      <c r="C116">
        <f>1628+463</f>
        <v>2091</v>
      </c>
      <c r="D116">
        <v>2395</v>
      </c>
      <c r="E116">
        <v>2940</v>
      </c>
      <c r="F116">
        <v>3087</v>
      </c>
      <c r="G116">
        <v>3053</v>
      </c>
      <c r="H116" s="8">
        <v>3996</v>
      </c>
      <c r="I116" s="8">
        <v>4527</v>
      </c>
      <c r="J116" s="8">
        <v>4566</v>
      </c>
    </row>
    <row r="117" spans="1:10" x14ac:dyDescent="0.3">
      <c r="A117" s="11" t="s">
        <v>115</v>
      </c>
      <c r="B117">
        <f>277+95</f>
        <v>372</v>
      </c>
      <c r="C117">
        <f>271+86</f>
        <v>357</v>
      </c>
      <c r="D117">
        <v>383</v>
      </c>
      <c r="E117">
        <v>427</v>
      </c>
      <c r="F117">
        <v>432</v>
      </c>
      <c r="G117">
        <v>402</v>
      </c>
      <c r="H117">
        <v>490</v>
      </c>
      <c r="I117">
        <v>564</v>
      </c>
      <c r="J117">
        <v>592</v>
      </c>
    </row>
    <row r="118" spans="1:10" x14ac:dyDescent="0.3">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3">
      <c r="A119" s="11" t="s">
        <v>113</v>
      </c>
      <c r="B119">
        <v>2016</v>
      </c>
      <c r="C119">
        <v>2599</v>
      </c>
      <c r="D119">
        <v>2920</v>
      </c>
      <c r="E119">
        <v>3496</v>
      </c>
      <c r="F119">
        <v>4262</v>
      </c>
      <c r="G119">
        <v>4635</v>
      </c>
      <c r="H119" s="8">
        <v>5748</v>
      </c>
      <c r="I119" s="8">
        <v>5416</v>
      </c>
      <c r="J119" s="8">
        <v>5435</v>
      </c>
    </row>
    <row r="120" spans="1:10" x14ac:dyDescent="0.3">
      <c r="A120" s="11" t="s">
        <v>114</v>
      </c>
      <c r="B120">
        <v>925</v>
      </c>
      <c r="C120">
        <v>1055</v>
      </c>
      <c r="D120">
        <v>1188</v>
      </c>
      <c r="E120">
        <v>1508</v>
      </c>
      <c r="F120">
        <v>1808</v>
      </c>
      <c r="G120">
        <v>1896</v>
      </c>
      <c r="H120" s="8">
        <v>2347</v>
      </c>
      <c r="I120" s="8">
        <v>1938</v>
      </c>
      <c r="J120" s="8">
        <v>1666</v>
      </c>
    </row>
    <row r="121" spans="1:10" x14ac:dyDescent="0.3">
      <c r="A121" s="11" t="s">
        <v>115</v>
      </c>
      <c r="B121">
        <v>126</v>
      </c>
      <c r="C121">
        <v>131</v>
      </c>
      <c r="D121">
        <v>129</v>
      </c>
      <c r="E121">
        <v>130</v>
      </c>
      <c r="F121">
        <v>138</v>
      </c>
      <c r="G121">
        <v>148</v>
      </c>
      <c r="H121">
        <v>195</v>
      </c>
      <c r="I121">
        <v>193</v>
      </c>
      <c r="J121" s="8">
        <v>147</v>
      </c>
    </row>
    <row r="122" spans="1:10" x14ac:dyDescent="0.3">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3">
      <c r="A123" s="11" t="s">
        <v>113</v>
      </c>
      <c r="B123" s="57">
        <v>3093</v>
      </c>
      <c r="C123" s="57">
        <v>3106</v>
      </c>
      <c r="D123" s="57">
        <v>3285</v>
      </c>
      <c r="E123" s="57">
        <v>3575</v>
      </c>
      <c r="F123" s="57">
        <v>3622</v>
      </c>
      <c r="G123" s="57">
        <v>3449</v>
      </c>
      <c r="H123" s="58">
        <v>3659</v>
      </c>
      <c r="I123" s="58">
        <v>4111</v>
      </c>
      <c r="J123" s="58">
        <v>4543</v>
      </c>
    </row>
    <row r="124" spans="1:10" x14ac:dyDescent="0.3">
      <c r="A124" s="11" t="s">
        <v>114</v>
      </c>
      <c r="B124" s="57">
        <v>1251</v>
      </c>
      <c r="C124" s="57">
        <v>1175</v>
      </c>
      <c r="D124" s="57">
        <v>1185</v>
      </c>
      <c r="E124" s="57">
        <v>1347</v>
      </c>
      <c r="F124" s="57">
        <v>1395</v>
      </c>
      <c r="G124" s="57">
        <v>1365</v>
      </c>
      <c r="H124" s="58">
        <v>1494</v>
      </c>
      <c r="I124" s="58">
        <v>1610</v>
      </c>
      <c r="J124" s="58">
        <v>1664</v>
      </c>
    </row>
    <row r="125" spans="1:10" x14ac:dyDescent="0.3">
      <c r="A125" s="11" t="s">
        <v>115</v>
      </c>
      <c r="B125" s="57">
        <v>309</v>
      </c>
      <c r="C125" s="57">
        <v>289</v>
      </c>
      <c r="D125" s="57">
        <v>267</v>
      </c>
      <c r="E125" s="57">
        <v>244</v>
      </c>
      <c r="F125" s="57">
        <v>237</v>
      </c>
      <c r="G125" s="57">
        <v>214</v>
      </c>
      <c r="H125" s="57">
        <v>190</v>
      </c>
      <c r="I125" s="57">
        <v>234</v>
      </c>
      <c r="J125" s="57">
        <v>224</v>
      </c>
    </row>
    <row r="126" spans="1:10" x14ac:dyDescent="0.3">
      <c r="A126" s="2" t="s">
        <v>107</v>
      </c>
      <c r="B126" s="49">
        <v>115</v>
      </c>
      <c r="C126" s="49">
        <v>73</v>
      </c>
      <c r="D126" s="49">
        <v>73</v>
      </c>
      <c r="E126" s="49">
        <v>88</v>
      </c>
      <c r="F126" s="49">
        <v>42</v>
      </c>
      <c r="G126" s="49">
        <v>30</v>
      </c>
      <c r="H126" s="49">
        <v>25</v>
      </c>
      <c r="I126" s="49">
        <v>102</v>
      </c>
      <c r="J126" s="49">
        <v>58</v>
      </c>
    </row>
    <row r="127" spans="1:10" x14ac:dyDescent="0.3">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3">
      <c r="A128" s="2" t="s">
        <v>104</v>
      </c>
      <c r="B128" s="54">
        <v>1982</v>
      </c>
      <c r="C128" s="54">
        <v>1955</v>
      </c>
      <c r="D128" s="54">
        <v>2042</v>
      </c>
      <c r="E128" s="54">
        <v>1886</v>
      </c>
      <c r="F128" s="54">
        <v>1906</v>
      </c>
      <c r="G128" s="54">
        <v>1846</v>
      </c>
      <c r="H128" s="54">
        <v>2205</v>
      </c>
      <c r="I128" s="54">
        <v>2346</v>
      </c>
      <c r="J128" s="54">
        <f>SUM(J129:J132)</f>
        <v>2427</v>
      </c>
    </row>
    <row r="129" spans="1:10" x14ac:dyDescent="0.3">
      <c r="A129" s="11" t="s">
        <v>113</v>
      </c>
      <c r="B129" s="59">
        <v>18318</v>
      </c>
      <c r="C129" s="59">
        <v>19871</v>
      </c>
      <c r="D129" s="59">
        <v>21081</v>
      </c>
      <c r="E129" s="59">
        <v>22268</v>
      </c>
      <c r="F129" s="57">
        <v>1658</v>
      </c>
      <c r="G129" s="57">
        <v>1642</v>
      </c>
      <c r="H129" s="54">
        <v>1986</v>
      </c>
      <c r="I129" s="54">
        <v>2094</v>
      </c>
      <c r="J129" s="54">
        <v>2155</v>
      </c>
    </row>
    <row r="130" spans="1:10" x14ac:dyDescent="0.3">
      <c r="A130" s="11" t="s">
        <v>114</v>
      </c>
      <c r="B130" s="59">
        <v>8637</v>
      </c>
      <c r="C130" s="59">
        <v>9067</v>
      </c>
      <c r="D130" s="59">
        <v>9654</v>
      </c>
      <c r="E130" s="59">
        <v>10733</v>
      </c>
      <c r="F130" s="54">
        <v>118</v>
      </c>
      <c r="G130" s="54">
        <v>89</v>
      </c>
      <c r="H130" s="54">
        <v>104</v>
      </c>
      <c r="I130" s="54">
        <v>103</v>
      </c>
      <c r="J130" s="54">
        <v>90</v>
      </c>
    </row>
    <row r="131" spans="1:10" x14ac:dyDescent="0.3">
      <c r="A131" s="11" t="s">
        <v>115</v>
      </c>
      <c r="B131" s="59">
        <v>1631</v>
      </c>
      <c r="C131" s="59">
        <v>1496</v>
      </c>
      <c r="D131" s="59">
        <v>1425</v>
      </c>
      <c r="E131" s="59">
        <v>1396</v>
      </c>
      <c r="F131" s="54">
        <v>24</v>
      </c>
      <c r="G131" s="54">
        <v>25</v>
      </c>
      <c r="H131" s="54">
        <v>29</v>
      </c>
      <c r="I131" s="54">
        <v>26</v>
      </c>
      <c r="J131" s="54">
        <v>28</v>
      </c>
    </row>
    <row r="132" spans="1:10" x14ac:dyDescent="0.3">
      <c r="A132" s="11" t="s">
        <v>121</v>
      </c>
      <c r="B132" s="59">
        <v>115</v>
      </c>
      <c r="C132" s="59">
        <v>73</v>
      </c>
      <c r="D132" s="59">
        <v>73</v>
      </c>
      <c r="E132" s="59">
        <v>88</v>
      </c>
      <c r="F132" s="54">
        <v>106</v>
      </c>
      <c r="G132" s="54">
        <v>90</v>
      </c>
      <c r="H132" s="54">
        <v>86</v>
      </c>
      <c r="I132" s="54">
        <v>123</v>
      </c>
      <c r="J132" s="54">
        <v>154</v>
      </c>
    </row>
    <row r="133" spans="1:10" x14ac:dyDescent="0.3">
      <c r="A133" s="2" t="s">
        <v>108</v>
      </c>
      <c r="B133" s="54">
        <v>-82</v>
      </c>
      <c r="C133" s="54">
        <v>-86</v>
      </c>
      <c r="D133" s="54">
        <v>75</v>
      </c>
      <c r="E133" s="54">
        <v>26</v>
      </c>
      <c r="F133" s="54">
        <v>-7</v>
      </c>
      <c r="G133" s="54">
        <v>-11</v>
      </c>
      <c r="H133" s="54">
        <v>40</v>
      </c>
      <c r="I133" s="54">
        <v>-72</v>
      </c>
      <c r="J133" s="54">
        <v>27</v>
      </c>
    </row>
    <row r="134" spans="1:10" ht="15" thickBot="1" x14ac:dyDescent="0.3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5" thickTop="1" x14ac:dyDescent="0.3">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3">
      <c r="A136" s="1" t="s">
        <v>110</v>
      </c>
    </row>
    <row r="137" spans="1:10" x14ac:dyDescent="0.3">
      <c r="A137" s="2" t="s">
        <v>100</v>
      </c>
      <c r="B137" s="3">
        <v>3645</v>
      </c>
      <c r="C137" s="3">
        <v>3763</v>
      </c>
      <c r="D137" s="3">
        <v>3875</v>
      </c>
      <c r="E137" s="3">
        <v>3600</v>
      </c>
      <c r="F137" s="3">
        <v>3925</v>
      </c>
      <c r="G137" s="3">
        <v>2899</v>
      </c>
      <c r="H137" s="3">
        <v>5089</v>
      </c>
      <c r="I137" s="3">
        <v>5114</v>
      </c>
      <c r="J137" s="3">
        <v>5454</v>
      </c>
    </row>
    <row r="138" spans="1:10" x14ac:dyDescent="0.3">
      <c r="A138" s="2" t="s">
        <v>101</v>
      </c>
      <c r="B138" s="3">
        <v>1524</v>
      </c>
      <c r="C138" s="3">
        <v>1787</v>
      </c>
      <c r="D138" s="3">
        <v>1507</v>
      </c>
      <c r="E138" s="3">
        <v>1587</v>
      </c>
      <c r="F138" s="3">
        <v>1995</v>
      </c>
      <c r="G138" s="3">
        <v>1541</v>
      </c>
      <c r="H138" s="3">
        <v>2435</v>
      </c>
      <c r="I138" s="3">
        <v>3293</v>
      </c>
      <c r="J138" s="3">
        <v>3531</v>
      </c>
    </row>
    <row r="139" spans="1:10" x14ac:dyDescent="0.3">
      <c r="A139" s="2" t="s">
        <v>102</v>
      </c>
      <c r="B139" s="3">
        <v>993</v>
      </c>
      <c r="C139" s="3">
        <v>1372</v>
      </c>
      <c r="D139" s="3">
        <v>1507</v>
      </c>
      <c r="E139" s="3">
        <v>1807</v>
      </c>
      <c r="F139" s="3">
        <v>2376</v>
      </c>
      <c r="G139" s="3">
        <v>2490</v>
      </c>
      <c r="H139" s="3">
        <v>3243</v>
      </c>
      <c r="I139" s="3">
        <v>2365</v>
      </c>
      <c r="J139" s="3">
        <v>2283</v>
      </c>
    </row>
    <row r="140" spans="1:10" x14ac:dyDescent="0.3">
      <c r="A140" s="2" t="s">
        <v>106</v>
      </c>
      <c r="B140" s="3">
        <v>918</v>
      </c>
      <c r="C140" s="3">
        <v>1002</v>
      </c>
      <c r="D140" s="3">
        <v>980</v>
      </c>
      <c r="E140" s="3">
        <v>1189</v>
      </c>
      <c r="F140" s="3">
        <v>1323</v>
      </c>
      <c r="G140" s="3">
        <v>1184</v>
      </c>
      <c r="H140" s="3">
        <v>1530</v>
      </c>
      <c r="I140" s="3">
        <v>1896</v>
      </c>
      <c r="J140" s="3">
        <v>1932</v>
      </c>
    </row>
    <row r="141" spans="1:10" x14ac:dyDescent="0.3">
      <c r="A141" s="2" t="s">
        <v>107</v>
      </c>
      <c r="B141" s="3">
        <v>-2263</v>
      </c>
      <c r="C141" s="3">
        <v>-2596</v>
      </c>
      <c r="D141" s="3">
        <v>-2677</v>
      </c>
      <c r="E141" s="3">
        <v>-2658</v>
      </c>
      <c r="F141" s="3">
        <v>-3262</v>
      </c>
      <c r="G141" s="3">
        <v>-3468</v>
      </c>
      <c r="H141" s="3">
        <v>-3656</v>
      </c>
      <c r="I141" s="3">
        <v>-4262</v>
      </c>
      <c r="J141" s="3">
        <v>-4841</v>
      </c>
    </row>
    <row r="142" spans="1:10" x14ac:dyDescent="0.3">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3">
      <c r="A143" s="2" t="s">
        <v>104</v>
      </c>
      <c r="B143" s="54">
        <v>517</v>
      </c>
      <c r="C143" s="54">
        <v>487</v>
      </c>
      <c r="D143" s="54">
        <v>477</v>
      </c>
      <c r="E143" s="54">
        <v>310</v>
      </c>
      <c r="F143" s="54">
        <v>303</v>
      </c>
      <c r="G143" s="54">
        <v>297</v>
      </c>
      <c r="H143" s="54">
        <v>543</v>
      </c>
      <c r="I143" s="54">
        <v>669</v>
      </c>
      <c r="J143" s="54">
        <v>676</v>
      </c>
    </row>
    <row r="144" spans="1:10" x14ac:dyDescent="0.3">
      <c r="A144" s="2" t="s">
        <v>108</v>
      </c>
      <c r="B144" s="54">
        <v>-1101</v>
      </c>
      <c r="C144" s="54">
        <v>-1173</v>
      </c>
      <c r="D144" s="54">
        <v>-724</v>
      </c>
      <c r="E144" s="54">
        <v>-1456</v>
      </c>
      <c r="F144" s="54">
        <v>-1810</v>
      </c>
      <c r="G144" s="54">
        <v>-1967</v>
      </c>
      <c r="H144" s="54">
        <v>-2261</v>
      </c>
      <c r="I144" s="54">
        <v>-2219</v>
      </c>
      <c r="J144" s="54">
        <v>-2840</v>
      </c>
    </row>
    <row r="145" spans="1:10" ht="15" thickBot="1" x14ac:dyDescent="0.3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5" thickTop="1" x14ac:dyDescent="0.3">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3">
      <c r="A147" s="1" t="s">
        <v>117</v>
      </c>
    </row>
    <row r="148" spans="1:10" x14ac:dyDescent="0.3">
      <c r="A148" s="2" t="s">
        <v>100</v>
      </c>
      <c r="B148" s="54">
        <v>632</v>
      </c>
      <c r="C148" s="54">
        <v>742</v>
      </c>
      <c r="D148" s="54">
        <v>819</v>
      </c>
      <c r="E148" s="54">
        <v>848</v>
      </c>
      <c r="F148" s="54">
        <v>814</v>
      </c>
      <c r="G148" s="54">
        <v>645</v>
      </c>
      <c r="H148" s="54">
        <v>617</v>
      </c>
      <c r="I148" s="54">
        <v>639</v>
      </c>
      <c r="J148" s="54">
        <v>794</v>
      </c>
    </row>
    <row r="149" spans="1:10" x14ac:dyDescent="0.3">
      <c r="A149" s="2" t="s">
        <v>101</v>
      </c>
      <c r="B149" s="54">
        <v>498</v>
      </c>
      <c r="C149" s="54">
        <v>639</v>
      </c>
      <c r="D149" s="54">
        <v>706</v>
      </c>
      <c r="E149" s="54">
        <v>849</v>
      </c>
      <c r="F149" s="54">
        <v>929</v>
      </c>
      <c r="G149" s="54">
        <v>885</v>
      </c>
      <c r="H149" s="54">
        <v>982</v>
      </c>
      <c r="I149" s="54">
        <v>920</v>
      </c>
      <c r="J149" s="54">
        <v>1009</v>
      </c>
    </row>
    <row r="150" spans="1:10" x14ac:dyDescent="0.3">
      <c r="A150" s="2" t="s">
        <v>102</v>
      </c>
      <c r="B150" s="54">
        <v>254</v>
      </c>
      <c r="C150" s="54">
        <v>234</v>
      </c>
      <c r="D150" s="54">
        <v>225</v>
      </c>
      <c r="E150" s="54">
        <v>256</v>
      </c>
      <c r="F150" s="54">
        <v>237</v>
      </c>
      <c r="G150" s="54">
        <v>214</v>
      </c>
      <c r="H150" s="54">
        <v>288</v>
      </c>
      <c r="I150" s="54">
        <v>303</v>
      </c>
      <c r="J150" s="54">
        <v>292</v>
      </c>
    </row>
    <row r="151" spans="1:10" x14ac:dyDescent="0.3">
      <c r="A151" s="2" t="s">
        <v>118</v>
      </c>
      <c r="B151" s="54">
        <v>308</v>
      </c>
      <c r="C151" s="54">
        <v>332</v>
      </c>
      <c r="D151" s="54">
        <v>343</v>
      </c>
      <c r="E151" s="54">
        <v>339</v>
      </c>
      <c r="F151" s="54">
        <v>326</v>
      </c>
      <c r="G151" s="54">
        <v>296</v>
      </c>
      <c r="H151" s="54">
        <v>304</v>
      </c>
      <c r="I151" s="54">
        <v>274</v>
      </c>
      <c r="J151" s="54">
        <v>279</v>
      </c>
    </row>
    <row r="152" spans="1:10" x14ac:dyDescent="0.3">
      <c r="A152" s="2" t="s">
        <v>107</v>
      </c>
      <c r="B152" s="54">
        <v>484</v>
      </c>
      <c r="C152" s="54">
        <v>511</v>
      </c>
      <c r="D152" s="54">
        <v>533</v>
      </c>
      <c r="E152" s="54">
        <v>597</v>
      </c>
      <c r="F152" s="54">
        <v>665</v>
      </c>
      <c r="G152" s="54">
        <v>830</v>
      </c>
      <c r="H152" s="54">
        <v>780</v>
      </c>
      <c r="I152" s="54">
        <v>789</v>
      </c>
      <c r="J152" s="54">
        <v>840</v>
      </c>
    </row>
    <row r="153" spans="1:10" x14ac:dyDescent="0.3">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3">
      <c r="A154" s="2" t="s">
        <v>104</v>
      </c>
      <c r="B154" s="54">
        <v>122</v>
      </c>
      <c r="C154" s="54">
        <v>125</v>
      </c>
      <c r="D154" s="54">
        <v>125</v>
      </c>
      <c r="E154" s="54">
        <v>115</v>
      </c>
      <c r="F154" s="54">
        <v>100</v>
      </c>
      <c r="G154" s="54">
        <v>80</v>
      </c>
      <c r="H154" s="54">
        <v>63</v>
      </c>
      <c r="I154" s="54">
        <v>49</v>
      </c>
      <c r="J154" s="54">
        <v>38</v>
      </c>
    </row>
    <row r="155" spans="1:10" x14ac:dyDescent="0.3">
      <c r="A155" s="2" t="s">
        <v>108</v>
      </c>
      <c r="B155" s="54">
        <v>713</v>
      </c>
      <c r="C155" s="54">
        <v>937</v>
      </c>
      <c r="D155" s="54">
        <v>1238</v>
      </c>
      <c r="E155" s="54">
        <v>1450</v>
      </c>
      <c r="F155" s="54">
        <v>1673</v>
      </c>
      <c r="G155" s="54">
        <v>1916</v>
      </c>
      <c r="H155" s="54">
        <v>1870</v>
      </c>
      <c r="I155" s="54">
        <v>1817</v>
      </c>
      <c r="J155" s="54">
        <v>1829</v>
      </c>
    </row>
    <row r="156" spans="1:10" ht="15" thickBot="1" x14ac:dyDescent="0.3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5" thickTop="1" x14ac:dyDescent="0.3">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3">
      <c r="A158" s="1" t="s">
        <v>122</v>
      </c>
    </row>
    <row r="159" spans="1:10" x14ac:dyDescent="0.3">
      <c r="A159" s="2" t="s">
        <v>100</v>
      </c>
      <c r="B159" s="54">
        <v>208</v>
      </c>
      <c r="C159" s="54">
        <v>242</v>
      </c>
      <c r="D159" s="54">
        <v>223</v>
      </c>
      <c r="E159" s="54">
        <v>196</v>
      </c>
      <c r="F159" s="54">
        <v>117</v>
      </c>
      <c r="G159" s="54">
        <v>110</v>
      </c>
      <c r="H159" s="54">
        <v>98</v>
      </c>
      <c r="I159" s="54">
        <v>146</v>
      </c>
      <c r="J159" s="54">
        <f>283-67</f>
        <v>216</v>
      </c>
    </row>
    <row r="160" spans="1:10" x14ac:dyDescent="0.3">
      <c r="A160" s="2" t="s">
        <v>101</v>
      </c>
      <c r="B160" s="54">
        <v>236</v>
      </c>
      <c r="C160" s="54">
        <v>232</v>
      </c>
      <c r="D160" s="54">
        <v>172</v>
      </c>
      <c r="E160" s="54">
        <v>240</v>
      </c>
      <c r="F160" s="54">
        <v>233</v>
      </c>
      <c r="G160" s="54">
        <v>139</v>
      </c>
      <c r="H160" s="54">
        <v>153</v>
      </c>
      <c r="I160" s="54">
        <v>197</v>
      </c>
      <c r="J160" s="54">
        <v>215</v>
      </c>
    </row>
    <row r="161" spans="1:10" x14ac:dyDescent="0.3">
      <c r="A161" s="2" t="s">
        <v>102</v>
      </c>
      <c r="B161" s="54">
        <v>69</v>
      </c>
      <c r="C161" s="54">
        <v>44</v>
      </c>
      <c r="D161" s="54">
        <v>51</v>
      </c>
      <c r="E161" s="54">
        <v>76</v>
      </c>
      <c r="F161" s="54">
        <v>49</v>
      </c>
      <c r="G161" s="54">
        <v>28</v>
      </c>
      <c r="H161" s="54">
        <v>94</v>
      </c>
      <c r="I161" s="54">
        <v>78</v>
      </c>
      <c r="J161" s="54">
        <v>56</v>
      </c>
    </row>
    <row r="162" spans="1:10" x14ac:dyDescent="0.3">
      <c r="A162" s="2" t="s">
        <v>118</v>
      </c>
      <c r="B162" s="54">
        <v>52</v>
      </c>
      <c r="C162" s="54">
        <v>64</v>
      </c>
      <c r="D162" s="54">
        <v>60</v>
      </c>
      <c r="E162" s="54">
        <v>49</v>
      </c>
      <c r="F162" s="54">
        <v>47</v>
      </c>
      <c r="G162" s="54">
        <v>41</v>
      </c>
      <c r="H162" s="54">
        <v>54</v>
      </c>
      <c r="I162" s="54">
        <v>56</v>
      </c>
      <c r="J162" s="54">
        <v>64</v>
      </c>
    </row>
    <row r="163" spans="1:10" x14ac:dyDescent="0.3">
      <c r="A163" s="2" t="s">
        <v>107</v>
      </c>
      <c r="B163" s="54">
        <v>225</v>
      </c>
      <c r="C163" s="54">
        <v>258</v>
      </c>
      <c r="D163" s="54">
        <v>278</v>
      </c>
      <c r="E163" s="54">
        <v>286</v>
      </c>
      <c r="F163" s="54">
        <v>278</v>
      </c>
      <c r="G163" s="54">
        <v>438</v>
      </c>
      <c r="H163" s="54">
        <v>278</v>
      </c>
      <c r="I163" s="54">
        <v>222</v>
      </c>
      <c r="J163" s="54">
        <v>271</v>
      </c>
    </row>
    <row r="164" spans="1:10" x14ac:dyDescent="0.3">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3">
      <c r="A165" s="2" t="s">
        <v>104</v>
      </c>
      <c r="B165" s="54">
        <v>69</v>
      </c>
      <c r="C165" s="54">
        <v>39</v>
      </c>
      <c r="D165" s="54">
        <v>30</v>
      </c>
      <c r="E165" s="54">
        <v>22</v>
      </c>
      <c r="F165" s="54">
        <v>18</v>
      </c>
      <c r="G165" s="54">
        <v>12</v>
      </c>
      <c r="H165" s="3">
        <v>7</v>
      </c>
      <c r="I165" s="3">
        <v>9</v>
      </c>
      <c r="J165" s="3">
        <v>7</v>
      </c>
    </row>
    <row r="166" spans="1:10" x14ac:dyDescent="0.3">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5" thickBot="1" x14ac:dyDescent="0.3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5" thickTop="1" x14ac:dyDescent="0.3">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3">
      <c r="A169" s="1" t="s">
        <v>124</v>
      </c>
    </row>
    <row r="170" spans="1:10" x14ac:dyDescent="0.3">
      <c r="A170" s="2" t="s">
        <v>100</v>
      </c>
      <c r="B170" s="3">
        <v>121</v>
      </c>
      <c r="C170" s="3">
        <v>133</v>
      </c>
      <c r="D170" s="3">
        <v>140</v>
      </c>
      <c r="E170" s="3">
        <v>160</v>
      </c>
      <c r="F170" s="3">
        <v>149</v>
      </c>
      <c r="G170" s="3">
        <v>148</v>
      </c>
      <c r="H170" s="3">
        <v>130</v>
      </c>
      <c r="I170" s="3">
        <v>124</v>
      </c>
      <c r="J170" s="3">
        <v>128</v>
      </c>
    </row>
    <row r="171" spans="1:10" x14ac:dyDescent="0.3">
      <c r="A171" s="2" t="s">
        <v>101</v>
      </c>
      <c r="B171" s="3">
        <v>87</v>
      </c>
      <c r="C171" s="3">
        <v>84</v>
      </c>
      <c r="D171" s="3">
        <v>104</v>
      </c>
      <c r="E171" s="3">
        <v>116</v>
      </c>
      <c r="F171" s="3">
        <v>111</v>
      </c>
      <c r="G171" s="3">
        <v>132</v>
      </c>
      <c r="H171" s="3">
        <v>136</v>
      </c>
      <c r="I171" s="3">
        <v>134</v>
      </c>
      <c r="J171" s="3">
        <v>120</v>
      </c>
    </row>
    <row r="172" spans="1:10" x14ac:dyDescent="0.3">
      <c r="A172" s="2" t="s">
        <v>102</v>
      </c>
      <c r="B172" s="3">
        <v>46</v>
      </c>
      <c r="C172" s="3">
        <v>48</v>
      </c>
      <c r="D172" s="3">
        <v>54</v>
      </c>
      <c r="E172" s="3">
        <v>56</v>
      </c>
      <c r="F172" s="3">
        <v>50</v>
      </c>
      <c r="G172" s="3">
        <v>44</v>
      </c>
      <c r="H172" s="3">
        <v>46</v>
      </c>
      <c r="I172" s="3">
        <v>41</v>
      </c>
      <c r="J172" s="3">
        <v>54</v>
      </c>
    </row>
    <row r="173" spans="1:10" x14ac:dyDescent="0.3">
      <c r="A173" s="2" t="s">
        <v>106</v>
      </c>
      <c r="B173" s="3">
        <v>49</v>
      </c>
      <c r="C173" s="3">
        <v>43</v>
      </c>
      <c r="D173" s="3">
        <v>56</v>
      </c>
      <c r="E173" s="3">
        <v>55</v>
      </c>
      <c r="F173" s="3">
        <v>53</v>
      </c>
      <c r="G173" s="3">
        <v>46</v>
      </c>
      <c r="H173" s="3">
        <v>43</v>
      </c>
      <c r="I173" s="3">
        <v>42</v>
      </c>
      <c r="J173" s="3">
        <v>42</v>
      </c>
    </row>
    <row r="174" spans="1:10" x14ac:dyDescent="0.3">
      <c r="A174" s="2" t="s">
        <v>107</v>
      </c>
      <c r="B174" s="3">
        <v>210</v>
      </c>
      <c r="C174" s="3">
        <v>230</v>
      </c>
      <c r="D174" s="3">
        <v>233</v>
      </c>
      <c r="E174" s="3">
        <v>217</v>
      </c>
      <c r="F174" s="3">
        <v>195</v>
      </c>
      <c r="G174" s="3">
        <v>214</v>
      </c>
      <c r="H174" s="3">
        <v>222</v>
      </c>
      <c r="I174" s="3">
        <v>220</v>
      </c>
      <c r="J174" s="3">
        <v>211</v>
      </c>
    </row>
    <row r="175" spans="1:10" x14ac:dyDescent="0.3">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3">
      <c r="A176" s="2" t="s">
        <v>104</v>
      </c>
      <c r="B176" s="3">
        <v>18</v>
      </c>
      <c r="C176" s="3">
        <v>27</v>
      </c>
      <c r="D176" s="3">
        <v>28</v>
      </c>
      <c r="E176" s="3">
        <v>33</v>
      </c>
      <c r="F176" s="3">
        <v>31</v>
      </c>
      <c r="G176" s="3">
        <v>25</v>
      </c>
      <c r="H176" s="3">
        <v>26</v>
      </c>
      <c r="I176" s="3">
        <v>22</v>
      </c>
      <c r="J176" s="3">
        <v>17</v>
      </c>
    </row>
    <row r="177" spans="1:10" x14ac:dyDescent="0.3">
      <c r="A177" s="2" t="s">
        <v>108</v>
      </c>
      <c r="B177" s="3">
        <v>75</v>
      </c>
      <c r="C177" s="3">
        <v>84</v>
      </c>
      <c r="D177" s="3">
        <v>91</v>
      </c>
      <c r="E177" s="3">
        <v>110</v>
      </c>
      <c r="F177" s="3">
        <v>116</v>
      </c>
      <c r="G177" s="3">
        <v>112</v>
      </c>
      <c r="H177" s="3">
        <v>141</v>
      </c>
      <c r="I177" s="3">
        <v>134</v>
      </c>
      <c r="J177" s="3">
        <v>131</v>
      </c>
    </row>
    <row r="178" spans="1:10" ht="15" thickBot="1" x14ac:dyDescent="0.3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5" thickTop="1" x14ac:dyDescent="0.3">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3">
      <c r="A180" s="14" t="s">
        <v>126</v>
      </c>
      <c r="B180" s="14"/>
      <c r="C180" s="14"/>
      <c r="D180" s="14"/>
      <c r="E180" s="14"/>
      <c r="F180" s="14"/>
      <c r="G180" s="14"/>
      <c r="H180" s="14"/>
      <c r="I180" s="14"/>
      <c r="J180" s="14"/>
    </row>
    <row r="181" spans="1:10" x14ac:dyDescent="0.3">
      <c r="A181" s="27" t="s">
        <v>127</v>
      </c>
    </row>
    <row r="182" spans="1:10" x14ac:dyDescent="0.3">
      <c r="A182" s="31" t="s">
        <v>100</v>
      </c>
      <c r="B182" s="60">
        <v>0.12</v>
      </c>
      <c r="C182" s="60">
        <v>0.08</v>
      </c>
      <c r="D182" s="60">
        <v>0.03</v>
      </c>
      <c r="E182" s="60">
        <v>-0.02</v>
      </c>
      <c r="F182" s="60">
        <v>7.0000000000000007E-2</v>
      </c>
      <c r="G182" s="60">
        <v>-0.09</v>
      </c>
      <c r="H182" s="60">
        <v>0.19</v>
      </c>
      <c r="I182" s="60">
        <v>7.0000000000000007E-2</v>
      </c>
      <c r="J182" s="60">
        <v>0.18</v>
      </c>
    </row>
    <row r="183" spans="1:10" x14ac:dyDescent="0.3">
      <c r="A183" s="29" t="s">
        <v>113</v>
      </c>
      <c r="B183" s="61">
        <v>0.14000000000000001</v>
      </c>
      <c r="C183" s="61">
        <v>0.1</v>
      </c>
      <c r="D183" s="61">
        <v>0.04</v>
      </c>
      <c r="E183" s="61">
        <v>-0.04</v>
      </c>
      <c r="F183" s="61">
        <v>0.08</v>
      </c>
      <c r="G183" s="61">
        <v>-0.14000000000000001</v>
      </c>
      <c r="H183" s="61">
        <v>0.25</v>
      </c>
      <c r="I183" s="61">
        <v>0.05</v>
      </c>
      <c r="J183" s="61">
        <v>0.22</v>
      </c>
    </row>
    <row r="184" spans="1:10" x14ac:dyDescent="0.3">
      <c r="A184" s="29" t="s">
        <v>114</v>
      </c>
      <c r="B184" s="61">
        <v>0.12</v>
      </c>
      <c r="C184" s="61">
        <v>0.08</v>
      </c>
      <c r="D184" s="61">
        <v>0.03</v>
      </c>
      <c r="E184" s="61">
        <v>0.01</v>
      </c>
      <c r="F184" s="61">
        <v>7.0000000000000007E-2</v>
      </c>
      <c r="G184" s="61">
        <v>-0.12</v>
      </c>
      <c r="H184" s="61">
        <v>0.08</v>
      </c>
      <c r="I184" s="61">
        <v>0.09</v>
      </c>
      <c r="J184" s="61">
        <v>0.08</v>
      </c>
    </row>
    <row r="185" spans="1:10" x14ac:dyDescent="0.3">
      <c r="A185" s="29" t="s">
        <v>115</v>
      </c>
      <c r="B185" s="61">
        <v>-0.05</v>
      </c>
      <c r="C185" s="61">
        <v>-0.13</v>
      </c>
      <c r="D185" s="61">
        <v>-0.1</v>
      </c>
      <c r="E185" s="61">
        <v>-0.08</v>
      </c>
      <c r="F185" s="61">
        <v>0</v>
      </c>
      <c r="G185" s="61">
        <v>-7.0000000000000007E-2</v>
      </c>
      <c r="H185" s="61">
        <v>-0.02</v>
      </c>
      <c r="I185" s="61">
        <v>0.25</v>
      </c>
      <c r="J185" s="61">
        <v>0.21</v>
      </c>
    </row>
    <row r="186" spans="1:10" x14ac:dyDescent="0.3">
      <c r="A186" s="31" t="s">
        <v>101</v>
      </c>
      <c r="B186" s="60">
        <v>0.36</v>
      </c>
      <c r="C186" s="60">
        <v>0.31</v>
      </c>
      <c r="D186" s="60">
        <v>0.18</v>
      </c>
      <c r="E186" s="60">
        <v>0.09</v>
      </c>
      <c r="F186" s="61">
        <v>0.11</v>
      </c>
      <c r="G186" s="60">
        <v>-0.01</v>
      </c>
      <c r="H186" s="60">
        <v>0.17</v>
      </c>
      <c r="I186" s="60">
        <v>0.12</v>
      </c>
      <c r="J186" s="60">
        <v>0.21</v>
      </c>
    </row>
    <row r="187" spans="1:10" x14ac:dyDescent="0.3">
      <c r="A187" s="29" t="s">
        <v>113</v>
      </c>
      <c r="B187" s="61">
        <v>0.47</v>
      </c>
      <c r="C187" s="61">
        <v>0.37</v>
      </c>
      <c r="D187" s="61">
        <v>0.16</v>
      </c>
      <c r="E187" s="61">
        <v>0.06</v>
      </c>
      <c r="F187" s="61">
        <v>0.12</v>
      </c>
      <c r="G187" s="61">
        <v>-0.03</v>
      </c>
      <c r="H187" s="61">
        <v>0.13</v>
      </c>
      <c r="I187" s="61">
        <v>0.09</v>
      </c>
      <c r="J187" s="61">
        <v>0.25</v>
      </c>
    </row>
    <row r="188" spans="1:10" x14ac:dyDescent="0.3">
      <c r="A188" s="29" t="s">
        <v>114</v>
      </c>
      <c r="B188" s="61">
        <v>0.19</v>
      </c>
      <c r="C188" s="61">
        <v>0.25</v>
      </c>
      <c r="D188" s="61">
        <v>0.25</v>
      </c>
      <c r="E188" s="61">
        <v>0.16</v>
      </c>
      <c r="F188" s="61">
        <v>0.09</v>
      </c>
      <c r="G188" s="61">
        <v>0.02</v>
      </c>
      <c r="H188" s="61">
        <v>0.25</v>
      </c>
      <c r="I188" s="61">
        <v>0.16</v>
      </c>
      <c r="J188" s="61">
        <v>0.14000000000000001</v>
      </c>
    </row>
    <row r="189" spans="1:10" x14ac:dyDescent="0.3">
      <c r="A189" s="29" t="s">
        <v>115</v>
      </c>
      <c r="B189" s="61">
        <v>0.19</v>
      </c>
      <c r="C189" s="61">
        <v>0.15</v>
      </c>
      <c r="D189" s="61">
        <v>0.13</v>
      </c>
      <c r="E189" s="61">
        <v>0.06</v>
      </c>
      <c r="F189" s="61">
        <v>0.05</v>
      </c>
      <c r="G189" s="61">
        <v>-0.03</v>
      </c>
      <c r="H189" s="61">
        <v>0.19</v>
      </c>
      <c r="I189" s="61">
        <v>0.17</v>
      </c>
      <c r="J189" s="61">
        <v>0.18</v>
      </c>
    </row>
    <row r="190" spans="1:10" x14ac:dyDescent="0.3">
      <c r="A190" s="31" t="s">
        <v>102</v>
      </c>
      <c r="B190" s="60">
        <v>0.19</v>
      </c>
      <c r="C190" s="60">
        <v>7.0000000000000007E-2</v>
      </c>
      <c r="D190" s="60">
        <v>0.17</v>
      </c>
      <c r="E190" s="60">
        <v>0.18</v>
      </c>
      <c r="F190" s="60">
        <v>0.24</v>
      </c>
      <c r="G190" s="60">
        <v>0.11</v>
      </c>
      <c r="H190" s="60">
        <v>0.19</v>
      </c>
      <c r="I190" s="60">
        <v>-0.13</v>
      </c>
      <c r="J190" s="60">
        <v>0.04</v>
      </c>
    </row>
    <row r="191" spans="1:10" x14ac:dyDescent="0.3">
      <c r="A191" s="29" t="s">
        <v>113</v>
      </c>
      <c r="B191" s="61">
        <v>0.28000000000000003</v>
      </c>
      <c r="C191" s="61">
        <v>0.33</v>
      </c>
      <c r="D191" s="61">
        <v>0.18</v>
      </c>
      <c r="E191" s="61">
        <v>0.16</v>
      </c>
      <c r="F191" s="61">
        <v>0.25</v>
      </c>
      <c r="G191" s="61">
        <v>0.12</v>
      </c>
      <c r="H191" s="61">
        <v>0.19</v>
      </c>
      <c r="I191" s="61">
        <v>-0.1</v>
      </c>
      <c r="J191" s="61">
        <v>0.08</v>
      </c>
    </row>
    <row r="192" spans="1:10" x14ac:dyDescent="0.3">
      <c r="A192" s="29" t="s">
        <v>114</v>
      </c>
      <c r="B192" s="61">
        <v>7.0000000000000007E-2</v>
      </c>
      <c r="C192" s="61">
        <v>0.17</v>
      </c>
      <c r="D192" s="61">
        <v>0.18</v>
      </c>
      <c r="E192" s="61">
        <v>0.23</v>
      </c>
      <c r="F192" s="61">
        <v>0.23</v>
      </c>
      <c r="G192" s="61">
        <v>0.08</v>
      </c>
      <c r="H192" s="61">
        <v>0.19</v>
      </c>
      <c r="I192" s="61">
        <v>-0.21</v>
      </c>
      <c r="J192" s="61">
        <v>-7.0000000000000007E-2</v>
      </c>
    </row>
    <row r="193" spans="1:10" x14ac:dyDescent="0.3">
      <c r="A193" s="29" t="s">
        <v>115</v>
      </c>
      <c r="B193" s="61">
        <v>0.01</v>
      </c>
      <c r="C193" s="61">
        <v>7.0000000000000007E-2</v>
      </c>
      <c r="D193" s="61">
        <v>0.03</v>
      </c>
      <c r="E193" s="61">
        <v>-0.01</v>
      </c>
      <c r="F193" s="61">
        <v>0.08</v>
      </c>
      <c r="G193" s="61">
        <v>0.11</v>
      </c>
      <c r="H193" s="61">
        <v>0.26</v>
      </c>
      <c r="I193" s="61">
        <v>-0.06</v>
      </c>
      <c r="J193" s="61">
        <v>-0.16</v>
      </c>
    </row>
    <row r="194" spans="1:10" x14ac:dyDescent="0.3">
      <c r="A194" s="31" t="s">
        <v>106</v>
      </c>
      <c r="B194" s="60">
        <v>0.17</v>
      </c>
      <c r="C194" s="60">
        <v>0.35</v>
      </c>
      <c r="D194" s="60">
        <v>0.21</v>
      </c>
      <c r="E194" s="60">
        <v>0.1</v>
      </c>
      <c r="F194" s="60">
        <v>0.13</v>
      </c>
      <c r="G194" s="60">
        <v>0.01</v>
      </c>
      <c r="H194" s="60">
        <v>0.08</v>
      </c>
      <c r="I194" s="60">
        <v>0.16</v>
      </c>
      <c r="J194" s="60">
        <v>0.17</v>
      </c>
    </row>
    <row r="195" spans="1:10" x14ac:dyDescent="0.3">
      <c r="A195" s="29" t="s">
        <v>113</v>
      </c>
      <c r="B195" s="61">
        <v>0.32</v>
      </c>
      <c r="C195" s="61">
        <v>0.48</v>
      </c>
      <c r="D195" s="61">
        <v>0.24</v>
      </c>
      <c r="E195" s="61">
        <v>0.09</v>
      </c>
      <c r="F195" s="61">
        <v>0.12</v>
      </c>
      <c r="G195" s="61">
        <v>0</v>
      </c>
      <c r="H195" s="61">
        <v>0.08</v>
      </c>
      <c r="I195" s="61">
        <v>0.17</v>
      </c>
      <c r="J195" s="61">
        <v>0.19</v>
      </c>
    </row>
    <row r="196" spans="1:10" x14ac:dyDescent="0.3">
      <c r="A196" s="29" t="s">
        <v>114</v>
      </c>
      <c r="B196" s="61">
        <v>-0.03</v>
      </c>
      <c r="C196" s="61">
        <v>0.16</v>
      </c>
      <c r="D196" s="61">
        <v>0.18</v>
      </c>
      <c r="E196" s="61">
        <v>0.15</v>
      </c>
      <c r="F196" s="61">
        <v>0.15</v>
      </c>
      <c r="G196" s="61">
        <v>0.02</v>
      </c>
      <c r="H196" s="61">
        <v>0.1</v>
      </c>
      <c r="I196" s="61">
        <v>0.12</v>
      </c>
      <c r="J196" s="61">
        <v>0.13</v>
      </c>
    </row>
    <row r="197" spans="1:10" x14ac:dyDescent="0.3">
      <c r="A197" s="29" t="s">
        <v>115</v>
      </c>
      <c r="B197" s="61">
        <v>-0.01</v>
      </c>
      <c r="C197" s="61">
        <v>0.14000000000000001</v>
      </c>
      <c r="D197" s="61">
        <v>-0.04</v>
      </c>
      <c r="E197" s="61">
        <v>-0.08</v>
      </c>
      <c r="F197" s="61">
        <v>0.08</v>
      </c>
      <c r="G197" s="61">
        <v>-0.04</v>
      </c>
      <c r="H197" s="61">
        <v>-0.09</v>
      </c>
      <c r="I197" s="61">
        <v>0.28000000000000003</v>
      </c>
      <c r="J197" s="61">
        <v>0.04</v>
      </c>
    </row>
    <row r="198" spans="1:10" x14ac:dyDescent="0.3">
      <c r="A198" s="31" t="s">
        <v>107</v>
      </c>
      <c r="B198" s="60">
        <v>-0.02</v>
      </c>
      <c r="C198" s="60">
        <v>-0.3</v>
      </c>
      <c r="D198" s="60">
        <v>0.02</v>
      </c>
      <c r="E198" s="60">
        <v>0.12</v>
      </c>
      <c r="F198" s="60">
        <v>3.02</v>
      </c>
      <c r="G198" s="60">
        <v>-0.26</v>
      </c>
      <c r="H198" s="60">
        <v>-0.17</v>
      </c>
      <c r="I198" s="60">
        <v>3.02</v>
      </c>
      <c r="J198" s="60">
        <v>-0.43</v>
      </c>
    </row>
    <row r="199" spans="1:10" x14ac:dyDescent="0.3">
      <c r="A199" s="32" t="s">
        <v>103</v>
      </c>
      <c r="B199" s="62">
        <v>0.1</v>
      </c>
      <c r="C199" s="62">
        <v>0.13</v>
      </c>
      <c r="D199" s="62">
        <v>0.06</v>
      </c>
      <c r="E199" s="62">
        <v>0.05</v>
      </c>
      <c r="F199" s="62">
        <v>0.11</v>
      </c>
      <c r="G199" s="62">
        <v>-0.02</v>
      </c>
      <c r="H199" s="62">
        <v>0.17</v>
      </c>
      <c r="I199" s="62">
        <v>0.06</v>
      </c>
      <c r="J199" s="62">
        <v>0.08</v>
      </c>
    </row>
    <row r="200" spans="1:10" x14ac:dyDescent="0.3">
      <c r="A200" s="31" t="s">
        <v>104</v>
      </c>
      <c r="B200" s="60">
        <v>0.21</v>
      </c>
      <c r="C200" s="60">
        <v>0.02</v>
      </c>
      <c r="D200" s="60">
        <v>0.06</v>
      </c>
      <c r="E200" s="60">
        <v>-0.11</v>
      </c>
      <c r="F200" s="60">
        <v>7.0000000000000007E-2</v>
      </c>
      <c r="G200" s="60">
        <v>-0.01</v>
      </c>
      <c r="H200" s="60">
        <v>0.16</v>
      </c>
      <c r="I200" s="60">
        <v>7.0000000000000007E-2</v>
      </c>
      <c r="J200" s="60">
        <v>0.08</v>
      </c>
    </row>
    <row r="201" spans="1:10" x14ac:dyDescent="0.3">
      <c r="A201" s="29" t="s">
        <v>113</v>
      </c>
      <c r="B201" s="61"/>
      <c r="C201" s="61"/>
      <c r="D201" s="61"/>
      <c r="E201" s="61"/>
      <c r="F201" s="61">
        <v>0.06</v>
      </c>
      <c r="G201" s="61">
        <v>0.01</v>
      </c>
      <c r="H201" s="61">
        <v>0.17</v>
      </c>
      <c r="I201" s="61">
        <v>0.06</v>
      </c>
      <c r="J201" s="61">
        <v>0.08</v>
      </c>
    </row>
    <row r="202" spans="1:10" x14ac:dyDescent="0.3">
      <c r="A202" s="29" t="s">
        <v>114</v>
      </c>
      <c r="B202" s="61"/>
      <c r="C202" s="61"/>
      <c r="D202" s="61"/>
      <c r="E202" s="61"/>
      <c r="F202" s="61">
        <v>-0.03</v>
      </c>
      <c r="G202" s="61">
        <v>-0.22</v>
      </c>
      <c r="H202" s="61">
        <v>0.13</v>
      </c>
      <c r="I202" s="61">
        <v>-0.03</v>
      </c>
      <c r="J202" s="61">
        <v>-7.0000000000000007E-2</v>
      </c>
    </row>
    <row r="203" spans="1:10" x14ac:dyDescent="0.3">
      <c r="A203" s="29" t="s">
        <v>115</v>
      </c>
      <c r="B203" s="61"/>
      <c r="C203" s="61"/>
      <c r="D203" s="61"/>
      <c r="E203" s="61"/>
      <c r="F203" s="61">
        <v>-0.16</v>
      </c>
      <c r="G203" s="61">
        <v>0.08</v>
      </c>
      <c r="H203" s="61">
        <v>0.14000000000000001</v>
      </c>
      <c r="I203" s="61">
        <v>-0.16</v>
      </c>
      <c r="J203" s="61">
        <v>0.16</v>
      </c>
    </row>
    <row r="204" spans="1:10" x14ac:dyDescent="0.3">
      <c r="A204" s="29" t="s">
        <v>121</v>
      </c>
      <c r="B204" s="61"/>
      <c r="C204" s="61"/>
      <c r="D204" s="61"/>
      <c r="E204" s="61"/>
      <c r="F204" s="61">
        <v>0.42</v>
      </c>
      <c r="G204" s="61">
        <v>-0.14000000000000001</v>
      </c>
      <c r="H204" s="61">
        <v>-0.01</v>
      </c>
      <c r="I204" s="61">
        <v>0.42</v>
      </c>
      <c r="J204" s="61">
        <v>0.25</v>
      </c>
    </row>
    <row r="205" spans="1:10" x14ac:dyDescent="0.3">
      <c r="A205" s="28" t="s">
        <v>108</v>
      </c>
      <c r="B205" s="61">
        <v>0</v>
      </c>
      <c r="C205" s="61">
        <v>0</v>
      </c>
      <c r="D205" s="61">
        <v>0</v>
      </c>
      <c r="E205" s="61">
        <v>0</v>
      </c>
      <c r="F205" s="61">
        <v>0</v>
      </c>
      <c r="G205" s="61">
        <v>0</v>
      </c>
      <c r="H205" s="61">
        <v>0</v>
      </c>
      <c r="I205" s="61">
        <v>0</v>
      </c>
      <c r="J205" s="61">
        <v>0</v>
      </c>
    </row>
    <row r="206" spans="1:10" ht="15" thickBot="1" x14ac:dyDescent="0.35">
      <c r="A206" s="30" t="s">
        <v>105</v>
      </c>
      <c r="B206" s="63">
        <v>0.1</v>
      </c>
      <c r="C206" s="63">
        <v>0.12</v>
      </c>
      <c r="D206" s="63">
        <v>0.06</v>
      </c>
      <c r="E206" s="63">
        <v>0.04</v>
      </c>
      <c r="F206" s="63">
        <v>0.11</v>
      </c>
      <c r="G206" s="63">
        <v>-0.02</v>
      </c>
      <c r="H206" s="63">
        <v>0.17</v>
      </c>
      <c r="I206" s="63">
        <v>0.06</v>
      </c>
      <c r="J206" s="63">
        <v>0.16</v>
      </c>
    </row>
    <row r="207" spans="1:10"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defaultColWidth="8.77734375" defaultRowHeight="14.4" x14ac:dyDescent="0.3"/>
  <cols>
    <col min="1" max="1" width="48.6640625" customWidth="1"/>
    <col min="2" max="15"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3">
      <c r="A2" s="34" t="s">
        <v>128</v>
      </c>
      <c r="B2" s="34"/>
      <c r="C2" s="34"/>
      <c r="D2" s="34"/>
      <c r="E2" s="34"/>
      <c r="F2" s="34"/>
      <c r="G2" s="34"/>
      <c r="H2" s="34"/>
      <c r="I2" s="34"/>
      <c r="J2" s="34"/>
      <c r="K2" s="33"/>
      <c r="L2" s="33"/>
      <c r="M2" s="33"/>
      <c r="N2" s="33"/>
      <c r="O2" s="33"/>
    </row>
    <row r="3" spans="1:15" x14ac:dyDescent="0.3">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3">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3">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3">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3">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3">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3">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3">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3">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3">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3">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3">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3">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3">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3">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3">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3">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3">
      <c r="A20" s="37" t="str">
        <f>+Historicals!A110</f>
        <v>North America</v>
      </c>
      <c r="B20" s="37"/>
      <c r="C20" s="37"/>
      <c r="D20" s="37"/>
      <c r="E20" s="37"/>
      <c r="F20" s="37"/>
      <c r="G20" s="37"/>
      <c r="H20" s="37"/>
      <c r="I20" s="37"/>
      <c r="J20" s="37"/>
      <c r="K20" s="33"/>
      <c r="L20" s="33"/>
      <c r="M20" s="33"/>
      <c r="N20" s="33"/>
      <c r="O20" s="33"/>
      <c r="P20" t="s">
        <v>202</v>
      </c>
    </row>
    <row r="21" spans="1:16" x14ac:dyDescent="0.3">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3">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3">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3">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3">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3">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3">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3">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3">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3">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3">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3">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3">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3">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3">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3">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3">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3">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3">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3">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3">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3">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3">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3">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3">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3">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3">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3">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3">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3">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3">
      <c r="A51" s="37" t="s">
        <v>101</v>
      </c>
      <c r="B51" s="37"/>
      <c r="C51" s="37"/>
      <c r="D51" s="37"/>
      <c r="E51" s="37"/>
      <c r="F51" s="37"/>
      <c r="G51" s="37"/>
      <c r="H51" s="37"/>
      <c r="I51" s="37"/>
      <c r="J51" s="37"/>
      <c r="K51" s="33"/>
      <c r="L51" s="33"/>
      <c r="M51" s="33"/>
      <c r="N51" s="33"/>
      <c r="O51" s="33"/>
      <c r="P51" t="s">
        <v>196</v>
      </c>
    </row>
    <row r="52" spans="1:16" x14ac:dyDescent="0.3">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3">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3">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3">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3">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3">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3">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3">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3">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3">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3">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3">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3">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3">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3">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3">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3">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3">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3">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3">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3">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3">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3">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3">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3">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3">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3">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3">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3">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3">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3">
      <c r="A82" s="37" t="s">
        <v>102</v>
      </c>
      <c r="B82" s="37"/>
      <c r="C82" s="37"/>
      <c r="D82" s="37"/>
      <c r="E82" s="37"/>
      <c r="F82" s="37"/>
      <c r="G82" s="37"/>
      <c r="H82" s="37"/>
      <c r="I82" s="37"/>
      <c r="J82" s="37"/>
      <c r="K82" s="33"/>
      <c r="L82" s="33"/>
      <c r="M82" s="33"/>
      <c r="N82" s="33"/>
      <c r="O82" s="33"/>
    </row>
    <row r="83" spans="1:16" x14ac:dyDescent="0.3">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3">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3">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3">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3">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3">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3">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3">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3">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3">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3">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3">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3">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3">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3">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3">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3">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3">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3">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3">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3">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3">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3">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3">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3">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3">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3">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3">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3">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3">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3">
      <c r="A113" s="37" t="s">
        <v>106</v>
      </c>
      <c r="B113" s="37"/>
      <c r="C113" s="37"/>
      <c r="D113" s="37"/>
      <c r="E113" s="37"/>
      <c r="F113" s="37"/>
      <c r="G113" s="37"/>
      <c r="H113" s="37"/>
      <c r="I113" s="37"/>
      <c r="J113" s="37"/>
      <c r="K113" s="33"/>
      <c r="L113" s="33"/>
      <c r="M113" s="33"/>
      <c r="N113" s="33"/>
      <c r="O113" s="33"/>
    </row>
    <row r="114" spans="1:16" x14ac:dyDescent="0.3">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3">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3">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3">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3">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3">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3">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3">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3">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3">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3">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3">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3">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3">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3">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3">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3">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3">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3">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3">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3">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3">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3">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3">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3">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3">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3">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3">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3">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3">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3">
      <c r="A144" s="37" t="s">
        <v>107</v>
      </c>
      <c r="B144" s="37"/>
      <c r="C144" s="37"/>
      <c r="D144" s="37"/>
      <c r="E144" s="37"/>
      <c r="F144" s="37"/>
      <c r="G144" s="37"/>
      <c r="H144" s="37"/>
      <c r="I144" s="37"/>
      <c r="J144" s="37"/>
      <c r="K144" s="33"/>
      <c r="L144" s="33"/>
      <c r="M144" s="33"/>
      <c r="N144" s="33"/>
      <c r="O144" s="33"/>
    </row>
    <row r="145" spans="1:15" x14ac:dyDescent="0.3">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3">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3">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3">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3">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3">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3">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3">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3">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3">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3">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3">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3">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3">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3">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3">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3">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3">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3">
      <c r="A163" s="37" t="s">
        <v>104</v>
      </c>
      <c r="B163" s="37"/>
      <c r="C163" s="37"/>
      <c r="D163" s="37"/>
      <c r="E163" s="37"/>
      <c r="F163" s="37"/>
      <c r="G163" s="37"/>
      <c r="H163" s="37"/>
      <c r="I163" s="37"/>
      <c r="J163" s="37"/>
      <c r="K163" s="33"/>
      <c r="L163" s="33"/>
      <c r="M163" s="33"/>
      <c r="N163" s="33"/>
      <c r="O163" s="33"/>
    </row>
    <row r="164" spans="1:16" x14ac:dyDescent="0.3">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3">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3">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3">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3">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3">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3">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3">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3">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3">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3">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3">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3">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3">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3">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3">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3">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3">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3">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3">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3">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3">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3">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3">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3">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3">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3">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3">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3">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3">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3">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3">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3">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3">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3">
      <c r="A198" s="37" t="s">
        <v>108</v>
      </c>
      <c r="B198" s="37"/>
      <c r="C198" s="37"/>
      <c r="D198" s="37"/>
      <c r="E198" s="37"/>
      <c r="F198" s="37"/>
      <c r="G198" s="37"/>
      <c r="H198" s="37"/>
      <c r="I198" s="37"/>
      <c r="J198" s="37"/>
      <c r="K198" s="33"/>
      <c r="L198" s="33"/>
      <c r="M198" s="33"/>
      <c r="N198" s="33"/>
      <c r="O198" s="33"/>
    </row>
    <row r="199" spans="1:15" x14ac:dyDescent="0.3">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3">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3">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3">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3">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3">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3">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3">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3">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3">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3">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3">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3">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3">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3">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3">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3">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3">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6"/>
  <sheetViews>
    <sheetView tabSelected="1" topLeftCell="E25" zoomScale="80" zoomScaleNormal="80" workbookViewId="0">
      <selection activeCell="P65" sqref="P65"/>
    </sheetView>
  </sheetViews>
  <sheetFormatPr defaultColWidth="8.77734375" defaultRowHeight="14.4" x14ac:dyDescent="0.3"/>
  <cols>
    <col min="1" max="1" width="48.6640625" customWidth="1"/>
    <col min="2" max="15" width="11.6640625" customWidth="1"/>
    <col min="16" max="18" width="52.44140625" customWidth="1"/>
  </cols>
  <sheetData>
    <row r="1" spans="1:18"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75" t="s">
        <v>263</v>
      </c>
      <c r="Q1" s="75"/>
      <c r="R1" s="75" t="s">
        <v>240</v>
      </c>
    </row>
    <row r="2" spans="1:18" x14ac:dyDescent="0.3">
      <c r="A2" s="34" t="s">
        <v>142</v>
      </c>
      <c r="B2" s="34"/>
      <c r="C2" s="34"/>
      <c r="D2" s="34"/>
      <c r="E2" s="34"/>
      <c r="F2" s="34"/>
      <c r="G2" s="34"/>
      <c r="H2" s="34"/>
      <c r="I2" s="34"/>
      <c r="J2" s="34"/>
      <c r="K2" s="33"/>
      <c r="L2" s="33"/>
      <c r="M2" s="33"/>
      <c r="N2" s="33"/>
      <c r="O2" s="33"/>
    </row>
    <row r="3" spans="1:18"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row>
    <row r="4" spans="1:18" x14ac:dyDescent="0.3">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row>
    <row r="5" spans="1:18" x14ac:dyDescent="0.3">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row>
    <row r="6" spans="1:18" x14ac:dyDescent="0.3">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row>
    <row r="7" spans="1:18"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row>
    <row r="8" spans="1:18" x14ac:dyDescent="0.3">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row>
    <row r="9" spans="1:18" x14ac:dyDescent="0.3">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row>
    <row r="10" spans="1:18"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56">
        <f>K50</f>
        <v>299.26886989394183</v>
      </c>
      <c r="L10" s="56">
        <f t="shared" ref="L10:O10" si="1">L50</f>
        <v>268.00466390641185</v>
      </c>
      <c r="M10" s="56">
        <f t="shared" si="1"/>
        <v>336.88159431900181</v>
      </c>
      <c r="N10" s="56">
        <f t="shared" si="1"/>
        <v>371.85703820137314</v>
      </c>
      <c r="O10" s="56">
        <f t="shared" si="1"/>
        <v>413.08290457957776</v>
      </c>
      <c r="Q10" t="s">
        <v>255</v>
      </c>
    </row>
    <row r="11" spans="1:18" x14ac:dyDescent="0.3">
      <c r="A11" s="4" t="s">
        <v>144</v>
      </c>
      <c r="B11" s="5">
        <f t="shared" ref="B11" si="2">B7-B10</f>
        <v>4205</v>
      </c>
      <c r="C11" s="5">
        <f t="shared" ref="C11" si="3">C7-C10</f>
        <v>4623</v>
      </c>
      <c r="D11" s="5">
        <f t="shared" ref="D11" si="4">D7-D10</f>
        <v>4886</v>
      </c>
      <c r="E11" s="5">
        <f t="shared" ref="E11" si="5">E7-E10</f>
        <v>4325</v>
      </c>
      <c r="F11" s="5">
        <f t="shared" ref="F11" si="6">F7-F10</f>
        <v>4801</v>
      </c>
      <c r="G11" s="5">
        <f t="shared" ref="G11" si="7">G7-G10</f>
        <v>2887</v>
      </c>
      <c r="H11" s="5">
        <f t="shared" ref="H11" si="8">H7-H10</f>
        <v>6661</v>
      </c>
      <c r="I11" s="5">
        <f t="shared" ref="I11:N11" si="9">I7-I10</f>
        <v>6651</v>
      </c>
      <c r="J11" s="5">
        <f t="shared" ref="J11" si="10">J7-J10</f>
        <v>6201</v>
      </c>
      <c r="K11" s="5">
        <f t="shared" si="9"/>
        <v>8129.7204375531092</v>
      </c>
      <c r="L11" s="5">
        <f t="shared" si="9"/>
        <v>9290.9406751868337</v>
      </c>
      <c r="M11" s="5">
        <f t="shared" si="9"/>
        <v>10587.638507774169</v>
      </c>
      <c r="N11" s="5">
        <f t="shared" si="9"/>
        <v>12194.464427123394</v>
      </c>
      <c r="O11" s="5">
        <f t="shared" ref="O11" si="11">O7-O10</f>
        <v>14139.203075254069</v>
      </c>
    </row>
    <row r="12" spans="1:18"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1615.5627704295102</v>
      </c>
      <c r="L12" s="73">
        <f t="shared" ref="L12:O12" si="12">L11*L13</f>
        <v>1846.3239876940736</v>
      </c>
      <c r="M12" s="73">
        <f t="shared" si="12"/>
        <v>2104.0077246584974</v>
      </c>
      <c r="N12" s="73">
        <f t="shared" si="12"/>
        <v>2423.3210582229053</v>
      </c>
      <c r="O12" s="73">
        <f t="shared" si="12"/>
        <v>2809.785436951403</v>
      </c>
    </row>
    <row r="13" spans="1:18" x14ac:dyDescent="0.3">
      <c r="A13" s="45" t="s">
        <v>145</v>
      </c>
      <c r="B13" s="50">
        <f>B12/B11</f>
        <v>0.22164090368608799</v>
      </c>
      <c r="C13" s="50">
        <f t="shared" ref="C13:I13" si="13">C12/C11</f>
        <v>0.18667531905688947</v>
      </c>
      <c r="D13" s="50">
        <f t="shared" si="13"/>
        <v>0.13221449038067951</v>
      </c>
      <c r="E13" s="50">
        <f t="shared" si="13"/>
        <v>0.55306358381502885</v>
      </c>
      <c r="F13" s="50">
        <f t="shared" si="13"/>
        <v>0.16079983336804832</v>
      </c>
      <c r="G13" s="50">
        <f t="shared" si="13"/>
        <v>0.12054035330793211</v>
      </c>
      <c r="H13" s="50">
        <f t="shared" si="13"/>
        <v>0.14021918630836211</v>
      </c>
      <c r="I13" s="50">
        <f t="shared" si="13"/>
        <v>9.0963764847391368E-2</v>
      </c>
      <c r="J13" s="50">
        <f>J12/J11</f>
        <v>0.18238993710691823</v>
      </c>
      <c r="K13" s="51">
        <f>AVERAGE(B13:J13)</f>
        <v>0.1987230413197042</v>
      </c>
      <c r="L13" s="51">
        <f>K13</f>
        <v>0.1987230413197042</v>
      </c>
      <c r="M13" s="51">
        <f t="shared" ref="M13:O13" si="14">L13</f>
        <v>0.1987230413197042</v>
      </c>
      <c r="N13" s="51">
        <f t="shared" si="14"/>
        <v>0.1987230413197042</v>
      </c>
      <c r="O13" s="51">
        <f t="shared" si="14"/>
        <v>0.1987230413197042</v>
      </c>
    </row>
    <row r="14" spans="1:18" ht="15" thickBot="1" x14ac:dyDescent="0.35">
      <c r="A14" s="6" t="s">
        <v>146</v>
      </c>
      <c r="B14" s="7">
        <f>B11-B12</f>
        <v>3273</v>
      </c>
      <c r="C14" s="7">
        <f t="shared" ref="C14:N14" si="15">C11-C12</f>
        <v>3760</v>
      </c>
      <c r="D14" s="7">
        <f t="shared" si="15"/>
        <v>4240</v>
      </c>
      <c r="E14" s="7">
        <f t="shared" si="15"/>
        <v>1933</v>
      </c>
      <c r="F14" s="7">
        <f t="shared" si="15"/>
        <v>4029</v>
      </c>
      <c r="G14" s="7">
        <f t="shared" si="15"/>
        <v>2539</v>
      </c>
      <c r="H14" s="7">
        <f t="shared" si="15"/>
        <v>5727</v>
      </c>
      <c r="I14" s="7">
        <f t="shared" si="15"/>
        <v>6046</v>
      </c>
      <c r="J14" s="7">
        <f t="shared" ref="J14" si="16">J11-J12</f>
        <v>5070</v>
      </c>
      <c r="K14" s="7">
        <f t="shared" si="15"/>
        <v>6514.1576671235989</v>
      </c>
      <c r="L14" s="7">
        <f t="shared" si="15"/>
        <v>7444.6166874927603</v>
      </c>
      <c r="M14" s="7">
        <f t="shared" si="15"/>
        <v>8483.6307831156719</v>
      </c>
      <c r="N14" s="7">
        <f t="shared" si="15"/>
        <v>9771.143368900488</v>
      </c>
      <c r="O14" s="7">
        <f t="shared" ref="O14" si="17">O11-O12</f>
        <v>11329.417638302666</v>
      </c>
    </row>
    <row r="15" spans="1:18" ht="15" thickTop="1" x14ac:dyDescent="0.3">
      <c r="A15"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J15+(K59/$B$76)</f>
        <v>1540.9370114942528</v>
      </c>
      <c r="L15" s="56">
        <f t="shared" ref="L15:O15" si="18">K15+(L59/$B$76)</f>
        <v>1517.8466206896551</v>
      </c>
      <c r="M15" s="56">
        <f t="shared" si="18"/>
        <v>1487.1364009195402</v>
      </c>
      <c r="N15" s="56">
        <f t="shared" si="18"/>
        <v>1455.8733971935631</v>
      </c>
      <c r="O15" s="56">
        <f t="shared" si="18"/>
        <v>1428.9872139892227</v>
      </c>
      <c r="R15" t="s">
        <v>253</v>
      </c>
    </row>
    <row r="16" spans="1:18" x14ac:dyDescent="0.3">
      <c r="A16" t="s">
        <v>148</v>
      </c>
      <c r="B16" s="76">
        <f>B14/B15</f>
        <v>1.8504070556309362</v>
      </c>
      <c r="C16" s="76">
        <f t="shared" ref="C16:N16" si="19">C14/C15</f>
        <v>2.1578192252510759</v>
      </c>
      <c r="D16" s="76">
        <f t="shared" si="19"/>
        <v>2.5059101654846336</v>
      </c>
      <c r="E16" s="76">
        <f t="shared" si="19"/>
        <v>1.1650895063588693</v>
      </c>
      <c r="F16" s="76">
        <f t="shared" si="19"/>
        <v>2.4894957983193278</v>
      </c>
      <c r="G16" s="76">
        <f t="shared" si="19"/>
        <v>1.5952500628298569</v>
      </c>
      <c r="H16" s="76">
        <f>H14/H15</f>
        <v>3.5584689946563937</v>
      </c>
      <c r="I16" s="76">
        <f t="shared" si="19"/>
        <v>3.7534144524459898</v>
      </c>
      <c r="J16" s="76">
        <f>J14/J15</f>
        <v>3.2297107911835905</v>
      </c>
      <c r="K16" s="76">
        <f>K14/K15</f>
        <v>4.2274003535075027</v>
      </c>
      <c r="L16" s="76">
        <f>L14/L15</f>
        <v>4.9047226419426977</v>
      </c>
      <c r="M16" s="76">
        <f t="shared" si="19"/>
        <v>5.7046756288595946</v>
      </c>
      <c r="N16" s="76">
        <f t="shared" si="19"/>
        <v>6.7115337004824625</v>
      </c>
      <c r="O16" s="76">
        <f t="shared" ref="O16" si="20">O14/O15</f>
        <v>7.928284821160136</v>
      </c>
    </row>
    <row r="17" spans="1:18" x14ac:dyDescent="0.3">
      <c r="A17" t="s">
        <v>149</v>
      </c>
      <c r="B17" s="76">
        <f>Historicals!B19</f>
        <v>0.508254183627318</v>
      </c>
      <c r="C17" s="76">
        <f>Historicals!C19</f>
        <v>0.58651362984218081</v>
      </c>
      <c r="D17" s="76">
        <f>Historicals!D19</f>
        <v>0.66962174940898345</v>
      </c>
      <c r="E17" s="76">
        <f>Historicals!E19</f>
        <v>0.74920137423904531</v>
      </c>
      <c r="F17" s="76">
        <f>Historicals!F19</f>
        <v>0.82303509639149774</v>
      </c>
      <c r="G17" s="76">
        <f>Historicals!G19</f>
        <v>0.91228951997989449</v>
      </c>
      <c r="H17" s="76">
        <f>Historicals!H19</f>
        <v>1.0177705977382876</v>
      </c>
      <c r="I17" s="76">
        <f>Historicals!I19</f>
        <v>1.1404271169605165</v>
      </c>
      <c r="J17" s="76">
        <f>Historicals!J19</f>
        <v>1.2816919352783795</v>
      </c>
      <c r="K17" s="76">
        <f>K16*K19</f>
        <v>1.5716139686109556</v>
      </c>
      <c r="L17" s="76">
        <f t="shared" ref="L17:O17" si="21">L16*L19</f>
        <v>1.8234210085741986</v>
      </c>
      <c r="M17" s="76">
        <f t="shared" si="21"/>
        <v>2.1208182700915588</v>
      </c>
      <c r="N17" s="76">
        <f t="shared" si="21"/>
        <v>2.4951363089445073</v>
      </c>
      <c r="O17" s="76">
        <f t="shared" si="21"/>
        <v>2.9474859559310884</v>
      </c>
    </row>
    <row r="18" spans="1:18" x14ac:dyDescent="0.3">
      <c r="A18" s="77" t="s">
        <v>129</v>
      </c>
      <c r="B18" s="78" t="str">
        <f>+IFERROR(B17/A17-1,"nm")</f>
        <v>nm</v>
      </c>
      <c r="C18" s="78">
        <f t="shared" ref="C18:I18" si="22">+IFERROR(C17/B17-1,"nm")</f>
        <v>0.15397698383186809</v>
      </c>
      <c r="D18" s="78">
        <f t="shared" si="22"/>
        <v>0.14169853067040461</v>
      </c>
      <c r="E18" s="78">
        <f t="shared" si="22"/>
        <v>0.11884265243818604</v>
      </c>
      <c r="F18" s="78">
        <f t="shared" si="22"/>
        <v>9.8549902190775418E-2</v>
      </c>
      <c r="G18" s="78">
        <f t="shared" si="22"/>
        <v>0.10844546481641237</v>
      </c>
      <c r="H18" s="78">
        <f t="shared" si="22"/>
        <v>0.11562237146023313</v>
      </c>
      <c r="I18" s="78">
        <f t="shared" si="22"/>
        <v>0.12051489745803123</v>
      </c>
      <c r="J18" s="78">
        <f>+IFERROR(J17/I17-1,"nm")</f>
        <v>0.12387009763005663</v>
      </c>
      <c r="K18" s="78">
        <f t="shared" ref="K18:O18" si="23">+IFERROR(K17/J17-1,"nm")</f>
        <v>0.22620258843214613</v>
      </c>
      <c r="L18" s="78">
        <f t="shared" si="23"/>
        <v>0.16022194062438788</v>
      </c>
      <c r="M18" s="78">
        <f t="shared" si="23"/>
        <v>0.16309851653508489</v>
      </c>
      <c r="N18" s="78">
        <f t="shared" si="23"/>
        <v>0.17649698898377975</v>
      </c>
      <c r="O18" s="78">
        <f t="shared" si="23"/>
        <v>0.18129255919406417</v>
      </c>
    </row>
    <row r="19" spans="1:18" x14ac:dyDescent="0.3">
      <c r="A19" s="45" t="s">
        <v>150</v>
      </c>
      <c r="B19" s="50">
        <f>B17/B16</f>
        <v>0.27467155514818214</v>
      </c>
      <c r="C19" s="50">
        <f t="shared" ref="C19:I19" si="24">C17/C16</f>
        <v>0.27180851063829792</v>
      </c>
      <c r="D19" s="50">
        <f t="shared" si="24"/>
        <v>0.26721698113207548</v>
      </c>
      <c r="E19" s="50">
        <f t="shared" si="24"/>
        <v>0.64304190377651316</v>
      </c>
      <c r="F19" s="50">
        <f t="shared" si="24"/>
        <v>0.33060312732688008</v>
      </c>
      <c r="G19" s="50">
        <f t="shared" si="24"/>
        <v>0.57187869239858213</v>
      </c>
      <c r="H19" s="50">
        <f t="shared" si="24"/>
        <v>0.286013619696176</v>
      </c>
      <c r="I19" s="50">
        <f t="shared" si="24"/>
        <v>0.30383724776711873</v>
      </c>
      <c r="J19" s="50">
        <f>J17/J16</f>
        <v>0.39684418145956607</v>
      </c>
      <c r="K19" s="50">
        <f>AVERAGE(B19:J19)</f>
        <v>0.37176842437148799</v>
      </c>
      <c r="L19" s="50">
        <f t="shared" ref="L19:O19" si="25">K19</f>
        <v>0.37176842437148799</v>
      </c>
      <c r="M19" s="50">
        <f t="shared" si="25"/>
        <v>0.37176842437148799</v>
      </c>
      <c r="N19" s="50">
        <f t="shared" si="25"/>
        <v>0.37176842437148799</v>
      </c>
      <c r="O19" s="50">
        <f t="shared" si="25"/>
        <v>0.37176842437148799</v>
      </c>
      <c r="R19" t="s">
        <v>243</v>
      </c>
    </row>
    <row r="20" spans="1:18" x14ac:dyDescent="0.3">
      <c r="A20" s="46" t="s">
        <v>151</v>
      </c>
      <c r="B20" s="34"/>
      <c r="C20" s="34"/>
      <c r="D20" s="34"/>
      <c r="E20" s="34"/>
      <c r="F20" s="34"/>
      <c r="G20" s="34"/>
      <c r="H20" s="34"/>
      <c r="I20" s="34"/>
      <c r="J20" s="34"/>
      <c r="K20" s="33"/>
      <c r="L20" s="33"/>
      <c r="M20" s="33"/>
      <c r="N20" s="33"/>
      <c r="O20" s="33"/>
    </row>
    <row r="21" spans="1:18" x14ac:dyDescent="0.3">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8752.2828584508861</v>
      </c>
      <c r="L21" s="3">
        <f t="shared" ref="L21:O21" si="26">L68</f>
        <v>9850.8588899299539</v>
      </c>
      <c r="M21" s="3">
        <f t="shared" si="26"/>
        <v>10682.852375078672</v>
      </c>
      <c r="N21" s="3">
        <f t="shared" si="26"/>
        <v>12126.438327720818</v>
      </c>
      <c r="O21" s="3">
        <f t="shared" si="26"/>
        <v>14863.145771741822</v>
      </c>
    </row>
    <row r="22" spans="1:18" x14ac:dyDescent="0.3">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row>
    <row r="23" spans="1:18" x14ac:dyDescent="0.3">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7">L3*L24</f>
        <v>11744.191532617626</v>
      </c>
      <c r="M23" s="3">
        <f t="shared" si="27"/>
        <v>12853.14689175445</v>
      </c>
      <c r="N23" s="3">
        <f t="shared" si="27"/>
        <v>14086.549741427907</v>
      </c>
      <c r="O23" s="3">
        <f t="shared" si="27"/>
        <v>15459.445328830967</v>
      </c>
    </row>
    <row r="24" spans="1:18" x14ac:dyDescent="0.3">
      <c r="A24" s="45" t="s">
        <v>155</v>
      </c>
      <c r="B24" s="50">
        <f>+IFERROR(B23/B$3,"nm")</f>
        <v>0.18182412339466031</v>
      </c>
      <c r="C24" s="50">
        <f t="shared" ref="C24:I24" si="28">+IFERROR(C23/C$3,"nm")</f>
        <v>0.1818631084754139</v>
      </c>
      <c r="D24" s="50">
        <f t="shared" si="28"/>
        <v>0.19458515283842795</v>
      </c>
      <c r="E24" s="50">
        <f t="shared" si="28"/>
        <v>0.17803665137236585</v>
      </c>
      <c r="F24" s="50">
        <f t="shared" si="28"/>
        <v>0.18615947030702765</v>
      </c>
      <c r="G24" s="50">
        <f t="shared" si="28"/>
        <v>0.21035745795791783</v>
      </c>
      <c r="H24" s="50">
        <f t="shared" si="28"/>
        <v>0.19042166240064665</v>
      </c>
      <c r="I24" s="50">
        <f t="shared" si="28"/>
        <v>0.20828516377649325</v>
      </c>
      <c r="J24" s="50">
        <f t="shared" ref="J24" si="29">+IFERROR(J23/J$3,"nm")</f>
        <v>0.18983931116621433</v>
      </c>
      <c r="K24" s="51">
        <f>AVERAGE(B24:J24)</f>
        <v>0.19126356685435197</v>
      </c>
      <c r="L24" s="51">
        <f>K24</f>
        <v>0.19126356685435197</v>
      </c>
      <c r="M24" s="51">
        <f t="shared" ref="M24:O24" si="30">L24</f>
        <v>0.19126356685435197</v>
      </c>
      <c r="N24" s="51">
        <f t="shared" si="30"/>
        <v>0.19126356685435197</v>
      </c>
      <c r="O24" s="51">
        <f t="shared" si="30"/>
        <v>0.19126356685435197</v>
      </c>
    </row>
    <row r="25" spans="1:18" x14ac:dyDescent="0.3">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row>
    <row r="26" spans="1:18" x14ac:dyDescent="0.3">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J26-K52-K6</f>
        <v>5394.4834922985865</v>
      </c>
      <c r="L26" s="3">
        <f t="shared" ref="L26:O26" si="31">K26-L52-L6</f>
        <v>5744.6359178962712</v>
      </c>
      <c r="M26" s="3">
        <f t="shared" si="31"/>
        <v>6138.517001857037</v>
      </c>
      <c r="N26" s="3">
        <f t="shared" si="31"/>
        <v>6580.0743768792472</v>
      </c>
      <c r="O26" s="3">
        <f t="shared" si="31"/>
        <v>7077.1797204271006</v>
      </c>
      <c r="Q26" t="s">
        <v>256</v>
      </c>
    </row>
    <row r="27" spans="1:18" x14ac:dyDescent="0.3">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v>300</v>
      </c>
      <c r="L27" s="3">
        <f>K27+5</f>
        <v>305</v>
      </c>
      <c r="M27" s="3">
        <f t="shared" ref="M27:O27" si="32">L27+5</f>
        <v>310</v>
      </c>
      <c r="N27" s="3">
        <f t="shared" si="32"/>
        <v>315</v>
      </c>
      <c r="O27" s="3">
        <f t="shared" si="32"/>
        <v>320</v>
      </c>
      <c r="P27" t="s">
        <v>262</v>
      </c>
      <c r="R27" t="s">
        <v>245</v>
      </c>
    </row>
    <row r="28" spans="1:18"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row>
    <row r="29" spans="1:18" x14ac:dyDescent="0.3">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row>
    <row r="30" spans="1:18" x14ac:dyDescent="0.3">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row>
    <row r="31" spans="1:18" ht="15" thickBot="1" x14ac:dyDescent="0.35">
      <c r="A31" s="6" t="s">
        <v>160</v>
      </c>
      <c r="B31" s="7">
        <f>B21+B22+B23+B25+B26+B27+B28+B29+B30</f>
        <v>19466</v>
      </c>
      <c r="C31" s="7">
        <f t="shared" ref="C31:G31" si="33">C21+C22+C23+C25+C26+C27+C28+C29+C30</f>
        <v>19205</v>
      </c>
      <c r="D31" s="7">
        <f t="shared" si="33"/>
        <v>21211</v>
      </c>
      <c r="E31" s="7">
        <f t="shared" si="33"/>
        <v>20257</v>
      </c>
      <c r="F31" s="7">
        <f t="shared" si="33"/>
        <v>21105</v>
      </c>
      <c r="G31" s="7">
        <f t="shared" si="33"/>
        <v>29094</v>
      </c>
      <c r="H31" s="7">
        <f t="shared" ref="H31" si="34">H21+H22+H23+H25+H26+H27+H28+H29+H30</f>
        <v>34904</v>
      </c>
      <c r="I31" s="7">
        <f t="shared" ref="I31" si="35">I21+I22+I23+I25+I26+I27+I28+I29+I30</f>
        <v>36963</v>
      </c>
      <c r="J31" s="7">
        <f t="shared" ref="J31" si="36">J21+J22+J23+J25+J26+J27+J28+J29+J30</f>
        <v>34669</v>
      </c>
      <c r="K31" s="81">
        <f>SUM(K25:K30,K21:K23)</f>
        <v>37347.818405003549</v>
      </c>
      <c r="L31" s="81">
        <f t="shared" ref="L31:O31" si="37">SUM(L25:L30,L21:L23)</f>
        <v>39794.686340443848</v>
      </c>
      <c r="M31" s="81">
        <f t="shared" si="37"/>
        <v>42134.51626869016</v>
      </c>
      <c r="N31" s="81">
        <f t="shared" si="37"/>
        <v>45258.062446027972</v>
      </c>
      <c r="O31" s="81">
        <f t="shared" si="37"/>
        <v>49869.770820999889</v>
      </c>
      <c r="Q31" t="s">
        <v>258</v>
      </c>
    </row>
    <row r="32" spans="1:18" ht="15" thickTop="1" x14ac:dyDescent="0.3">
      <c r="A32" t="s">
        <v>161</v>
      </c>
      <c r="B32" s="3">
        <f>B34+B33</f>
        <v>181</v>
      </c>
      <c r="C32" s="3">
        <f t="shared" ref="C32:I32" si="38">C34+C33</f>
        <v>45</v>
      </c>
      <c r="D32" s="3">
        <f t="shared" si="38"/>
        <v>331</v>
      </c>
      <c r="E32" s="3">
        <f t="shared" si="38"/>
        <v>342</v>
      </c>
      <c r="F32" s="3">
        <f t="shared" si="38"/>
        <v>15</v>
      </c>
      <c r="G32" s="3">
        <f t="shared" si="38"/>
        <v>251</v>
      </c>
      <c r="H32" s="3">
        <f t="shared" si="38"/>
        <v>2</v>
      </c>
      <c r="I32" s="3">
        <f t="shared" si="38"/>
        <v>510</v>
      </c>
      <c r="J32" s="3">
        <f t="shared" ref="J32" si="39">J34+J33</f>
        <v>6</v>
      </c>
      <c r="K32" s="3">
        <f>K33+K34</f>
        <v>6</v>
      </c>
      <c r="L32" s="3">
        <f t="shared" ref="L32:O32" si="40">L33+L34</f>
        <v>6</v>
      </c>
      <c r="M32" s="3">
        <f t="shared" si="40"/>
        <v>6</v>
      </c>
      <c r="N32" s="3">
        <f t="shared" si="40"/>
        <v>6</v>
      </c>
      <c r="O32" s="3">
        <f t="shared" si="40"/>
        <v>6</v>
      </c>
    </row>
    <row r="33" spans="1:18"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f>J33</f>
        <v>0</v>
      </c>
      <c r="L33" s="3">
        <f t="shared" ref="L33:O33" si="41">K33</f>
        <v>0</v>
      </c>
      <c r="M33" s="3">
        <f t="shared" si="41"/>
        <v>0</v>
      </c>
      <c r="N33" s="3">
        <f t="shared" si="41"/>
        <v>0</v>
      </c>
      <c r="O33" s="3">
        <f t="shared" si="41"/>
        <v>0</v>
      </c>
      <c r="Q33" t="s">
        <v>259</v>
      </c>
      <c r="R33" t="s">
        <v>247</v>
      </c>
    </row>
    <row r="34" spans="1:18"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42">L34</f>
        <v>6</v>
      </c>
      <c r="N34" s="3">
        <f t="shared" si="42"/>
        <v>6</v>
      </c>
      <c r="O34" s="3">
        <f t="shared" si="42"/>
        <v>6</v>
      </c>
    </row>
    <row r="35" spans="1:18" x14ac:dyDescent="0.3">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row>
    <row r="36" spans="1:18"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J36+K62</f>
        <v>10327</v>
      </c>
      <c r="L36" s="3">
        <f t="shared" ref="L36:O36" si="43">K36-L62</f>
        <v>10319</v>
      </c>
      <c r="M36" s="3">
        <f t="shared" si="43"/>
        <v>10311</v>
      </c>
      <c r="N36" s="3">
        <f t="shared" si="43"/>
        <v>10303</v>
      </c>
      <c r="O36" s="3">
        <f t="shared" si="43"/>
        <v>10303</v>
      </c>
      <c r="Q36" t="s">
        <v>260</v>
      </c>
      <c r="R36" t="s">
        <v>246</v>
      </c>
    </row>
    <row r="37" spans="1:18" x14ac:dyDescent="0.3">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row>
    <row r="38" spans="1:18" x14ac:dyDescent="0.3">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row>
    <row r="39" spans="1:18" x14ac:dyDescent="0.3">
      <c r="A39" t="s">
        <v>164</v>
      </c>
      <c r="B39" s="3">
        <f>SUM(B40:B42)</f>
        <v>12707</v>
      </c>
      <c r="C39" s="3">
        <f t="shared" ref="C39:I39" si="44">SUM(C40:C42)</f>
        <v>12258</v>
      </c>
      <c r="D39" s="3">
        <f t="shared" si="44"/>
        <v>12407</v>
      </c>
      <c r="E39" s="3">
        <f t="shared" si="44"/>
        <v>9812</v>
      </c>
      <c r="F39" s="3">
        <f t="shared" si="44"/>
        <v>9040</v>
      </c>
      <c r="G39" s="3">
        <f t="shared" si="44"/>
        <v>8055</v>
      </c>
      <c r="H39" s="3">
        <f t="shared" si="44"/>
        <v>12767</v>
      </c>
      <c r="I39" s="3">
        <f t="shared" si="44"/>
        <v>15281</v>
      </c>
      <c r="J39" s="3">
        <f t="shared" ref="J39" si="45">SUM(J40:J42)</f>
        <v>14004</v>
      </c>
      <c r="K39" s="3">
        <f>SUM(K40:K42)</f>
        <v>14957.549535109611</v>
      </c>
      <c r="L39" s="3">
        <f t="shared" ref="L39:O39" si="46">SUM(L40:L42)</f>
        <v>17123.412806643501</v>
      </c>
      <c r="M39" s="3">
        <f t="shared" si="46"/>
        <v>19113.361140570807</v>
      </c>
      <c r="N39" s="3">
        <f t="shared" si="46"/>
        <v>21852.050279707248</v>
      </c>
      <c r="O39" s="3">
        <f t="shared" si="46"/>
        <v>26045.675750099585</v>
      </c>
    </row>
    <row r="40" spans="1:18" x14ac:dyDescent="0.3">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f>J40</f>
        <v>3</v>
      </c>
      <c r="L40" s="3">
        <f t="shared" ref="L40:O40" si="47">K40</f>
        <v>3</v>
      </c>
      <c r="M40" s="3">
        <f t="shared" si="47"/>
        <v>3</v>
      </c>
      <c r="N40" s="3">
        <f t="shared" si="47"/>
        <v>3</v>
      </c>
      <c r="O40" s="3">
        <f t="shared" si="47"/>
        <v>3</v>
      </c>
    </row>
    <row r="41" spans="1:18" x14ac:dyDescent="0.3">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J41+K14+K61+K59</f>
        <v>2311.549535109611</v>
      </c>
      <c r="L41" s="3">
        <f>K41+L14+L61+L59</f>
        <v>4477.4128066435005</v>
      </c>
      <c r="M41" s="3">
        <f t="shared" ref="M41:O41" si="48">L41+M14+M61+M59</f>
        <v>6467.361140570807</v>
      </c>
      <c r="N41" s="3">
        <f t="shared" si="48"/>
        <v>9206.0502797072477</v>
      </c>
      <c r="O41" s="3">
        <f t="shared" si="48"/>
        <v>13399.675750099585</v>
      </c>
      <c r="R41" t="s">
        <v>252</v>
      </c>
    </row>
    <row r="42" spans="1:18" x14ac:dyDescent="0.3">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row>
    <row r="43" spans="1:18" ht="15" thickBot="1" x14ac:dyDescent="0.35">
      <c r="A43" s="6" t="s">
        <v>168</v>
      </c>
      <c r="B43" s="7">
        <f>B32+B35+B36+B37+B38+B39</f>
        <v>19466</v>
      </c>
      <c r="C43" s="7">
        <f t="shared" ref="C43:I43" si="49">C32+C35+C36+C37+C38+C39</f>
        <v>19205</v>
      </c>
      <c r="D43" s="7">
        <f t="shared" si="49"/>
        <v>21211</v>
      </c>
      <c r="E43" s="7">
        <f t="shared" si="49"/>
        <v>20257</v>
      </c>
      <c r="F43" s="7">
        <f t="shared" si="49"/>
        <v>21105</v>
      </c>
      <c r="G43" s="7">
        <f t="shared" si="49"/>
        <v>29094</v>
      </c>
      <c r="H43" s="7">
        <f t="shared" si="49"/>
        <v>34904</v>
      </c>
      <c r="I43" s="7">
        <f t="shared" si="49"/>
        <v>36963</v>
      </c>
      <c r="J43" s="7">
        <f t="shared" ref="J43" si="50">J32+J35+J36+J37+J38+J39</f>
        <v>34669</v>
      </c>
      <c r="K43" s="7">
        <f t="shared" ref="K43" si="51">K32+K35+K36+K37+K38+K39</f>
        <v>37022.549535109611</v>
      </c>
      <c r="L43" s="7">
        <f t="shared" ref="L43:O43" si="52">L32+L35+L36+L37+L38+L39</f>
        <v>39180.412806643501</v>
      </c>
      <c r="M43" s="7">
        <f t="shared" si="52"/>
        <v>41162.361140570807</v>
      </c>
      <c r="N43" s="7">
        <f t="shared" si="52"/>
        <v>43893.050279707248</v>
      </c>
      <c r="O43" s="7">
        <f t="shared" si="52"/>
        <v>48086.675750099588</v>
      </c>
    </row>
    <row r="44" spans="1:18" s="1" customFormat="1" ht="15" thickTop="1" x14ac:dyDescent="0.3">
      <c r="A44" s="53" t="s">
        <v>169</v>
      </c>
      <c r="B44" s="53"/>
      <c r="C44" s="53"/>
      <c r="D44" s="53"/>
      <c r="E44" s="53"/>
      <c r="F44" s="53"/>
      <c r="G44" s="53"/>
      <c r="H44" s="53"/>
      <c r="I44" s="53"/>
      <c r="J44" s="53"/>
      <c r="K44" s="53">
        <f>+K43-K31</f>
        <v>-325.26886989393824</v>
      </c>
      <c r="L44" s="53">
        <f t="shared" ref="L44:O44" si="53">+L43-L31</f>
        <v>-614.27353380034765</v>
      </c>
      <c r="M44" s="53">
        <f t="shared" si="53"/>
        <v>-972.15512811935332</v>
      </c>
      <c r="N44" s="53">
        <f t="shared" si="53"/>
        <v>-1365.0121663207246</v>
      </c>
      <c r="O44" s="53">
        <f t="shared" si="53"/>
        <v>-1783.0950709003009</v>
      </c>
    </row>
    <row r="45" spans="1:18" x14ac:dyDescent="0.3">
      <c r="A45" s="46" t="s">
        <v>190</v>
      </c>
      <c r="B45" s="34"/>
      <c r="C45" s="34"/>
      <c r="D45" s="34"/>
      <c r="E45" s="34"/>
      <c r="F45" s="34"/>
      <c r="G45" s="34"/>
      <c r="H45" s="34"/>
      <c r="I45" s="34"/>
      <c r="J45" s="34"/>
      <c r="K45" s="33"/>
      <c r="L45" s="33"/>
      <c r="M45" s="33"/>
      <c r="N45" s="33"/>
      <c r="O45" s="33"/>
    </row>
    <row r="46" spans="1:18"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row>
    <row r="47" spans="1:18" x14ac:dyDescent="0.3">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row>
    <row r="48" spans="1:18" x14ac:dyDescent="0.3">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1615.5627704295102</v>
      </c>
      <c r="L48" s="3">
        <f t="shared" ref="L48:O48" si="54">L12</f>
        <v>1846.3239876940736</v>
      </c>
      <c r="M48" s="3">
        <f t="shared" si="54"/>
        <v>2104.0077246584974</v>
      </c>
      <c r="N48" s="3">
        <f t="shared" si="54"/>
        <v>2423.3210582229053</v>
      </c>
      <c r="O48" s="3">
        <f t="shared" si="54"/>
        <v>2809.785436951403</v>
      </c>
    </row>
    <row r="49" spans="1:18" x14ac:dyDescent="0.3">
      <c r="A49" s="1" t="s">
        <v>171</v>
      </c>
      <c r="B49" s="9">
        <f>B46-B48</f>
        <v>2971</v>
      </c>
      <c r="C49" s="9">
        <f t="shared" ref="C49:K49" si="55">C46-C48</f>
        <v>3894</v>
      </c>
      <c r="D49" s="9">
        <f t="shared" si="55"/>
        <v>4242</v>
      </c>
      <c r="E49" s="9">
        <f t="shared" si="55"/>
        <v>3850</v>
      </c>
      <c r="F49" s="9">
        <f t="shared" si="55"/>
        <v>4093</v>
      </c>
      <c r="G49" s="9">
        <f t="shared" si="55"/>
        <v>1948</v>
      </c>
      <c r="H49" s="9">
        <f t="shared" si="55"/>
        <v>5746</v>
      </c>
      <c r="I49" s="9">
        <f t="shared" si="55"/>
        <v>5625</v>
      </c>
      <c r="J49" s="9">
        <f t="shared" ref="J49" si="56">J46-J48</f>
        <v>4678</v>
      </c>
      <c r="K49" s="9">
        <f t="shared" si="55"/>
        <v>6813.4265370175408</v>
      </c>
      <c r="L49" s="9">
        <f t="shared" ref="L49:O49" si="57">L46-L48</f>
        <v>7712.6213513991715</v>
      </c>
      <c r="M49" s="9">
        <f t="shared" si="57"/>
        <v>8820.5123774346739</v>
      </c>
      <c r="N49" s="9">
        <f t="shared" si="57"/>
        <v>10143.000407101861</v>
      </c>
      <c r="O49" s="9">
        <f t="shared" si="57"/>
        <v>11742.500542882244</v>
      </c>
    </row>
    <row r="50" spans="1:18" x14ac:dyDescent="0.3">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K73*J70</f>
        <v>299.26886989394183</v>
      </c>
      <c r="L50" s="3">
        <f t="shared" ref="L50:O50" si="58">L73*K70</f>
        <v>268.00466390641185</v>
      </c>
      <c r="M50" s="3">
        <f t="shared" si="58"/>
        <v>336.88159431900181</v>
      </c>
      <c r="N50" s="3">
        <f t="shared" si="58"/>
        <v>371.85703820137314</v>
      </c>
      <c r="O50" s="3">
        <f t="shared" si="58"/>
        <v>413.08290457957776</v>
      </c>
      <c r="R50" s="19" t="s">
        <v>248</v>
      </c>
    </row>
    <row r="51" spans="1:18" x14ac:dyDescent="0.3">
      <c r="A51" t="s">
        <v>173</v>
      </c>
      <c r="B51" s="3">
        <v>2443</v>
      </c>
      <c r="C51" s="3">
        <f>B23-C23</f>
        <v>-324</v>
      </c>
      <c r="D51" s="3">
        <f t="shared" ref="D51:J51" si="59">C23-D23</f>
        <v>-796</v>
      </c>
      <c r="E51" s="3">
        <f t="shared" si="59"/>
        <v>204</v>
      </c>
      <c r="F51" s="3">
        <f t="shared" si="59"/>
        <v>-802</v>
      </c>
      <c r="G51" s="3">
        <f t="shared" si="59"/>
        <v>-586</v>
      </c>
      <c r="H51" s="3">
        <f t="shared" si="59"/>
        <v>-613</v>
      </c>
      <c r="I51" s="3">
        <f t="shared" si="59"/>
        <v>-1248</v>
      </c>
      <c r="J51" s="3">
        <f t="shared" si="59"/>
        <v>6</v>
      </c>
      <c r="K51" s="3">
        <f>J23-K23</f>
        <v>-1028.052054254078</v>
      </c>
      <c r="L51" s="3">
        <f t="shared" ref="L51" si="60">K23-L23</f>
        <v>-993.13947836354782</v>
      </c>
      <c r="M51" s="3">
        <f t="shared" ref="M51" si="61">L23-M23</f>
        <v>-1108.955359136824</v>
      </c>
      <c r="N51" s="3">
        <f t="shared" ref="N51" si="62">M23-N23</f>
        <v>-1233.4028496734572</v>
      </c>
      <c r="O51" s="3">
        <f t="shared" ref="O51" si="63">N23-O23</f>
        <v>-1372.8955874030598</v>
      </c>
    </row>
    <row r="52" spans="1:18" x14ac:dyDescent="0.3">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row>
    <row r="53" spans="1:18" x14ac:dyDescent="0.3">
      <c r="A53" s="1" t="s">
        <v>174</v>
      </c>
      <c r="B53" s="42">
        <f t="shared" ref="B53:H53" si="64">+B49+B47-B50+B51+B52</f>
        <v>5004</v>
      </c>
      <c r="C53" s="42">
        <f t="shared" si="64"/>
        <v>3006</v>
      </c>
      <c r="D53" s="42">
        <f t="shared" si="64"/>
        <v>2949</v>
      </c>
      <c r="E53" s="42">
        <f t="shared" si="64"/>
        <v>3648</v>
      </c>
      <c r="F53" s="42">
        <f t="shared" si="64"/>
        <v>2724</v>
      </c>
      <c r="G53" s="42">
        <f t="shared" si="64"/>
        <v>857</v>
      </c>
      <c r="H53" s="42">
        <f t="shared" si="64"/>
        <v>4889</v>
      </c>
      <c r="I53" s="42">
        <f>+I49+I47-I50+I51+I52</f>
        <v>4046</v>
      </c>
      <c r="J53" s="42">
        <f>+J49+J47-J50+J51+J52</f>
        <v>4071</v>
      </c>
      <c r="K53" s="42">
        <f t="shared" ref="K53" si="65">K49+K47-K52-K51</f>
        <v>9808.5045132517571</v>
      </c>
      <c r="L53" s="42">
        <f t="shared" ref="L53:O53" si="66">L49+L47-L52-L51</f>
        <v>10910.45791811293</v>
      </c>
      <c r="M53" s="42">
        <f t="shared" si="66"/>
        <v>12406.723793858659</v>
      </c>
      <c r="N53" s="42">
        <f t="shared" si="66"/>
        <v>14170.655274808827</v>
      </c>
      <c r="O53" s="42">
        <f t="shared" si="66"/>
        <v>16275.314823818177</v>
      </c>
    </row>
    <row r="54" spans="1:18" x14ac:dyDescent="0.3">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c r="L54" s="3"/>
      <c r="M54" s="3"/>
      <c r="N54" s="3"/>
      <c r="O54" s="3"/>
      <c r="R54" t="s">
        <v>249</v>
      </c>
    </row>
    <row r="55" spans="1:18" x14ac:dyDescent="0.3">
      <c r="A55" s="26" t="s">
        <v>176</v>
      </c>
      <c r="B55" s="25">
        <f t="shared" ref="B55:H55" si="67">+B49+B47+B51+B54</f>
        <v>4680</v>
      </c>
      <c r="C55" s="25">
        <f t="shared" si="67"/>
        <v>3096</v>
      </c>
      <c r="D55" s="25">
        <f t="shared" si="67"/>
        <v>3846</v>
      </c>
      <c r="E55" s="25">
        <f t="shared" si="67"/>
        <v>4955</v>
      </c>
      <c r="F55" s="25">
        <f t="shared" si="67"/>
        <v>5903</v>
      </c>
      <c r="G55" s="25">
        <f t="shared" si="67"/>
        <v>2485</v>
      </c>
      <c r="H55" s="25">
        <f t="shared" si="67"/>
        <v>6657</v>
      </c>
      <c r="I55" s="25">
        <f>+I49+I47+I51+I54</f>
        <v>5188</v>
      </c>
      <c r="J55" s="25">
        <f>+J49+J47+J51+J54</f>
        <v>5841</v>
      </c>
      <c r="K55" s="25">
        <f t="shared" ref="K55" si="68">+K49+K47+K51+K54</f>
        <v>6612.1456976042382</v>
      </c>
      <c r="L55" s="25">
        <f t="shared" ref="L55:O55" si="69">+L49+L47+L51+L54</f>
        <v>7646.7542044118873</v>
      </c>
      <c r="M55" s="25">
        <f t="shared" si="69"/>
        <v>8753.2445049610469</v>
      </c>
      <c r="N55" s="25">
        <f t="shared" si="69"/>
        <v>10085.944878934053</v>
      </c>
      <c r="O55" s="25">
        <f t="shared" si="69"/>
        <v>11701.011630471694</v>
      </c>
    </row>
    <row r="56" spans="1:18" x14ac:dyDescent="0.3">
      <c r="A56" t="s">
        <v>177</v>
      </c>
      <c r="B56" s="3"/>
      <c r="C56" s="3"/>
      <c r="D56" s="3"/>
      <c r="E56" s="3"/>
      <c r="F56" s="3"/>
      <c r="G56" s="3"/>
      <c r="H56" s="3"/>
      <c r="I56" s="3"/>
      <c r="J56" s="3"/>
      <c r="K56" s="3"/>
      <c r="L56" s="3"/>
      <c r="M56" s="3"/>
      <c r="N56" s="3"/>
      <c r="O56" s="3"/>
    </row>
    <row r="57" spans="1:18" x14ac:dyDescent="0.3">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c r="L57" s="3"/>
      <c r="M57" s="3"/>
      <c r="N57" s="3"/>
      <c r="O57" s="3"/>
      <c r="R57" t="s">
        <v>249</v>
      </c>
    </row>
    <row r="58" spans="1:18" x14ac:dyDescent="0.3">
      <c r="A58" s="26" t="s">
        <v>179</v>
      </c>
      <c r="B58" s="25">
        <f>B52+B57</f>
        <v>-175</v>
      </c>
      <c r="C58" s="25">
        <f t="shared" ref="C58:I58" si="70">C52+C57</f>
        <v>-1034</v>
      </c>
      <c r="D58" s="25">
        <f t="shared" si="70"/>
        <v>-1008</v>
      </c>
      <c r="E58" s="25">
        <f t="shared" si="70"/>
        <v>276</v>
      </c>
      <c r="F58" s="25">
        <f t="shared" si="70"/>
        <v>-264</v>
      </c>
      <c r="G58" s="25">
        <f t="shared" si="70"/>
        <v>-1028</v>
      </c>
      <c r="H58" s="25">
        <f t="shared" si="70"/>
        <v>-3800</v>
      </c>
      <c r="I58" s="25">
        <f t="shared" si="70"/>
        <v>-1524</v>
      </c>
      <c r="J58" s="25">
        <f t="shared" ref="J58" si="71">J52+J57</f>
        <v>564</v>
      </c>
      <c r="K58" s="25">
        <f>K52+K57-K50</f>
        <v>-1439.5235770333043</v>
      </c>
      <c r="L58" s="25">
        <f t="shared" ref="L58:O58" si="72">L52+L57-L50</f>
        <v>-1545.4294208803601</v>
      </c>
      <c r="M58" s="25">
        <f t="shared" si="72"/>
        <v>-1772.4501649429649</v>
      </c>
      <c r="N58" s="25">
        <f t="shared" si="72"/>
        <v>-1989.7617347292319</v>
      </c>
      <c r="O58" s="25">
        <f t="shared" si="72"/>
        <v>-2241.5949231199406</v>
      </c>
      <c r="Q58" t="s">
        <v>257</v>
      </c>
    </row>
    <row r="59" spans="1:18" x14ac:dyDescent="0.3">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J59*(1+K60)</f>
        <v>-3138.85</v>
      </c>
      <c r="L59" s="3">
        <f t="shared" ref="L59:O59" si="73">K59*(1+L60)</f>
        <v>-2511.08</v>
      </c>
      <c r="M59" s="3">
        <f t="shared" si="73"/>
        <v>-3339.7364000000002</v>
      </c>
      <c r="N59" s="3">
        <f t="shared" si="73"/>
        <v>-3399.8516552000001</v>
      </c>
      <c r="O59" s="3">
        <f t="shared" si="73"/>
        <v>-2923.8724234720003</v>
      </c>
      <c r="R59" t="s">
        <v>250</v>
      </c>
    </row>
    <row r="60" spans="1:18" x14ac:dyDescent="0.3">
      <c r="A60" s="45" t="s">
        <v>129</v>
      </c>
      <c r="B60" s="50" t="str">
        <f>+IFERROR(B59/A59-1,"nm")</f>
        <v>nm</v>
      </c>
      <c r="C60" s="50">
        <f t="shared" ref="C60:J60" si="74">+IFERROR(C59/B59-1,"nm")</f>
        <v>0.35198019801980207</v>
      </c>
      <c r="D60" s="50">
        <f t="shared" si="74"/>
        <v>1.0984987184181616E-3</v>
      </c>
      <c r="E60" s="50">
        <f t="shared" si="74"/>
        <v>0.28785662033650339</v>
      </c>
      <c r="F60" s="50">
        <f t="shared" si="74"/>
        <v>1.8460664583924924E-2</v>
      </c>
      <c r="G60" s="50">
        <f t="shared" si="74"/>
        <v>-0.39152258784160621</v>
      </c>
      <c r="H60" s="50">
        <f t="shared" si="74"/>
        <v>-1.2584784601283228</v>
      </c>
      <c r="I60" s="50">
        <f t="shared" si="74"/>
        <v>-6.0762411347517729</v>
      </c>
      <c r="J60" s="50">
        <f t="shared" si="74"/>
        <v>0.68669228082431011</v>
      </c>
      <c r="K60" s="50">
        <v>-0.35</v>
      </c>
      <c r="L60" s="50">
        <v>-0.2</v>
      </c>
      <c r="M60" s="50">
        <v>0.33</v>
      </c>
      <c r="N60" s="50">
        <v>1.7999999999999999E-2</v>
      </c>
      <c r="O60" s="50">
        <v>-0.14000000000000001</v>
      </c>
    </row>
    <row r="61" spans="1:18" x14ac:dyDescent="0.3">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-2421.7581320139884</v>
      </c>
      <c r="L61" s="3">
        <f t="shared" ref="L61:O61" si="75">-L17*L15</f>
        <v>-2767.67341595887</v>
      </c>
      <c r="M61" s="3">
        <f t="shared" si="75"/>
        <v>-3153.946049188366</v>
      </c>
      <c r="N61" s="3">
        <f t="shared" si="75"/>
        <v>-3632.6025745640477</v>
      </c>
      <c r="O61" s="3">
        <f t="shared" si="75"/>
        <v>-4211.9197444383271</v>
      </c>
    </row>
    <row r="62" spans="1:18" x14ac:dyDescent="0.3">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v>1400</v>
      </c>
      <c r="L62" s="3">
        <v>8</v>
      </c>
      <c r="M62" s="3">
        <v>8</v>
      </c>
      <c r="N62" s="3">
        <v>8</v>
      </c>
      <c r="O62" s="3">
        <v>0</v>
      </c>
    </row>
    <row r="63" spans="1:18" x14ac:dyDescent="0.3">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c r="L63" s="3"/>
      <c r="M63" s="3"/>
      <c r="N63" s="3"/>
      <c r="O63" s="3"/>
      <c r="R63" t="s">
        <v>249</v>
      </c>
    </row>
    <row r="64" spans="1:18" x14ac:dyDescent="0.3">
      <c r="A64" s="26" t="s">
        <v>184</v>
      </c>
      <c r="B64" s="25">
        <f>B59+B61+B62+B63</f>
        <v>-2790</v>
      </c>
      <c r="C64" s="25">
        <f t="shared" ref="C64:H64" si="76">C59+C61+C62+C63</f>
        <v>-2671</v>
      </c>
      <c r="D64" s="25">
        <f t="shared" si="76"/>
        <v>-2148</v>
      </c>
      <c r="E64" s="25">
        <f t="shared" si="76"/>
        <v>-4835</v>
      </c>
      <c r="F64" s="25">
        <f t="shared" si="76"/>
        <v>-5293</v>
      </c>
      <c r="G64" s="25">
        <f t="shared" si="76"/>
        <v>2491</v>
      </c>
      <c r="H64" s="25">
        <f t="shared" si="76"/>
        <v>-1459</v>
      </c>
      <c r="I64" s="25">
        <f>I59+I61+I62+I63</f>
        <v>-4836</v>
      </c>
      <c r="J64" s="25">
        <f>J59+J61+J62+J63</f>
        <v>-7447</v>
      </c>
      <c r="K64" s="25">
        <f>K59+K61+K62+K63+K10</f>
        <v>-3861.3392621200464</v>
      </c>
      <c r="L64" s="25">
        <f>L59+L61+L62+L63+L10</f>
        <v>-5002.7487520524583</v>
      </c>
      <c r="M64" s="25">
        <f t="shared" ref="M64:O64" si="77">M59+M61+M62+M63+M10</f>
        <v>-6148.8008548693642</v>
      </c>
      <c r="N64" s="25">
        <f t="shared" si="77"/>
        <v>-6652.5971915626742</v>
      </c>
      <c r="O64" s="25">
        <f t="shared" si="77"/>
        <v>-6722.7092633307493</v>
      </c>
      <c r="P64" t="s">
        <v>261</v>
      </c>
      <c r="R64" t="s">
        <v>251</v>
      </c>
    </row>
    <row r="65" spans="1:18" x14ac:dyDescent="0.3">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c r="L65" s="3"/>
      <c r="M65" s="3"/>
      <c r="N65" s="3"/>
      <c r="O65" s="3"/>
      <c r="R65" t="s">
        <v>249</v>
      </c>
    </row>
    <row r="66" spans="1:18" x14ac:dyDescent="0.3">
      <c r="A66" s="26" t="s">
        <v>186</v>
      </c>
      <c r="B66" s="25">
        <f t="shared" ref="B66:I66" si="78">B55+B58+B64+B65</f>
        <v>1632</v>
      </c>
      <c r="C66" s="25">
        <f t="shared" si="78"/>
        <v>-714</v>
      </c>
      <c r="D66" s="25">
        <f t="shared" si="78"/>
        <v>670</v>
      </c>
      <c r="E66" s="25">
        <f t="shared" si="78"/>
        <v>441</v>
      </c>
      <c r="F66" s="25">
        <f t="shared" si="78"/>
        <v>217</v>
      </c>
      <c r="G66" s="25">
        <f t="shared" si="78"/>
        <v>3882</v>
      </c>
      <c r="H66" s="25">
        <f t="shared" si="78"/>
        <v>1541</v>
      </c>
      <c r="I66" s="25">
        <f t="shared" si="78"/>
        <v>-1315</v>
      </c>
      <c r="J66" s="25">
        <f t="shared" ref="J66" si="79">J55+J58+J64+J65</f>
        <v>-1133</v>
      </c>
      <c r="K66" s="25">
        <f>K55+K58+K64+K65</f>
        <v>1311.282858450887</v>
      </c>
      <c r="L66" s="25">
        <f t="shared" ref="L66:O66" si="80">L55+L58+L64+L65</f>
        <v>1098.5760314790687</v>
      </c>
      <c r="M66" s="25">
        <f t="shared" si="80"/>
        <v>831.99348514871781</v>
      </c>
      <c r="N66" s="25">
        <f t="shared" si="80"/>
        <v>1443.5859526421473</v>
      </c>
      <c r="O66" s="25">
        <f t="shared" si="80"/>
        <v>2736.7074440210035</v>
      </c>
    </row>
    <row r="67" spans="1:18" x14ac:dyDescent="0.3">
      <c r="A67" t="s">
        <v>187</v>
      </c>
      <c r="B67" s="3">
        <f>Historicals!B97</f>
        <v>2220</v>
      </c>
      <c r="C67" s="3">
        <f>B68</f>
        <v>3852</v>
      </c>
      <c r="D67" s="3">
        <f t="shared" ref="D67:J67" si="81">C68</f>
        <v>3138</v>
      </c>
      <c r="E67" s="3">
        <f t="shared" si="81"/>
        <v>3808</v>
      </c>
      <c r="F67" s="3">
        <f t="shared" si="81"/>
        <v>4249</v>
      </c>
      <c r="G67" s="3">
        <f t="shared" si="81"/>
        <v>4466</v>
      </c>
      <c r="H67" s="3">
        <f t="shared" si="81"/>
        <v>8348</v>
      </c>
      <c r="I67" s="3">
        <f t="shared" si="81"/>
        <v>9889</v>
      </c>
      <c r="J67" s="3">
        <f t="shared" si="81"/>
        <v>8574</v>
      </c>
      <c r="K67" s="3">
        <f t="shared" ref="K67" si="82">J68</f>
        <v>7441</v>
      </c>
      <c r="L67" s="3">
        <f t="shared" ref="L67" si="83">K68</f>
        <v>8752.2828584508861</v>
      </c>
      <c r="M67" s="3">
        <f t="shared" ref="M67" si="84">L68</f>
        <v>9850.8588899299539</v>
      </c>
      <c r="N67" s="3">
        <f t="shared" ref="N67" si="85">M68</f>
        <v>10682.852375078672</v>
      </c>
      <c r="O67" s="3">
        <f t="shared" ref="O67" si="86">N68</f>
        <v>12126.438327720818</v>
      </c>
    </row>
    <row r="68" spans="1:18" ht="15" thickBot="1" x14ac:dyDescent="0.35">
      <c r="A68" s="6" t="s">
        <v>188</v>
      </c>
      <c r="B68" s="7">
        <f>B66+B67</f>
        <v>3852</v>
      </c>
      <c r="C68" s="7">
        <f t="shared" ref="C68:I68" si="87">C66+C67</f>
        <v>3138</v>
      </c>
      <c r="D68" s="7">
        <f t="shared" si="87"/>
        <v>3808</v>
      </c>
      <c r="E68" s="7">
        <f t="shared" si="87"/>
        <v>4249</v>
      </c>
      <c r="F68" s="7">
        <f t="shared" si="87"/>
        <v>4466</v>
      </c>
      <c r="G68" s="7">
        <f t="shared" si="87"/>
        <v>8348</v>
      </c>
      <c r="H68" s="7">
        <f t="shared" si="87"/>
        <v>9889</v>
      </c>
      <c r="I68" s="7">
        <f t="shared" si="87"/>
        <v>8574</v>
      </c>
      <c r="J68" s="7">
        <f t="shared" ref="J68" si="88">J66+J67</f>
        <v>7441</v>
      </c>
      <c r="K68" s="7">
        <f>K66+K67</f>
        <v>8752.2828584508861</v>
      </c>
      <c r="L68" s="7">
        <f t="shared" ref="L68:O68" si="89">L66+L67</f>
        <v>9850.8588899299539</v>
      </c>
      <c r="M68" s="7">
        <f t="shared" si="89"/>
        <v>10682.852375078672</v>
      </c>
      <c r="N68" s="7">
        <f t="shared" si="89"/>
        <v>12126.438327720818</v>
      </c>
      <c r="O68" s="7">
        <f t="shared" si="89"/>
        <v>14863.145771741822</v>
      </c>
    </row>
    <row r="69" spans="1:18" ht="15" thickTop="1" x14ac:dyDescent="0.3">
      <c r="A69" s="53" t="s">
        <v>169</v>
      </c>
      <c r="B69" s="72">
        <f t="shared" ref="B69:H69" si="90">+B68-B21</f>
        <v>0</v>
      </c>
      <c r="C69" s="72">
        <f t="shared" si="90"/>
        <v>0</v>
      </c>
      <c r="D69" s="72">
        <f t="shared" si="90"/>
        <v>0</v>
      </c>
      <c r="E69" s="72">
        <f t="shared" si="90"/>
        <v>0</v>
      </c>
      <c r="F69" s="72">
        <f t="shared" si="90"/>
        <v>0</v>
      </c>
      <c r="G69" s="72">
        <f t="shared" si="90"/>
        <v>0</v>
      </c>
      <c r="H69" s="72">
        <f t="shared" si="90"/>
        <v>0</v>
      </c>
      <c r="I69" s="72">
        <f>+I68-I21</f>
        <v>0</v>
      </c>
      <c r="J69" s="72">
        <f>+J68-J21</f>
        <v>0</v>
      </c>
      <c r="K69" s="72">
        <f t="shared" ref="K69:O69" si="91">+K68-K21</f>
        <v>0</v>
      </c>
      <c r="L69" s="72">
        <f t="shared" si="91"/>
        <v>0</v>
      </c>
      <c r="M69" s="72">
        <f t="shared" si="91"/>
        <v>0</v>
      </c>
      <c r="N69" s="72">
        <f t="shared" si="91"/>
        <v>0</v>
      </c>
      <c r="O69" s="72">
        <f t="shared" si="91"/>
        <v>0</v>
      </c>
    </row>
    <row r="70" spans="1:18" x14ac:dyDescent="0.3">
      <c r="A70" s="1" t="s">
        <v>189</v>
      </c>
      <c r="B70" s="42">
        <f>B62-(B68+B67)</f>
        <v>-6142</v>
      </c>
      <c r="C70" s="42">
        <f t="shared" ref="C70:N70" si="92">C62-(C68+C67)</f>
        <v>-6182</v>
      </c>
      <c r="D70" s="42">
        <f t="shared" si="92"/>
        <v>-5181</v>
      </c>
      <c r="E70" s="42">
        <f t="shared" si="92"/>
        <v>-8050</v>
      </c>
      <c r="F70" s="42">
        <f t="shared" si="92"/>
        <v>-9046</v>
      </c>
      <c r="G70" s="42">
        <f t="shared" si="92"/>
        <v>-6637</v>
      </c>
      <c r="H70" s="42">
        <f t="shared" si="92"/>
        <v>-18486</v>
      </c>
      <c r="I70" s="42">
        <f t="shared" si="92"/>
        <v>-18448</v>
      </c>
      <c r="J70" s="42">
        <f t="shared" ref="J70" si="93">J62-(J68+J67)</f>
        <v>-16519</v>
      </c>
      <c r="K70" s="42">
        <f>K62-(K68+K67)</f>
        <v>-14793.282858450886</v>
      </c>
      <c r="L70" s="42">
        <f t="shared" si="92"/>
        <v>-18595.14174838084</v>
      </c>
      <c r="M70" s="42">
        <f t="shared" si="92"/>
        <v>-20525.711265008627</v>
      </c>
      <c r="N70" s="42">
        <f t="shared" si="92"/>
        <v>-22801.290702799488</v>
      </c>
      <c r="O70" s="42">
        <f t="shared" ref="O70" si="94">O62-(O68+O67)</f>
        <v>-26989.584099462641</v>
      </c>
    </row>
    <row r="73" spans="1:18" x14ac:dyDescent="0.3">
      <c r="A73" t="s">
        <v>244</v>
      </c>
      <c r="B73">
        <f>B50/B70</f>
        <v>-8.6291110387495921E-3</v>
      </c>
      <c r="C73">
        <f t="shared" ref="C73:J73" si="95">C50/C70</f>
        <v>-1.1323196376577159E-2</v>
      </c>
      <c r="D73">
        <f t="shared" si="95"/>
        <v>-1.8915267322910635E-2</v>
      </c>
      <c r="E73">
        <f t="shared" si="95"/>
        <v>-1.5527950310559006E-2</v>
      </c>
      <c r="F73">
        <f t="shared" si="95"/>
        <v>-1.6913552951580809E-2</v>
      </c>
      <c r="G73">
        <f t="shared" si="95"/>
        <v>-2.1093867711315353E-2</v>
      </c>
      <c r="H73">
        <f t="shared" si="95"/>
        <v>-1.5849832305528506E-2</v>
      </c>
      <c r="I73">
        <f t="shared" si="95"/>
        <v>-1.5719861231569817E-2</v>
      </c>
      <c r="J73">
        <f t="shared" si="95"/>
        <v>-2.1006114171560022E-2</v>
      </c>
      <c r="K73">
        <f>AVERAGE(F73:J73)</f>
        <v>-1.8116645674310903E-2</v>
      </c>
      <c r="L73">
        <f>K73</f>
        <v>-1.8116645674310903E-2</v>
      </c>
      <c r="M73">
        <f t="shared" ref="M73:O73" si="96">L73</f>
        <v>-1.8116645674310903E-2</v>
      </c>
      <c r="N73">
        <f t="shared" si="96"/>
        <v>-1.8116645674310903E-2</v>
      </c>
      <c r="O73">
        <f t="shared" si="96"/>
        <v>-1.8116645674310903E-2</v>
      </c>
    </row>
    <row r="76" spans="1:18" x14ac:dyDescent="0.3">
      <c r="A76" t="s">
        <v>254</v>
      </c>
      <c r="B76">
        <v>108.75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2023-12-15T18:11:00Z</dcterms:modified>
</cp:coreProperties>
</file>