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8469126-84EE-4B80-81FC-2C754BF0570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Financial Statements" sheetId="1" r:id="rId1"/>
    <sheet name="Instructions" sheetId="2" r:id="rId2"/>
    <sheet name="List of Ratios" sheetId="3" r:id="rId3"/>
    <sheet name="Additional 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D54" i="3"/>
  <c r="B154" i="1"/>
  <c r="E55" i="3"/>
  <c r="E54" i="3"/>
  <c r="D108" i="1" l="1"/>
  <c r="C108" i="1"/>
  <c r="B108" i="1"/>
  <c r="D99" i="1"/>
  <c r="C99" i="1"/>
  <c r="B99" i="1"/>
  <c r="D68" i="1" l="1"/>
  <c r="E42" i="3" s="1"/>
  <c r="C68" i="1"/>
  <c r="D42" i="3" s="1"/>
  <c r="B68" i="1"/>
  <c r="C42" i="3" s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80" i="3" l="1"/>
  <c r="D52" i="3"/>
  <c r="C12" i="3"/>
  <c r="C81" i="3"/>
  <c r="E52" i="3"/>
  <c r="B152" i="1"/>
  <c r="D12" i="3"/>
  <c r="D80" i="3"/>
  <c r="D81" i="3"/>
  <c r="E81" i="3"/>
  <c r="E12" i="3"/>
  <c r="E80" i="3"/>
  <c r="C76" i="3"/>
  <c r="E53" i="3"/>
  <c r="D76" i="3"/>
  <c r="E76" i="3"/>
  <c r="C13" i="1"/>
  <c r="D34" i="3"/>
  <c r="D35" i="3"/>
  <c r="D11" i="3"/>
  <c r="D17" i="3"/>
  <c r="E36" i="3"/>
  <c r="E9" i="3"/>
  <c r="E10" i="3"/>
  <c r="B48" i="1"/>
  <c r="C13" i="3"/>
  <c r="C5" i="3"/>
  <c r="C8" i="3"/>
  <c r="E6" i="3"/>
  <c r="E7" i="3"/>
  <c r="C11" i="3"/>
  <c r="C17" i="3"/>
  <c r="C34" i="3"/>
  <c r="C35" i="3"/>
  <c r="C62" i="1"/>
  <c r="D6" i="3"/>
  <c r="D7" i="3"/>
  <c r="D13" i="1"/>
  <c r="E34" i="3"/>
  <c r="E11" i="3"/>
  <c r="E17" i="3"/>
  <c r="E35" i="3"/>
  <c r="D8" i="3"/>
  <c r="D13" i="3"/>
  <c r="D5" i="3"/>
  <c r="D9" i="3"/>
  <c r="D10" i="3"/>
  <c r="D36" i="3"/>
  <c r="C9" i="3"/>
  <c r="C36" i="3"/>
  <c r="C10" i="3"/>
  <c r="E13" i="3"/>
  <c r="E8" i="3"/>
  <c r="E5" i="3"/>
  <c r="C6" i="3"/>
  <c r="C7" i="3"/>
  <c r="B13" i="1"/>
  <c r="B62" i="1"/>
  <c r="C48" i="1"/>
  <c r="D62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51" i="3" l="1"/>
  <c r="D43" i="3"/>
  <c r="E56" i="3"/>
  <c r="E57" i="3"/>
  <c r="D51" i="3"/>
  <c r="B69" i="1"/>
  <c r="D57" i="3"/>
  <c r="C51" i="3"/>
  <c r="B18" i="1"/>
  <c r="C77" i="3" s="1"/>
  <c r="D53" i="3"/>
  <c r="C79" i="3"/>
  <c r="C18" i="1"/>
  <c r="D77" i="3" s="1"/>
  <c r="D79" i="3"/>
  <c r="B153" i="1"/>
  <c r="D18" i="1"/>
  <c r="E77" i="3" s="1"/>
  <c r="E79" i="3"/>
  <c r="D56" i="3"/>
  <c r="E43" i="3"/>
  <c r="C43" i="3"/>
  <c r="D25" i="3"/>
  <c r="D26" i="3"/>
  <c r="C20" i="1"/>
  <c r="D30" i="3"/>
  <c r="D69" i="1"/>
  <c r="E27" i="3" s="1"/>
  <c r="E26" i="3"/>
  <c r="E25" i="3"/>
  <c r="C69" i="1"/>
  <c r="C26" i="3"/>
  <c r="C25" i="3"/>
  <c r="A24" i="3"/>
  <c r="A25" i="3" s="1"/>
  <c r="A26" i="3" s="1"/>
  <c r="A27" i="3" s="1"/>
  <c r="A28" i="3" s="1"/>
  <c r="A29" i="3" s="1"/>
  <c r="A30" i="3" s="1"/>
  <c r="C30" i="3" l="1"/>
  <c r="C27" i="3"/>
  <c r="D58" i="3"/>
  <c r="D49" i="3"/>
  <c r="D48" i="3"/>
  <c r="D28" i="3"/>
  <c r="D18" i="3"/>
  <c r="E30" i="3"/>
  <c r="B20" i="1"/>
  <c r="C20" i="3" s="1"/>
  <c r="D27" i="3"/>
  <c r="E58" i="3"/>
  <c r="D20" i="1"/>
  <c r="A33" i="3"/>
  <c r="C22" i="1"/>
  <c r="D20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E18" i="3" l="1"/>
  <c r="E28" i="3"/>
  <c r="E49" i="3"/>
  <c r="E48" i="3"/>
  <c r="E50" i="3"/>
  <c r="C18" i="3"/>
  <c r="C49" i="3"/>
  <c r="C48" i="3"/>
  <c r="C28" i="3"/>
  <c r="D50" i="3"/>
  <c r="C50" i="3"/>
  <c r="B22" i="1"/>
  <c r="C22" i="3" s="1"/>
  <c r="E20" i="3"/>
  <c r="D22" i="1"/>
  <c r="D78" i="3"/>
  <c r="D47" i="3"/>
  <c r="D45" i="3"/>
  <c r="D46" i="3"/>
  <c r="E41" i="3"/>
  <c r="E40" i="3"/>
  <c r="E44" i="3"/>
  <c r="E22" i="3"/>
  <c r="D44" i="3"/>
  <c r="D41" i="3"/>
  <c r="D40" i="3"/>
  <c r="D76" i="1"/>
  <c r="D91" i="1" s="1"/>
  <c r="D109" i="1" s="1"/>
  <c r="E37" i="3"/>
  <c r="E29" i="3"/>
  <c r="C76" i="1"/>
  <c r="C91" i="1" s="1"/>
  <c r="C109" i="1" s="1"/>
  <c r="D37" i="3"/>
  <c r="D29" i="3"/>
  <c r="D22" i="3"/>
  <c r="C41" i="3" l="1"/>
  <c r="C29" i="3"/>
  <c r="C44" i="3"/>
  <c r="E78" i="3"/>
  <c r="E47" i="3"/>
  <c r="E45" i="3"/>
  <c r="E46" i="3"/>
  <c r="C78" i="3"/>
  <c r="C45" i="3"/>
  <c r="C46" i="3"/>
  <c r="C37" i="3"/>
  <c r="B76" i="1"/>
  <c r="B91" i="1" s="1"/>
  <c r="B109" i="1" s="1"/>
  <c r="C40" i="3"/>
</calcChain>
</file>

<file path=xl/sharedStrings.xml><?xml version="1.0" encoding="utf-8"?>
<sst xmlns="http://schemas.openxmlformats.org/spreadsheetml/2006/main" count="278" uniqueCount="243">
  <si>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</si>
  <si>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</si>
  <si>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</si>
  <si>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</si>
  <si>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</si>
  <si>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</si>
  <si>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</si>
  <si>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</si>
  <si>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</si>
  <si>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</si>
  <si>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</si>
  <si>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</si>
  <si>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</si>
  <si>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</si>
  <si>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</si>
  <si>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</si>
  <si>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</si>
  <si>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</si>
  <si>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</si>
  <si>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</si>
  <si>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</si>
  <si>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</si>
  <si>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</si>
  <si>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</si>
  <si>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</si>
  <si>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</si>
  <si>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</si>
  <si>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</si>
  <si>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</si>
  <si>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</si>
  <si>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</si>
  <si>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</si>
  <si>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</si>
  <si>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</si>
  <si>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</si>
  <si>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</si>
  <si>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</si>
  <si>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</si>
  <si>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</si>
  <si>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</si>
  <si>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</si>
  <si>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</si>
  <si>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</si>
  <si>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</si>
  <si>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</si>
  <si>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</si>
  <si>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</si>
  <si>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</si>
  <si>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</si>
  <si>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</si>
  <si>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</si>
  <si>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</si>
  <si>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</si>
  <si>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</si>
  <si>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</si>
  <si>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</si>
  <si>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</si>
  <si>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</si>
  <si>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</si>
  <si>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</si>
  <si>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</si>
  <si>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</si>
  <si>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</si>
  <si>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</si>
  <si>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</si>
  <si>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</si>
  <si>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</si>
  <si>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</si>
  <si>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</si>
  <si>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</si>
  <si>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</si>
  <si>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</si>
  <si>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</si>
  <si>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</si>
  <si>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</si>
  <si>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</si>
  <si>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</si>
  <si>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</si>
  <si>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</si>
  <si>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</si>
  <si>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</si>
  <si>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</si>
  <si>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</si>
  <si>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</si>
  <si>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</si>
  <si>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</si>
  <si>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</si>
  <si>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</si>
  <si>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</si>
  <si>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</si>
  <si>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</si>
  <si>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</si>
  <si>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</si>
  <si>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</si>
  <si>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</si>
  <si>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</si>
  <si>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</si>
  <si>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</si>
  <si>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</si>
  <si>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</si>
  <si>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</si>
  <si>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</si>
  <si>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</si>
  <si>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</si>
  <si>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</si>
  <si>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</si>
  <si>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</si>
  <si>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</si>
  <si>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</si>
  <si>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</si>
  <si>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</si>
  <si>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</si>
  <si>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</si>
  <si>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</si>
  <si>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</si>
  <si>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</si>
  <si>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</si>
  <si>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</si>
  <si>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</si>
  <si>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</si>
  <si>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</si>
  <si>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</si>
  <si>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</si>
  <si>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</si>
  <si>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</si>
  <si>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</si>
  <si>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</si>
  <si>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</si>
  <si>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</si>
  <si>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</si>
  <si>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</si>
  <si>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</si>
  <si>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</si>
  <si>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</si>
  <si>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</si>
  <si>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</si>
  <si>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</si>
  <si>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</si>
  <si>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</si>
  <si>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</si>
  <si>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</si>
  <si>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</si>
  <si>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</si>
  <si>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</si>
  <si>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Days *</t>
  </si>
  <si>
    <t>Payable Days*</t>
  </si>
  <si>
    <t>Receivable Days*</t>
  </si>
  <si>
    <t>Net trading cycle*</t>
  </si>
  <si>
    <t>Working Capital as a % of Sales*</t>
  </si>
  <si>
    <t>Working Capital*</t>
  </si>
  <si>
    <t>GROWTH RATES</t>
  </si>
  <si>
    <t>selling and general admin</t>
  </si>
  <si>
    <t>operating income</t>
  </si>
  <si>
    <t xml:space="preserve">Capex as % of net sales </t>
  </si>
  <si>
    <t xml:space="preserve"> (2020-2021)=5.002%</t>
  </si>
  <si>
    <t>(2021-2022)=3.816%</t>
  </si>
  <si>
    <t>Capex as % of fixed assets (2020-2021)=9.554%</t>
  </si>
  <si>
    <t>(2021-2022)=10.354%</t>
  </si>
  <si>
    <t xml:space="preserve">income tax rate </t>
  </si>
  <si>
    <t>(2022)=0.008%</t>
  </si>
  <si>
    <t>2021 =0.044%</t>
  </si>
  <si>
    <t>2020=0.003%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</si>
  <si>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</si>
  <si>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</si>
  <si>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</si>
  <si>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</si>
  <si>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</si>
  <si>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</si>
  <si>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</si>
  <si>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 xml:space="preserve">net trading cycle </t>
  </si>
  <si>
    <t>working capital as a % of sales</t>
  </si>
  <si>
    <t xml:space="preserve">total asset tunover </t>
  </si>
  <si>
    <t>fixed asset turnover</t>
  </si>
  <si>
    <t>inventory turnover</t>
  </si>
  <si>
    <t>ROA</t>
  </si>
  <si>
    <t>gross margin</t>
  </si>
  <si>
    <t>lt debt to capital</t>
  </si>
  <si>
    <t>debt to equity</t>
  </si>
  <si>
    <t>debt coverage</t>
  </si>
  <si>
    <t>net margin</t>
  </si>
  <si>
    <t>EPS</t>
  </si>
  <si>
    <t>P/E</t>
  </si>
  <si>
    <t>PBV</t>
  </si>
  <si>
    <t>dividend payout ratio</t>
  </si>
  <si>
    <t>BVPS</t>
  </si>
  <si>
    <t>ROCE</t>
  </si>
  <si>
    <t>dividen yield</t>
  </si>
  <si>
    <t xml:space="preserve">EV </t>
  </si>
  <si>
    <t>EV TO EBIT</t>
  </si>
  <si>
    <t xml:space="preserve">ROA </t>
  </si>
  <si>
    <t>div per share</t>
  </si>
  <si>
    <t>TIE</t>
  </si>
  <si>
    <t>ROE</t>
  </si>
  <si>
    <t xml:space="preserve">sales growth rate </t>
  </si>
  <si>
    <t>sales growth rate 2020-2021</t>
  </si>
  <si>
    <t>R&amp;D</t>
  </si>
  <si>
    <t>Selling and admin</t>
  </si>
  <si>
    <t xml:space="preserve">Research and development growth rate </t>
  </si>
  <si>
    <t>selling and general admin growth rate</t>
  </si>
  <si>
    <t>Gross profit growth rate 2020-2021</t>
  </si>
  <si>
    <t>total assets</t>
  </si>
  <si>
    <t>total liabilites</t>
  </si>
  <si>
    <t>total shareholders and liabilities</t>
  </si>
  <si>
    <t>growrth margin as a % of net sales</t>
  </si>
  <si>
    <t>COGS</t>
  </si>
  <si>
    <t>net profit</t>
  </si>
  <si>
    <t>Gross profit</t>
  </si>
  <si>
    <t xml:space="preserve">Research and development </t>
  </si>
  <si>
    <t>R AND D</t>
  </si>
  <si>
    <t>OPERATINg income</t>
  </si>
  <si>
    <t xml:space="preserve">Total assets growth rate </t>
  </si>
  <si>
    <t xml:space="preserve">total liabilities growth rate </t>
  </si>
  <si>
    <t xml:space="preserve">total assets </t>
  </si>
  <si>
    <t>total liabilities</t>
  </si>
  <si>
    <t xml:space="preserve">total shareholders equity </t>
  </si>
  <si>
    <t>total shareholders equity and liabilities growth rate</t>
  </si>
  <si>
    <t>Current Assets / Daily Operational Expenses where Daily Operational Expenses = (Annual Operating Expenses - Noncash Charges) / 365</t>
  </si>
  <si>
    <t>Inventory Days + Inventory Days - Payable Days calculated from the rows above</t>
  </si>
  <si>
    <t>Calculate total working capital from here</t>
  </si>
  <si>
    <t>Link operating income in row 18</t>
  </si>
  <si>
    <t>Calculate EBITDA number here</t>
  </si>
  <si>
    <t>Include only term debt instead of total liabilities, since differed revenue is not an actual form of capital</t>
  </si>
  <si>
    <t>EBIT/(interest paid + debt repayment)  debt repayment can be found in cash flow statement</t>
  </si>
  <si>
    <t>EBIT/(interest paid )  cash interest can be found in cash flow statement</t>
  </si>
  <si>
    <t>FCFE/(diluted number of shares/1000)</t>
  </si>
  <si>
    <t>Link total assets instead of current asset</t>
  </si>
  <si>
    <t>Share Price / Diluted EPS</t>
  </si>
  <si>
    <t>Net income/ Diluted number of Shares (note that the share count is in absolute number and income statement is in millions, therefore divide the shares by 1000)</t>
  </si>
  <si>
    <t>Share Price / Book Value per Share</t>
  </si>
  <si>
    <t>Total shareholder equity/ Diluted number of Shares (note that the share count is in absolute number and income statement is in millions, therefore divide the shares by 1000)</t>
  </si>
  <si>
    <t>Dividend Paid / Net Income</t>
  </si>
  <si>
    <t>Dividend Paid (can be found in cash flow)/ Diluted number of Shares (note that the share count is in absolute number and income statement is in millions, therefore divide the shares by 1000)</t>
  </si>
  <si>
    <t>Dividend Per Share / Share Price</t>
  </si>
  <si>
    <t>EBIT / Capital Employed where Capital employed = Total shareholder equity + Term debt (under non-current liability)</t>
  </si>
  <si>
    <t>EV / EBITDA</t>
  </si>
  <si>
    <t>Market Cap + Total Debt - (Cash + Cash Equivalents), where Market Cap= Share price*Diluted number of shares/1000</t>
  </si>
  <si>
    <t>EBIT/Total shareholder equity</t>
  </si>
  <si>
    <t>Remove multiplication by 100 and use the % formatting instead for all the rows below</t>
  </si>
  <si>
    <t>Tax /PBT</t>
  </si>
  <si>
    <t>Capex is the purchase of property plant and equipment in cash flow statement</t>
  </si>
  <si>
    <t>Link operating income in row 18 instead of profit before tax</t>
  </si>
  <si>
    <t>Cash from operations + Capex + Net debt issued  (capex is the purchase of property plant and equipment in cash flow statement)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</si>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</sst>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2" fontId="0" fillId="0" borderId="0" xfId="0" applyNumberFormat="1"/>
    <xf numFmtId="9" fontId="0" fillId="0" borderId="0" xfId="3" applyFont="1"/>
    <xf numFmtId="0" fontId="0" fillId="0" borderId="0" xfId="0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"/>
  <sheetViews>
    <sheetView topLeftCell="A50" zoomScaleNormal="100" workbookViewId="0">
      <selection activeCell="B81" sqref="B8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6" t="s">
        <v>1</v>
      </c>
      <c r="B2" s="26"/>
      <c r="C2" s="26"/>
      <c r="D2" s="26"/>
    </row>
    <row r="3" spans="1:10" x14ac:dyDescent="0.3">
      <c r="B3" s="25" t="s">
        <v>23</v>
      </c>
      <c r="C3" s="25"/>
      <c r="D3" s="25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6" t="s">
        <v>24</v>
      </c>
      <c r="B31" s="26"/>
      <c r="C31" s="26"/>
      <c r="D31" s="26"/>
    </row>
    <row r="32" spans="1:4" x14ac:dyDescent="0.3">
      <c r="B32" s="25" t="s">
        <v>136</v>
      </c>
      <c r="C32" s="25"/>
      <c r="D32" s="25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26" t="s">
        <v>55</v>
      </c>
      <c r="B71" s="26"/>
      <c r="C71" s="26"/>
      <c r="D71" s="26"/>
    </row>
    <row r="72" spans="1:4" x14ac:dyDescent="0.3">
      <c r="B72" s="25" t="s">
        <v>23</v>
      </c>
      <c r="C72" s="25"/>
      <c r="D72" s="25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6" spans="1:4" x14ac:dyDescent="0.3">
      <c r="A116" t="s">
        <v>162</v>
      </c>
    </row>
    <row r="117" spans="1:4" x14ac:dyDescent="0.3">
      <c r="A117" t="s">
        <v>163</v>
      </c>
    </row>
    <row r="118" spans="1:4" x14ac:dyDescent="0.3">
      <c r="A118" t="s">
        <v>164</v>
      </c>
    </row>
    <row r="119" spans="1:4" x14ac:dyDescent="0.3">
      <c r="A119" t="s">
        <v>165</v>
      </c>
    </row>
    <row r="120" spans="1:4" x14ac:dyDescent="0.3">
      <c r="A120" t="s">
        <v>166</v>
      </c>
    </row>
    <row r="121" spans="1:4" x14ac:dyDescent="0.3">
      <c r="A121" t="s">
        <v>167</v>
      </c>
    </row>
    <row r="122" spans="1:4" x14ac:dyDescent="0.3">
      <c r="A122" t="s">
        <v>168</v>
      </c>
    </row>
    <row r="123" spans="1:4" x14ac:dyDescent="0.3">
      <c r="A123" t="s">
        <v>169</v>
      </c>
    </row>
    <row r="124" spans="1:4" x14ac:dyDescent="0.3">
      <c r="A124" t="s">
        <v>170</v>
      </c>
    </row>
    <row r="126" spans="1:4" x14ac:dyDescent="0.3">
      <c r="A126" t="s">
        <v>171</v>
      </c>
    </row>
    <row r="127" spans="1:4" x14ac:dyDescent="0.3">
      <c r="A127" t="s">
        <v>172</v>
      </c>
    </row>
    <row r="128" spans="1:4" x14ac:dyDescent="0.3">
      <c r="A128" t="s">
        <v>173</v>
      </c>
    </row>
    <row r="129" spans="1:1" x14ac:dyDescent="0.3">
      <c r="A129" t="s">
        <v>174</v>
      </c>
    </row>
    <row r="130" spans="1:1" x14ac:dyDescent="0.3">
      <c r="A130" t="s">
        <v>175</v>
      </c>
    </row>
    <row r="131" spans="1:1" x14ac:dyDescent="0.3">
      <c r="A131" t="s">
        <v>176</v>
      </c>
    </row>
    <row r="132" spans="1:1" x14ac:dyDescent="0.3">
      <c r="A132" t="s">
        <v>112</v>
      </c>
    </row>
    <row r="133" spans="1:1" x14ac:dyDescent="0.3">
      <c r="A133" t="s">
        <v>177</v>
      </c>
    </row>
    <row r="134" spans="1:1" x14ac:dyDescent="0.3">
      <c r="A134" t="s">
        <v>178</v>
      </c>
    </row>
    <row r="135" spans="1:1" x14ac:dyDescent="0.3">
      <c r="A135" t="s">
        <v>117</v>
      </c>
    </row>
    <row r="136" spans="1:1" x14ac:dyDescent="0.3">
      <c r="A136" t="s">
        <v>107</v>
      </c>
    </row>
    <row r="137" spans="1:1" x14ac:dyDescent="0.3">
      <c r="A137" t="s">
        <v>179</v>
      </c>
    </row>
    <row r="138" spans="1:1" x14ac:dyDescent="0.3">
      <c r="A138" t="s">
        <v>180</v>
      </c>
    </row>
    <row r="139" spans="1:1" x14ac:dyDescent="0.3">
      <c r="A139" t="s">
        <v>181</v>
      </c>
    </row>
    <row r="140" spans="1:1" x14ac:dyDescent="0.3">
      <c r="A140" t="s">
        <v>182</v>
      </c>
    </row>
    <row r="141" spans="1:1" x14ac:dyDescent="0.3">
      <c r="A141" t="s">
        <v>183</v>
      </c>
    </row>
    <row r="142" spans="1:1" x14ac:dyDescent="0.3">
      <c r="A142" t="s">
        <v>184</v>
      </c>
    </row>
    <row r="143" spans="1:1" x14ac:dyDescent="0.3">
      <c r="A143" t="s">
        <v>185</v>
      </c>
    </row>
    <row r="144" spans="1:1" x14ac:dyDescent="0.3">
      <c r="A144" t="s">
        <v>186</v>
      </c>
    </row>
    <row r="145" spans="1:2" x14ac:dyDescent="0.3">
      <c r="A145" t="s">
        <v>187</v>
      </c>
    </row>
    <row r="146" spans="1:2" x14ac:dyDescent="0.3">
      <c r="A146" t="s">
        <v>188</v>
      </c>
    </row>
    <row r="147" spans="1:2" x14ac:dyDescent="0.3">
      <c r="A147" t="s">
        <v>189</v>
      </c>
    </row>
    <row r="148" spans="1:2" x14ac:dyDescent="0.3">
      <c r="A148" t="s">
        <v>190</v>
      </c>
    </row>
    <row r="149" spans="1:2" x14ac:dyDescent="0.3">
      <c r="A149" t="s">
        <v>191</v>
      </c>
    </row>
    <row r="150" spans="1:2" x14ac:dyDescent="0.3">
      <c r="A150" t="s">
        <v>192</v>
      </c>
    </row>
    <row r="151" spans="1:2" x14ac:dyDescent="0.3">
      <c r="A151" t="s">
        <v>105</v>
      </c>
    </row>
    <row r="152" spans="1:2" x14ac:dyDescent="0.3">
      <c r="A152" t="s">
        <v>193</v>
      </c>
      <c r="B152">
        <f>(C8-D8)/D8</f>
        <v>0.33259384733074693</v>
      </c>
    </row>
    <row r="153" spans="1:2" x14ac:dyDescent="0.3">
      <c r="A153" t="s">
        <v>89</v>
      </c>
      <c r="B153">
        <f>(C13-D13)/D13</f>
        <v>0.45619116582186819</v>
      </c>
    </row>
    <row r="154" spans="1:2" x14ac:dyDescent="0.3">
      <c r="A154" t="s">
        <v>195</v>
      </c>
      <c r="B154">
        <f>(C15-D15)/D15*100</f>
        <v>16.862201365187712</v>
      </c>
    </row>
    <row r="155" spans="1:2" x14ac:dyDescent="0.3">
      <c r="A155" t="s">
        <v>196</v>
      </c>
    </row>
    <row r="156" spans="1:2" x14ac:dyDescent="0.3">
      <c r="A156" t="s">
        <v>200</v>
      </c>
    </row>
    <row r="157" spans="1:2" x14ac:dyDescent="0.3">
      <c r="A157" t="s">
        <v>201</v>
      </c>
    </row>
    <row r="158" spans="1:2" x14ac:dyDescent="0.3">
      <c r="A158" t="s">
        <v>202</v>
      </c>
    </row>
    <row r="159" spans="1:2" x14ac:dyDescent="0.3">
      <c r="A159" t="s">
        <v>204</v>
      </c>
    </row>
    <row r="160" spans="1:2" x14ac:dyDescent="0.3">
      <c r="A160" t="s">
        <v>89</v>
      </c>
    </row>
    <row r="161" spans="1:1" x14ac:dyDescent="0.3">
      <c r="A161" t="s">
        <v>205</v>
      </c>
    </row>
    <row r="162" spans="1:1" x14ac:dyDescent="0.3">
      <c r="A162" t="s">
        <v>208</v>
      </c>
    </row>
    <row r="163" spans="1:1" x14ac:dyDescent="0.3">
      <c r="A163" t="s">
        <v>196</v>
      </c>
    </row>
    <row r="164" spans="1:1" x14ac:dyDescent="0.3">
      <c r="A164" t="s">
        <v>209</v>
      </c>
    </row>
    <row r="165" spans="1:1" x14ac:dyDescent="0.3">
      <c r="A165" t="s">
        <v>212</v>
      </c>
    </row>
    <row r="166" spans="1:1" x14ac:dyDescent="0.3">
      <c r="A166" t="s">
        <v>213</v>
      </c>
    </row>
    <row r="167" spans="1:1" x14ac:dyDescent="0.3">
      <c r="A167" t="s">
        <v>214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3" sqref="A33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135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142</v>
      </c>
    </row>
    <row r="7" spans="1:1" x14ac:dyDescent="0.3">
      <c r="A7" s="1"/>
    </row>
    <row r="8" spans="1:1" x14ac:dyDescent="0.3">
      <c r="A8" s="17" t="s">
        <v>143</v>
      </c>
    </row>
    <row r="9" spans="1:1" x14ac:dyDescent="0.3">
      <c r="A9" s="1" t="s">
        <v>139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140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138</v>
      </c>
    </row>
    <row r="27" spans="1:1" x14ac:dyDescent="0.3">
      <c r="A27" s="16" t="s">
        <v>137</v>
      </c>
    </row>
    <row r="29" spans="1:1" x14ac:dyDescent="0.3">
      <c r="A29" s="7" t="s">
        <v>141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tabSelected="1" zoomScaleNormal="100" workbookViewId="0">
      <selection activeCell="F1" sqref="F1"/>
    </sheetView>
  </sheetViews>
  <sheetFormatPr defaultRowHeight="14.4" x14ac:dyDescent="0.3"/>
  <cols>
    <col min="1" max="1" width="4.6640625" customWidth="1"/>
    <col min="2" max="2" width="44.88671875" customWidth="1"/>
    <col min="3" max="3" width="11.6640625" bestFit="1" customWidth="1"/>
    <col min="4" max="5" width="11.109375" bestFit="1" customWidth="1"/>
    <col min="6" max="6" width="36.4414062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 t="s">
        <v>242</v>
      </c>
      <c r="G1" s="19"/>
      <c r="H1" s="19"/>
      <c r="I1" s="19"/>
      <c r="J1" s="19"/>
    </row>
    <row r="2" spans="1:10" x14ac:dyDescent="0.3">
      <c r="C2" s="25" t="s">
        <v>23</v>
      </c>
      <c r="D2" s="25"/>
      <c r="E2" s="25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7">
        <f>('Financial Statements'!B42/'Financial Statements'!B56)</f>
        <v>0.87935602862672257</v>
      </c>
      <c r="D5" s="27">
        <f>('Financial Statements'!C42/'Financial Statements'!C56)</f>
        <v>1.0745531195957954</v>
      </c>
      <c r="E5" s="27">
        <f>('Financial Statements'!D42/'Financial Statements'!D56)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7">
        <f>('Financial Statements'!B36+'Financial Statements'!B37+'Financial Statements'!B38)/'Financial Statements'!B56</f>
        <v>0.49673338442155579</v>
      </c>
      <c r="D6" s="27">
        <f>('Financial Statements'!C36+'Financial Statements'!C37+'Financial Statements'!C38)/'Financial Statements'!C56</f>
        <v>0.70860927152317876</v>
      </c>
      <c r="E6" s="27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 s="27">
        <f>('Financial Statements'!B36/'Financial Statements'!B56)</f>
        <v>0.15356340351469652</v>
      </c>
      <c r="D7" s="27">
        <f>('Financial Statements'!C36/'Financial Statements'!C56)</f>
        <v>0.27844853005634318</v>
      </c>
      <c r="E7" s="27">
        <f>('Financial Statements'!D36/'Financial Statements'!D56)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27">
        <f>('Financial Statements'!B42/'Financial Statements'!B17)</f>
        <v>2.6371603856266432</v>
      </c>
      <c r="D8" s="27">
        <f>('Financial Statements'!C42/'Financial Statements'!C17)</f>
        <v>3.072344885729259</v>
      </c>
      <c r="E8" s="27">
        <f>('Financial Statements'!D42/'Financial Statements'!D17)</f>
        <v>3.7165873590565841</v>
      </c>
      <c r="F8" t="s">
        <v>216</v>
      </c>
    </row>
    <row r="9" spans="1:10" x14ac:dyDescent="0.3">
      <c r="A9" s="18">
        <f t="shared" si="0"/>
        <v>1.5000000000000004</v>
      </c>
      <c r="B9" s="1" t="s">
        <v>144</v>
      </c>
      <c r="C9" s="27">
        <f>('Financial Statements'!B39/'Financial Statements'!B12)*365</f>
        <v>8.0756980666171607</v>
      </c>
      <c r="D9" s="27">
        <f>('Financial Statements'!C39/'Financial Statements'!C12)*365</f>
        <v>11.27659274770989</v>
      </c>
      <c r="E9" s="27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145</v>
      </c>
      <c r="C10" s="27">
        <f>('Financial Statements'!B51/'Financial Statements'!B12)*365</f>
        <v>104.68527730310539</v>
      </c>
      <c r="D10" s="27">
        <f>('Financial Statements'!C51/'Financial Statements'!C12)*365</f>
        <v>93.851071222315596</v>
      </c>
      <c r="E10" s="27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146</v>
      </c>
      <c r="C11" s="27">
        <f>('Financial Statements'!B38/'Financial Statements'!B8)*365</f>
        <v>26.087825363656648</v>
      </c>
      <c r="D11" s="27">
        <f>('Financial Statements'!C38/'Financial Statements'!C8)*365</f>
        <v>26.219311841713207</v>
      </c>
      <c r="E11" s="27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147</v>
      </c>
      <c r="C12" s="27">
        <f>('Financial Statements'!B39/'Financial Statements'!B8)+('Financial Statements'!B38/'Financial Statements'!B8)*365-('Financial Statements'!B51/'Financial Statements'!B12)*365</f>
        <v>-78.584909081726238</v>
      </c>
      <c r="D12" s="27">
        <f>('Financial Statements'!C39/'Financial Statements'!C8)+('Financial Statements'!C38/'Financial Statements'!C8)*365-('Financial Statements'!C51/'Financial Statements'!C12)*365</f>
        <v>-67.613772244958056</v>
      </c>
      <c r="E12" s="27">
        <f>('Financial Statements'!D39/'Financial Statements'!D8)+('Financial Statements'!D38/'Financial Statements'!D8)*365-('Financial Statements'!D51/'Financial Statements'!D12)*365</f>
        <v>-69.599959200037532</v>
      </c>
      <c r="F12" s="28" t="s">
        <v>217</v>
      </c>
    </row>
    <row r="13" spans="1:10" x14ac:dyDescent="0.3">
      <c r="A13" s="18">
        <f t="shared" si="0"/>
        <v>1.9000000000000008</v>
      </c>
      <c r="B13" s="1" t="s">
        <v>148</v>
      </c>
      <c r="C13" s="23">
        <f>('Financial Statements'!B42-'Financial Statements'!B56)/'Financial Statements'!B8*100</f>
        <v>-4.7110527276784806</v>
      </c>
      <c r="D13" s="23">
        <f>('Financial Statements'!C42-'Financial Statements'!C56)/'Financial Statements'!C8*100</f>
        <v>2.5572895737486232</v>
      </c>
      <c r="E13">
        <f>('Financial Statements'!D42-'Financial Statements'!D56)/'Financial Statements'!D8*100</f>
        <v>13.959528623208204</v>
      </c>
    </row>
    <row r="14" spans="1:10" x14ac:dyDescent="0.3">
      <c r="A14" s="18"/>
      <c r="B14" s="3" t="s">
        <v>149</v>
      </c>
      <c r="F14" t="s">
        <v>218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104</v>
      </c>
    </row>
    <row r="17" spans="1:6" x14ac:dyDescent="0.3">
      <c r="A17" s="18">
        <f>+A16+0.1</f>
        <v>2.1</v>
      </c>
      <c r="B17" s="1" t="s">
        <v>9</v>
      </c>
      <c r="C17" s="29">
        <f>('Financial Statements'!B8-'Financial Statements'!B12)/'Financial Statements'!B8</f>
        <v>0.43309630561360085</v>
      </c>
      <c r="D17" s="29">
        <f>('Financial Statements'!C8-'Financial Statements'!C12)/'Financial Statements'!C8</f>
        <v>0.41779359625167778</v>
      </c>
      <c r="E17" s="29">
        <f>('Financial Statements'!D8-'Financial Statements'!D12)/'Financial Statements'!D8</f>
        <v>0.38233247727810865</v>
      </c>
    </row>
    <row r="18" spans="1:6" x14ac:dyDescent="0.3">
      <c r="A18" s="18">
        <f>+A17+0.1</f>
        <v>2.2000000000000002</v>
      </c>
      <c r="B18" s="1" t="s">
        <v>105</v>
      </c>
      <c r="C18" s="29">
        <f>('Financial Statements'!B20+'Financial Statements'!B79)/'Financial Statements'!B8</f>
        <v>0.33019973220263332</v>
      </c>
      <c r="D18" s="29">
        <f>('Financial Statements'!C20+'Financial Statements'!C79)/'Financial Statements'!C8</f>
        <v>0.32937507004868555</v>
      </c>
      <c r="E18" s="29">
        <f>('Financial Statements'!D20+'Financial Statements'!D79)/'Financial Statements'!D8</f>
        <v>0.28467296869023551</v>
      </c>
      <c r="F18" t="s">
        <v>240</v>
      </c>
    </row>
    <row r="19" spans="1:6" x14ac:dyDescent="0.3">
      <c r="A19" s="18"/>
      <c r="B19" s="3" t="s">
        <v>106</v>
      </c>
      <c r="F19" t="s">
        <v>220</v>
      </c>
    </row>
    <row r="20" spans="1:6" x14ac:dyDescent="0.3">
      <c r="A20" s="18">
        <f>+A18+0.1</f>
        <v>2.3000000000000003</v>
      </c>
      <c r="B20" s="1" t="s">
        <v>107</v>
      </c>
      <c r="C20">
        <f>('Financial Statements'!B20/'Financial Statements'!B8)</f>
        <v>0.30204043334482966</v>
      </c>
      <c r="D20">
        <f>('Financial Statements'!C20/'Financial Statements'!C8)</f>
        <v>0.29852904594373691</v>
      </c>
      <c r="E20">
        <f>('Financial Statements'!D20/'Financial Statements'!D8)</f>
        <v>0.24439830246070343</v>
      </c>
      <c r="F20" t="s">
        <v>240</v>
      </c>
    </row>
    <row r="21" spans="1:6" x14ac:dyDescent="0.3">
      <c r="A21" s="18"/>
      <c r="B21" s="3" t="s">
        <v>108</v>
      </c>
      <c r="F21" s="30" t="s">
        <v>219</v>
      </c>
    </row>
    <row r="22" spans="1:6" x14ac:dyDescent="0.3">
      <c r="A22" s="18">
        <f>+A20+0.1</f>
        <v>2.4000000000000004</v>
      </c>
      <c r="B22" s="1" t="s">
        <v>109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6" x14ac:dyDescent="0.3">
      <c r="A23" s="18"/>
    </row>
    <row r="24" spans="1:6" x14ac:dyDescent="0.3">
      <c r="A24" s="18">
        <f>+A16+1</f>
        <v>3</v>
      </c>
      <c r="B24" s="7" t="s">
        <v>110</v>
      </c>
    </row>
    <row r="25" spans="1:6" x14ac:dyDescent="0.3">
      <c r="A25" s="18">
        <f t="shared" ref="A25:A30" si="1">+A24+0.1</f>
        <v>3.1</v>
      </c>
      <c r="B25" s="1" t="s">
        <v>111</v>
      </c>
      <c r="C25" s="27">
        <f>('Financial Statements'!B62/'Financial Statements'!B68)</f>
        <v>5.9615369434796337</v>
      </c>
      <c r="D25" s="27">
        <f>('Financial Statements'!C62/'Financial Statements'!C68)</f>
        <v>4.5635124425423994</v>
      </c>
      <c r="E25" s="27">
        <f>('Financial Statements'!D62/'Financial Statements'!D68)</f>
        <v>3.9570394404566951</v>
      </c>
      <c r="F25" t="s">
        <v>221</v>
      </c>
    </row>
    <row r="26" spans="1:6" x14ac:dyDescent="0.3">
      <c r="A26" s="18">
        <f t="shared" si="1"/>
        <v>3.2</v>
      </c>
      <c r="B26" s="1" t="s">
        <v>112</v>
      </c>
      <c r="C26" s="27">
        <f>('Financial Statements'!B62/'Financial Statements'!B48)</f>
        <v>0.85635355983614692</v>
      </c>
      <c r="D26" s="27">
        <f>('Financial Statements'!C62/'Financial Statements'!C48)</f>
        <v>0.82025743443057308</v>
      </c>
      <c r="E26" s="27">
        <f>('Financial Statements'!D62/'Financial Statements'!D48)</f>
        <v>0.79826668477992391</v>
      </c>
      <c r="F26" t="s">
        <v>221</v>
      </c>
    </row>
    <row r="27" spans="1:6" x14ac:dyDescent="0.3">
      <c r="A27" s="18">
        <f t="shared" si="1"/>
        <v>3.3000000000000003</v>
      </c>
      <c r="B27" s="1" t="s">
        <v>113</v>
      </c>
      <c r="C27" s="27">
        <f>('Financial Statements'!B61/'Financial Statements'!B69)</f>
        <v>0.41984096610962285</v>
      </c>
      <c r="D27" s="27">
        <f>('Financial Statements'!C61/'Financial Statements'!C69)</f>
        <v>0.46276374493592631</v>
      </c>
      <c r="E27" s="27">
        <f>('Financial Statements'!D61/'Financial Statements'!D69)</f>
        <v>0.47287025144494393</v>
      </c>
      <c r="F27" t="s">
        <v>221</v>
      </c>
    </row>
    <row r="28" spans="1:6" x14ac:dyDescent="0.3">
      <c r="A28" s="18">
        <f t="shared" si="1"/>
        <v>3.4000000000000004</v>
      </c>
      <c r="B28" s="1" t="s">
        <v>114</v>
      </c>
      <c r="C28" s="27">
        <f>('Financial Statements'!B20/'Financial Statements'!B19)</f>
        <v>-356.59580838323353</v>
      </c>
      <c r="D28" s="27">
        <f>('Financial Statements'!C20/'Financial Statements'!C19)</f>
        <v>423.2829457364341</v>
      </c>
      <c r="E28" s="27">
        <f>('Financial Statements'!D20/'Financial Statements'!D19)</f>
        <v>83.550435865504355</v>
      </c>
      <c r="F28" t="s">
        <v>223</v>
      </c>
    </row>
    <row r="29" spans="1:6" x14ac:dyDescent="0.3">
      <c r="A29" s="18">
        <f t="shared" si="1"/>
        <v>3.5000000000000004</v>
      </c>
      <c r="B29" s="1" t="s">
        <v>115</v>
      </c>
      <c r="C29" s="27">
        <f>('Financial Statements'!B22/'Financial Statements'!B62)</f>
        <v>0.33038270938781727</v>
      </c>
      <c r="D29" s="27">
        <f>('Financial Statements'!C22/'Financial Statements'!C62)</f>
        <v>0.32885048209175027</v>
      </c>
      <c r="E29" s="27">
        <f>('Financial Statements'!D22/'Financial Statements'!D62)</f>
        <v>0.2220507524685843</v>
      </c>
      <c r="F29" t="s">
        <v>222</v>
      </c>
    </row>
    <row r="30" spans="1:6" x14ac:dyDescent="0.3">
      <c r="A30" s="18">
        <f t="shared" si="1"/>
        <v>3.6000000000000005</v>
      </c>
      <c r="B30" s="1" t="s">
        <v>116</v>
      </c>
      <c r="C30" s="24">
        <f>('Financial Statements'!B18/'Financial Statements'!B24)</f>
        <v>19420.650406504064</v>
      </c>
      <c r="D30" s="24">
        <f>('Financial Statements'!C18/'Financial Statements'!C24)</f>
        <v>19214.99118165785</v>
      </c>
      <c r="E30" s="24">
        <f>('Financial Statements'!D18/'Financial Statements'!D24)</f>
        <v>20026.586102719033</v>
      </c>
      <c r="F30" t="s">
        <v>224</v>
      </c>
    </row>
    <row r="31" spans="1:6" x14ac:dyDescent="0.3">
      <c r="A31" s="18"/>
      <c r="B31" s="3" t="s">
        <v>117</v>
      </c>
      <c r="F31" t="s">
        <v>241</v>
      </c>
    </row>
    <row r="32" spans="1:6" x14ac:dyDescent="0.3">
      <c r="A32" s="18"/>
    </row>
    <row r="33" spans="1:6" x14ac:dyDescent="0.3">
      <c r="A33" s="18">
        <f>+A24+1</f>
        <v>4</v>
      </c>
      <c r="B33" s="17" t="s">
        <v>118</v>
      </c>
    </row>
    <row r="34" spans="1:6" x14ac:dyDescent="0.3">
      <c r="A34" s="18">
        <f>+A33+0.1</f>
        <v>4.0999999999999996</v>
      </c>
      <c r="B34" s="1" t="s">
        <v>119</v>
      </c>
      <c r="C34" s="27">
        <f>('Financial Statements'!B8/'Financial Statements'!B42)</f>
        <v>2.9122115136073261</v>
      </c>
      <c r="D34" s="27">
        <f>('Financial Statements'!C8/'Financial Statements'!C42)</f>
        <v>2.7130514106025099</v>
      </c>
      <c r="E34" s="27">
        <f>('Financial Statements'!D8/'Financial Statements'!D42)</f>
        <v>1.9101612241063788</v>
      </c>
      <c r="F34" t="s">
        <v>225</v>
      </c>
    </row>
    <row r="35" spans="1:6" x14ac:dyDescent="0.3">
      <c r="A35" s="18">
        <f>+A34+0.1</f>
        <v>4.1999999999999993</v>
      </c>
      <c r="B35" s="1" t="s">
        <v>120</v>
      </c>
      <c r="C35" s="27">
        <f>('Financial Statements'!B8/'Financial Statements'!B47)</f>
        <v>1.8142535081665516</v>
      </c>
      <c r="D35" s="27">
        <f>('Financial Statements'!C8/'Financial Statements'!C47)</f>
        <v>1.6922966608994938</v>
      </c>
      <c r="E35" s="27">
        <f>('Financial Statements'!D8/'Financial Statements'!D47)</f>
        <v>1.5236020535590398</v>
      </c>
    </row>
    <row r="36" spans="1:6" x14ac:dyDescent="0.3">
      <c r="A36" s="18">
        <f>+A35+0.1</f>
        <v>4.2999999999999989</v>
      </c>
      <c r="B36" s="1" t="s">
        <v>121</v>
      </c>
      <c r="C36" s="27">
        <f>('Financial Statements'!B12/'Financial Statements'!B39)</f>
        <v>45.197331176708452</v>
      </c>
      <c r="D36" s="27">
        <f>('Financial Statements'!C12/'Financial Statements'!C39)</f>
        <v>32.367933130699086</v>
      </c>
      <c r="E36" s="27">
        <f>('Financial Statements'!D12/'Financial Statements'!D39)</f>
        <v>41.753016498399411</v>
      </c>
    </row>
    <row r="37" spans="1:6" x14ac:dyDescent="0.3">
      <c r="A37" s="18">
        <f>+A36+0.1</f>
        <v>4.3999999999999986</v>
      </c>
      <c r="B37" s="1" t="s">
        <v>122</v>
      </c>
      <c r="C37" s="27">
        <f>('Financial Statements'!B22/'Financial Statements'!B48)</f>
        <v>0.28292440929256851</v>
      </c>
      <c r="D37" s="27">
        <f>('Financial Statements'!C22/'Financial Statements'!C48)</f>
        <v>0.26974205275183616</v>
      </c>
      <c r="E37" s="27">
        <f>('Financial Statements'!D22/'Financial Statements'!D48)</f>
        <v>0.1772557180259843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123</v>
      </c>
    </row>
    <row r="40" spans="1:6" x14ac:dyDescent="0.3">
      <c r="A40" s="18">
        <f>+A39+0.1</f>
        <v>5.0999999999999996</v>
      </c>
      <c r="B40" s="1" t="s">
        <v>124</v>
      </c>
      <c r="C40" s="27">
        <f>('Financial Statements'!B65)/('Financial Statements'!B22/'Financial Statements'!B24)</f>
        <v>3.9960857890043386</v>
      </c>
      <c r="D40" s="27">
        <f>('Financial Statements'!C65)/('Financial Statements'!C22/'Financial Statements'!C24)</f>
        <v>3.4353564638783269</v>
      </c>
      <c r="E40" s="27">
        <f>('Financial Statements'!D65)/('Financial Statements'!D22/'Financial Statements'!D24)</f>
        <v>2.9276356447370717</v>
      </c>
      <c r="F40" t="s">
        <v>226</v>
      </c>
    </row>
    <row r="41" spans="1:6" x14ac:dyDescent="0.3">
      <c r="A41" s="18">
        <f>+A40+0.1</f>
        <v>5.1999999999999993</v>
      </c>
      <c r="B41" s="3" t="s">
        <v>125</v>
      </c>
      <c r="C41" s="24">
        <f>('Financial Statements'!B22/'Financial Statements'!B24)</f>
        <v>16228.130081300813</v>
      </c>
      <c r="D41" s="24">
        <f>('Financial Statements'!C22/'Financial Statements'!C24)</f>
        <v>16698.4126984127</v>
      </c>
      <c r="E41" s="24">
        <f>('Financial Statements'!D22/'Financial Statements'!D24)</f>
        <v>17344.712990936554</v>
      </c>
      <c r="F41" t="s">
        <v>227</v>
      </c>
    </row>
    <row r="42" spans="1:6" x14ac:dyDescent="0.3">
      <c r="A42" s="18">
        <f>+A41+0.1</f>
        <v>5.2999999999999989</v>
      </c>
      <c r="B42" s="1" t="s">
        <v>126</v>
      </c>
      <c r="C42" s="27">
        <f>('Financial Statements'!B65/'Financial Statements'!B68)*'Financial Statements'!B24</f>
        <v>7.8706455241553526</v>
      </c>
      <c r="D42" s="27">
        <f>('Financial Statements'!C65/'Financial Statements'!C68)*'Financial Statements'!C24</f>
        <v>5.155485021398003</v>
      </c>
      <c r="E42" s="27">
        <f>('Financial Statements'!D65/'Financial Statements'!D68)*'Financial Statements'!D24</f>
        <v>2.5724068320604845</v>
      </c>
      <c r="F42" t="s">
        <v>228</v>
      </c>
    </row>
    <row r="43" spans="1:6" x14ac:dyDescent="0.3">
      <c r="A43" s="18">
        <f>+A42+0.1</f>
        <v>5.3999999999999986</v>
      </c>
      <c r="B43" s="3" t="s">
        <v>127</v>
      </c>
      <c r="C43" s="24">
        <f>('Financial Statements'!B48-'Financial Statements'!B62)/'Financial Statements'!B24</f>
        <v>8239.3495934959337</v>
      </c>
      <c r="D43" s="24">
        <f>('Financial Statements'!C48-'Financial Statements'!C62)/'Financial Statements'!C24</f>
        <v>11126.984126984127</v>
      </c>
      <c r="E43" s="24">
        <f>('Financial Statements'!D48-'Financial Statements'!D62)/'Financial Statements'!D24</f>
        <v>19739.87915407855</v>
      </c>
      <c r="F43" t="s">
        <v>229</v>
      </c>
    </row>
    <row r="44" spans="1:6" x14ac:dyDescent="0.3">
      <c r="A44" s="18">
        <f>+A43+0.1</f>
        <v>5.4999999999999982</v>
      </c>
      <c r="B44" s="1" t="s">
        <v>128</v>
      </c>
      <c r="C44" s="27">
        <f>('Financial Statements'!B22-'Financial Statements'!B66)/'Financial Statements'!B22</f>
        <v>1.030740558901035</v>
      </c>
      <c r="D44" s="27">
        <f>('Financial Statements'!C22-'Financial Statements'!C66)/'Financial Statements'!C22</f>
        <v>0.94125475285171101</v>
      </c>
      <c r="E44" s="27">
        <f>('Financial Statements'!D22-'Financial Statements'!D66)/'Financial Statements'!D22</f>
        <v>0.73931824911602306</v>
      </c>
      <c r="F44" t="s">
        <v>230</v>
      </c>
    </row>
    <row r="45" spans="1:6" x14ac:dyDescent="0.3">
      <c r="A45" s="18"/>
      <c r="B45" s="3" t="s">
        <v>129</v>
      </c>
      <c r="C45" s="27">
        <f>('Financial Statements'!B22-'Financial Statements'!B66)/'Financial Statements'!B24</f>
        <v>16726.991869918696</v>
      </c>
      <c r="D45" s="27">
        <f>('Financial Statements'!C22-'Financial Statements'!C66)/'Financial Statements'!C24</f>
        <v>15717.460317460318</v>
      </c>
      <c r="E45" s="27">
        <f>('Financial Statements'!D22-'Financial Statements'!D66)/'Financial Statements'!D24</f>
        <v>12823.262839879153</v>
      </c>
      <c r="F45" t="s">
        <v>231</v>
      </c>
    </row>
    <row r="46" spans="1:6" x14ac:dyDescent="0.3">
      <c r="A46" s="18">
        <f>+A44+0.1</f>
        <v>5.5999999999999979</v>
      </c>
      <c r="B46" s="1" t="s">
        <v>130</v>
      </c>
      <c r="C46" s="27">
        <f>('Financial Statements'!B22-'Financial Statements'!B66)/'Financial Statements'!B65</f>
        <v>1.5863159030979661</v>
      </c>
      <c r="D46" s="27">
        <f>('Financial Statements'!C22-'Financial Statements'!C66)/'Financial Statements'!C65</f>
        <v>1.5535256689619106</v>
      </c>
      <c r="E46" s="27">
        <f>('Financial Statements'!D22-'Financial Statements'!D66)/'Financial Statements'!D65</f>
        <v>0.83587703578250849</v>
      </c>
      <c r="F46" t="s">
        <v>232</v>
      </c>
    </row>
    <row r="47" spans="1:6" x14ac:dyDescent="0.3">
      <c r="A47" s="18">
        <f>+A45+0.1</f>
        <v>0.1</v>
      </c>
      <c r="B47" s="1" t="s">
        <v>131</v>
      </c>
      <c r="C47" s="27"/>
      <c r="D47" s="27">
        <f>'Financial Statements'!C22/(('Financial Statements'!B68+'Financial Statements'!C68)/2)</f>
        <v>1.6645276981768957</v>
      </c>
      <c r="E47" s="27">
        <f>'Financial Statements'!D22/(('Financial Statements'!C68+'Financial Statements'!D68)/2)</f>
        <v>0.89405040917549772</v>
      </c>
      <c r="F47" t="s">
        <v>236</v>
      </c>
    </row>
    <row r="48" spans="1:6" x14ac:dyDescent="0.3">
      <c r="A48" s="18">
        <f>+A46+0.1</f>
        <v>5.6999999999999975</v>
      </c>
      <c r="B48" s="1" t="s">
        <v>132</v>
      </c>
      <c r="C48" s="27">
        <f>('Financial Statements'!B20/('Financial Statements'!B42+'Financial Statements'!B47)-'Financial Statements'!B56)</f>
        <v>-153981.6623633967</v>
      </c>
      <c r="D48" s="27">
        <f>('Financial Statements'!C20/'Financial Statements'!C42+'Financial Statements'!C47)-'Financial Statements'!C56</f>
        <v>90685.809924649191</v>
      </c>
      <c r="E48" s="27">
        <f>('Financial Statements'!D20/'Financial Statements'!D42+'Financial Statements'!D47)-'Financial Statements'!D56</f>
        <v>74783.466840160603</v>
      </c>
      <c r="F48" t="s">
        <v>233</v>
      </c>
    </row>
    <row r="49" spans="1:6" x14ac:dyDescent="0.3">
      <c r="A49" s="18">
        <f>+A47+0.1</f>
        <v>0.2</v>
      </c>
      <c r="B49" s="1" t="s">
        <v>122</v>
      </c>
      <c r="C49" s="27">
        <f>('Financial Statements'!B20/'Financial Statements'!B48)</f>
        <v>0.33763660330824508</v>
      </c>
      <c r="D49" s="27">
        <f>('Financial Statements'!C20/'Financial Statements'!C48)</f>
        <v>0.31112928131463641</v>
      </c>
      <c r="E49" s="27">
        <f>('Financial Statements'!D20/'Financial Statements'!D48)</f>
        <v>0.2071425925011115</v>
      </c>
    </row>
    <row r="50" spans="1:6" x14ac:dyDescent="0.3">
      <c r="A50" s="18">
        <f>+A48+0.1</f>
        <v>5.7999999999999972</v>
      </c>
      <c r="B50" s="1" t="s">
        <v>133</v>
      </c>
      <c r="C50" s="27">
        <f>('Financial Statements'!B65 *'Financial Statements'!B24)+'Financial Statements'!B62-'Financial Statements'!B36/('Financial Statements'!B20+'Financial Statements'!B79)</f>
        <v>700904.16839686048</v>
      </c>
      <c r="D50" s="27">
        <f>('Financial Statements'!C65*'Financial Statements'!C24)+'Financial Statements'!C62-'Financial Statements'!C36/'Financial Statements'!B20+'Financial Statements'!B79</f>
        <v>624275.25664047094</v>
      </c>
      <c r="E50" s="27">
        <f>('Financial Statements'!D65*'Financial Statements'!D24)+'Financial Statements'!D62-'Financial Statements'!D36/('Financial Statements'!D20+'Financial Statements'!D79)</f>
        <v>426627.00353218935</v>
      </c>
      <c r="F50" t="s">
        <v>234</v>
      </c>
    </row>
    <row r="51" spans="1:6" x14ac:dyDescent="0.3">
      <c r="A51" s="18"/>
      <c r="B51" s="3" t="s">
        <v>134</v>
      </c>
      <c r="C51" s="27">
        <f>('Financial Statements'!B65*'Financial Statements'!B24)+'Financial Statements'!B62-'Financial Statements'!B36</f>
        <v>677258.35000000009</v>
      </c>
      <c r="D51" s="27">
        <f>('Financial Statements'!C65*'Financial Statements'!C24)+'Financial Statements'!C62-'Financial Statements'!C36</f>
        <v>578231.55000000005</v>
      </c>
      <c r="E51" s="27">
        <f>('Financial Statements'!D65*'Financial Statements'!D24)+'Financial Statements'!D62-'Financial Statements'!D36</f>
        <v>388611.49</v>
      </c>
      <c r="F51" t="s">
        <v>235</v>
      </c>
    </row>
    <row r="52" spans="1:6" x14ac:dyDescent="0.3">
      <c r="A52">
        <v>5.9</v>
      </c>
      <c r="B52" s="1" t="s">
        <v>194</v>
      </c>
      <c r="D52">
        <f>('Financial Statements'!B8-'Financial Statements'!C8)/'Financial Statements'!C8*100</f>
        <v>7.7937876041846055</v>
      </c>
      <c r="E52">
        <f>('Financial Statements'!C8-'Financial Statements'!D8)/'Financial Statements'!D8*100</f>
        <v>33.25938473307469</v>
      </c>
      <c r="F52" t="s">
        <v>237</v>
      </c>
    </row>
    <row r="53" spans="1:6" x14ac:dyDescent="0.3">
      <c r="B53" s="1" t="s">
        <v>199</v>
      </c>
      <c r="D53">
        <f>('Financial Statements'!B13-'Financial Statements'!C13)/'Financial Statements'!C13*100</f>
        <v>11.741997958596142</v>
      </c>
      <c r="E53">
        <f>('Financial Statements'!C12-'Financial Statements'!D12)/'Financial Statements'!D12*100</f>
        <v>25.608785142634716</v>
      </c>
    </row>
    <row r="54" spans="1:6" x14ac:dyDescent="0.3">
      <c r="B54" s="1" t="s">
        <v>197</v>
      </c>
      <c r="D54">
        <f>('Financial Statements'!B15-'Financial Statements'!C15)/'Financial Statements'!C15*100</f>
        <v>19.791001186456146</v>
      </c>
      <c r="E54">
        <f>('Financial Statements'!C15-'Financial Statements'!D15)/'Financial Statements'!D15*100</f>
        <v>16.862201365187712</v>
      </c>
    </row>
    <row r="55" spans="1:6" x14ac:dyDescent="0.3">
      <c r="B55" s="1" t="s">
        <v>198</v>
      </c>
      <c r="D55">
        <f>('Financial Statements'!B16-'Financial Statements'!C16)/'Financial Statements'!C16*100</f>
        <v>14.203795567287125</v>
      </c>
      <c r="E55">
        <f>('Financial Statements'!C16-'Financial Statements'!D16)/'Financial Statements'!D16*100</f>
        <v>10.328379192608958</v>
      </c>
    </row>
    <row r="56" spans="1:6" x14ac:dyDescent="0.3">
      <c r="B56" s="1" t="s">
        <v>210</v>
      </c>
      <c r="D56">
        <f>('Financial Statements'!B48-'Financial Statements'!C48)/'Financial Statements'!C48*100</f>
        <v>0.49942735369029234</v>
      </c>
      <c r="E56" s="23">
        <f>('Financial Statements'!C48-'Financial Statements'!D48)/'Financial Statements'!D48*100</f>
        <v>8.3714123400681704</v>
      </c>
    </row>
    <row r="57" spans="1:6" x14ac:dyDescent="0.3">
      <c r="B57" s="1" t="s">
        <v>211</v>
      </c>
      <c r="D57">
        <f>('Financial Statements'!B62-'Financial Statements'!C62)/'Financial Statements'!C62*100</f>
        <v>4.9219900525160467</v>
      </c>
      <c r="E57">
        <f>('Financial Statements'!C62-'Financial Statements'!D62)/'Financial Statements'!D62*100</f>
        <v>11.356841449783213</v>
      </c>
    </row>
    <row r="58" spans="1:6" x14ac:dyDescent="0.3">
      <c r="B58" s="1" t="s">
        <v>215</v>
      </c>
      <c r="D58">
        <f>('Financial Statements'!B69-'Financial Statements'!C69)/'Financial Statements'!C69*100</f>
        <v>0.49942735369029234</v>
      </c>
      <c r="E58" s="23">
        <f>('Financial Statements'!C69-'Financial Statements'!D69)/'Financial Statements'!D69*100</f>
        <v>8.3714123400681704</v>
      </c>
    </row>
    <row r="75" spans="2:5" x14ac:dyDescent="0.3">
      <c r="B75" s="1" t="s">
        <v>203</v>
      </c>
    </row>
    <row r="76" spans="2:5" x14ac:dyDescent="0.3">
      <c r="B76" s="1" t="s">
        <v>204</v>
      </c>
      <c r="C76">
        <f>('Financial Statements'!B12/'Financial Statements'!B8)*100</f>
        <v>56.690369438639912</v>
      </c>
      <c r="D76">
        <f>('Financial Statements'!C12/'Financial Statements'!C8)*100</f>
        <v>58.220640374832222</v>
      </c>
      <c r="E76">
        <f>('Financial Statements'!D12/'Financial Statements'!D8)*100</f>
        <v>61.76675227218913</v>
      </c>
    </row>
    <row r="77" spans="2:5" x14ac:dyDescent="0.3">
      <c r="B77" s="1" t="s">
        <v>152</v>
      </c>
      <c r="C77">
        <f>('Financial Statements'!B18/'Financial Statements'!B8)*100</f>
        <v>30.288744395528592</v>
      </c>
      <c r="D77">
        <f>('Financial Statements'!C18/'Financial Statements'!C8)*100</f>
        <v>29.782377527561593</v>
      </c>
      <c r="E77">
        <f>('Financial Statements'!D18/'Financial Statements'!D8)*100</f>
        <v>24.147314354406863</v>
      </c>
    </row>
    <row r="78" spans="2:5" x14ac:dyDescent="0.3">
      <c r="B78" s="1" t="s">
        <v>205</v>
      </c>
      <c r="C78">
        <f>('Financial Statements'!B22/'Financial Statements'!B8)*100</f>
        <v>25.309640705199733</v>
      </c>
      <c r="D78">
        <f>('Financial Statements'!C22/'Financial Statements'!C8)*100</f>
        <v>25.881793355694239</v>
      </c>
      <c r="E78">
        <f>('Financial Statements'!D22/'Financial Statements'!D8)*100</f>
        <v>20.913611278072235</v>
      </c>
    </row>
    <row r="79" spans="2:5" x14ac:dyDescent="0.3">
      <c r="B79" s="1" t="s">
        <v>206</v>
      </c>
      <c r="C79">
        <f>('Financial Statements'!B13/'Financial Statements'!B8)*100</f>
        <v>43.309630561360088</v>
      </c>
      <c r="D79">
        <f>('Financial Statements'!C13/'Financial Statements'!C8)*100</f>
        <v>41.779359625167778</v>
      </c>
      <c r="E79">
        <f>('Financial Statements'!D13/'Financial Statements'!D8)*100</f>
        <v>38.233247727810863</v>
      </c>
    </row>
    <row r="80" spans="2:5" x14ac:dyDescent="0.3">
      <c r="B80" s="1" t="s">
        <v>207</v>
      </c>
      <c r="C80">
        <f>('Financial Statements'!B15/'Financial Statements'!B8)*100</f>
        <v>6.6571483637986653</v>
      </c>
      <c r="D80">
        <f>('Financial Statements'!C15/'Financial Statements'!C8)*100</f>
        <v>5.9904269074427923</v>
      </c>
      <c r="E80">
        <f>('Financial Statements'!D15/'Financial Statements'!D8)*100</f>
        <v>6.8309564140393064</v>
      </c>
    </row>
    <row r="81" spans="2:5" x14ac:dyDescent="0.3">
      <c r="B81" s="1" t="s">
        <v>151</v>
      </c>
      <c r="C81">
        <f>('Financial Statements'!B16/'Financial Statements'!B8)*100</f>
        <v>6.3637378020328264</v>
      </c>
      <c r="D81">
        <f>('Financial Statements'!C16/'Financial Statements'!C8)*100</f>
        <v>6.0065551901633878</v>
      </c>
      <c r="E81">
        <f>('Financial Statements'!D16/'Financial Statements'!D8)*100</f>
        <v>7.254976959364698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F86F-FE62-4586-A404-DB51DD435C0A}">
  <dimension ref="A1:F8"/>
  <sheetViews>
    <sheetView workbookViewId="0">
      <selection activeCell="F2" sqref="F2"/>
    </sheetView>
  </sheetViews>
  <sheetFormatPr defaultRowHeight="14.4" x14ac:dyDescent="0.3"/>
  <cols>
    <col min="1" max="1" width="18.109375" customWidth="1"/>
    <col min="2" max="2" width="16" customWidth="1"/>
    <col min="3" max="3" width="16.5546875" customWidth="1"/>
    <col min="4" max="4" width="15.109375" customWidth="1"/>
  </cols>
  <sheetData>
    <row r="1" spans="1:6" x14ac:dyDescent="0.3">
      <c r="A1" t="s">
        <v>150</v>
      </c>
    </row>
    <row r="4" spans="1:6" x14ac:dyDescent="0.3">
      <c r="A4" t="s">
        <v>153</v>
      </c>
      <c r="B4" t="s">
        <v>154</v>
      </c>
      <c r="D4" t="s">
        <v>155</v>
      </c>
      <c r="F4" t="s">
        <v>239</v>
      </c>
    </row>
    <row r="6" spans="1:6" x14ac:dyDescent="0.3">
      <c r="A6" t="s">
        <v>156</v>
      </c>
      <c r="D6" t="s">
        <v>157</v>
      </c>
    </row>
    <row r="8" spans="1:6" x14ac:dyDescent="0.3">
      <c r="A8" t="s">
        <v>158</v>
      </c>
      <c r="B8" t="s">
        <v>159</v>
      </c>
      <c r="C8" t="s">
        <v>160</v>
      </c>
      <c r="D8" t="s">
        <v>161</v>
      </c>
      <c r="F8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 Statements</vt:lpstr>
      <vt:lpstr>Instructions</vt:lpstr>
      <vt:lpstr>List of Ratios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2024-01-03T17:12:09Z</dcterms:modified>
</cp:coreProperties>
</file>