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D83B3FEE-706C-4D86-8841-DC2A97C61E18}" xr6:coauthVersionLast="47" xr6:coauthVersionMax="47" xr10:uidLastSave="{00000000-0000-0000-0000-000000000000}"/>
  <bookViews>
    <workbookView xWindow="-108" yWindow="-108" windowWidth="23256" windowHeight="13896" tabRatio="50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1" i="3" l="1"/>
  <c r="H50" i="3" s="1"/>
  <c r="G51" i="3"/>
  <c r="G50" i="3" s="1"/>
  <c r="D51" i="3"/>
  <c r="D50" i="3" s="1"/>
  <c r="C51" i="3"/>
  <c r="C50" i="3" s="1"/>
  <c r="H49" i="3"/>
  <c r="G49" i="3"/>
  <c r="D49" i="3"/>
  <c r="C49" i="3"/>
  <c r="A49" i="3"/>
  <c r="H48" i="3"/>
  <c r="G48" i="3"/>
  <c r="D48" i="3"/>
  <c r="C48" i="3"/>
  <c r="H47" i="3"/>
  <c r="G47" i="3"/>
  <c r="D47" i="3"/>
  <c r="C47" i="3"/>
  <c r="A47" i="3"/>
  <c r="H43" i="3"/>
  <c r="H42" i="3" s="1"/>
  <c r="G43" i="3"/>
  <c r="G42" i="3" s="1"/>
  <c r="D43" i="3"/>
  <c r="C43" i="3"/>
  <c r="D42" i="3"/>
  <c r="C42" i="3"/>
  <c r="H41" i="3"/>
  <c r="G41" i="3"/>
  <c r="D41" i="3"/>
  <c r="H40" i="3" s="1"/>
  <c r="C41" i="3"/>
  <c r="G40" i="3" s="1"/>
  <c r="D40" i="3"/>
  <c r="C40" i="3"/>
  <c r="H37" i="3"/>
  <c r="G37" i="3"/>
  <c r="D37" i="3"/>
  <c r="C37" i="3"/>
  <c r="H36" i="3"/>
  <c r="G36" i="3"/>
  <c r="D36" i="3"/>
  <c r="C36" i="3"/>
  <c r="H35" i="3"/>
  <c r="G35" i="3"/>
  <c r="D35" i="3"/>
  <c r="C35" i="3"/>
  <c r="H34" i="3"/>
  <c r="G34" i="3"/>
  <c r="D34" i="3"/>
  <c r="C34" i="3"/>
  <c r="H31" i="3"/>
  <c r="G31" i="3"/>
  <c r="D31" i="3"/>
  <c r="C31" i="3"/>
  <c r="H30" i="3"/>
  <c r="G30" i="3"/>
  <c r="D30" i="3"/>
  <c r="C30" i="3"/>
  <c r="H29" i="3"/>
  <c r="G29" i="3"/>
  <c r="D29" i="3"/>
  <c r="C29" i="3"/>
  <c r="H28" i="3"/>
  <c r="G28" i="3"/>
  <c r="D28" i="3"/>
  <c r="C28" i="3"/>
  <c r="H27" i="3"/>
  <c r="D27" i="3"/>
  <c r="C27" i="3"/>
  <c r="H26" i="3"/>
  <c r="G26" i="3"/>
  <c r="D26" i="3"/>
  <c r="C26" i="3"/>
  <c r="H25" i="3"/>
  <c r="G25" i="3"/>
  <c r="D25" i="3"/>
  <c r="C25" i="3"/>
  <c r="H22" i="3"/>
  <c r="G22" i="3"/>
  <c r="D22" i="3"/>
  <c r="C22" i="3"/>
  <c r="H21" i="3"/>
  <c r="G21" i="3"/>
  <c r="D21" i="3"/>
  <c r="C21" i="3"/>
  <c r="H20" i="3"/>
  <c r="G20" i="3"/>
  <c r="D20" i="3"/>
  <c r="C20" i="3"/>
  <c r="H19" i="3"/>
  <c r="G19" i="3"/>
  <c r="D19" i="3"/>
  <c r="C19" i="3"/>
  <c r="H18" i="3"/>
  <c r="G18" i="3"/>
  <c r="D18" i="3"/>
  <c r="C18" i="3"/>
  <c r="H17" i="3"/>
  <c r="G17" i="3"/>
  <c r="D17" i="3"/>
  <c r="C17" i="3"/>
  <c r="A16" i="3"/>
  <c r="A24" i="3" s="1"/>
  <c r="H14" i="3"/>
  <c r="G14" i="3"/>
  <c r="D14" i="3"/>
  <c r="C14" i="3"/>
  <c r="H13" i="3"/>
  <c r="G13" i="3"/>
  <c r="D13" i="3"/>
  <c r="C13" i="3"/>
  <c r="H11" i="3"/>
  <c r="G11" i="3"/>
  <c r="D11" i="3"/>
  <c r="C11" i="3"/>
  <c r="H10" i="3"/>
  <c r="G10" i="3"/>
  <c r="D10" i="3"/>
  <c r="C10" i="3"/>
  <c r="H9" i="3"/>
  <c r="G9" i="3"/>
  <c r="D9" i="3"/>
  <c r="H12" i="3" s="1"/>
  <c r="C9" i="3"/>
  <c r="C12" i="3" s="1"/>
  <c r="H8" i="3"/>
  <c r="G8" i="3"/>
  <c r="D8" i="3"/>
  <c r="C8" i="3"/>
  <c r="H7" i="3"/>
  <c r="G7" i="3"/>
  <c r="D7" i="3"/>
  <c r="C7" i="3"/>
  <c r="H6" i="3"/>
  <c r="G6" i="3"/>
  <c r="D6" i="3"/>
  <c r="C6" i="3"/>
  <c r="H5" i="3"/>
  <c r="G5" i="3"/>
  <c r="D5" i="3"/>
  <c r="C5" i="3"/>
  <c r="A5" i="3"/>
  <c r="A6" i="3" s="1"/>
  <c r="A7" i="3" s="1"/>
  <c r="A8" i="3" s="1"/>
  <c r="A9" i="3" s="1"/>
  <c r="A10" i="3" s="1"/>
  <c r="A11" i="3" s="1"/>
  <c r="A12" i="3" s="1"/>
  <c r="A13" i="3" s="1"/>
  <c r="C95" i="2"/>
  <c r="B95" i="2"/>
  <c r="C94" i="2"/>
  <c r="B94" i="2"/>
  <c r="C62" i="2"/>
  <c r="B62" i="2"/>
  <c r="C61" i="2"/>
  <c r="B61" i="2"/>
  <c r="C58" i="2"/>
  <c r="B58" i="2"/>
  <c r="C47" i="2"/>
  <c r="B47" i="2"/>
  <c r="C13" i="2"/>
  <c r="B13" i="2"/>
  <c r="C11" i="2"/>
  <c r="B11" i="2"/>
  <c r="C10" i="2"/>
  <c r="B10" i="2"/>
  <c r="A25" i="3" l="1"/>
  <c r="A26" i="3" s="1"/>
  <c r="A27" i="3" s="1"/>
  <c r="A28" i="3" s="1"/>
  <c r="A29" i="3" s="1"/>
  <c r="A30" i="3" s="1"/>
  <c r="A33" i="3"/>
  <c r="G12" i="3"/>
  <c r="A17" i="3"/>
  <c r="A18" i="3" s="1"/>
  <c r="A20" i="3" s="1"/>
  <c r="A22" i="3" s="1"/>
  <c r="D12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<sst xmlns="http://schemas.openxmlformats.org/spreadsheetml/2006/main" count="181" uniqueCount="154">
  <si>
    <t>Instructions</t>
  </si>
  <si>
    <t>Perform a management report, analyzing the financial health of Amazon Inc. based on its recent two annual reports (2022 &amp; 2021).</t>
  </si>
  <si>
    <t>Please refer to the below website in order to download the company financial statements:</t>
  </si>
  <si>
    <t>https://ir.aboutamazon.com/annual-reports-proxies-and-shareholder-letters/default.aspx</t>
  </si>
  <si>
    <t>Please input the three financial statements in the format from previous task, attached here in the second tab</t>
  </si>
  <si>
    <t>Perform the calculations on tab three similar to previous task.</t>
  </si>
  <si>
    <t>You are required write up a 1-2 page report commenting on the financial health of Amazon Inc. based on the ratios you have calculated, addressing the five key topics mentioned in the ratios tab.</t>
  </si>
  <si>
    <t>You are free to use any additional publicly available information/ news articles whilst mentioning the sources at the end page</t>
  </si>
  <si>
    <t>However make sure you have covered the five key topics in the ratio analysis</t>
  </si>
  <si>
    <t>Formats:</t>
  </si>
  <si>
    <t>The report should be submitted as a word document</t>
  </si>
  <si>
    <t>The supporting calculations should be submitted in excel document as same as the previous task.</t>
  </si>
  <si>
    <t>Amazon Inc.</t>
  </si>
  <si>
    <t>(In millions)</t>
  </si>
  <si>
    <t>CONSOLIDATED STATEMENTS OF OPERATIONS</t>
  </si>
  <si>
    <t xml:space="preserve">Years ended 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</si>
  <si>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</si>
  <si>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</si>
  <si>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</si>
  <si>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</si>
  <si>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</si>
  <si>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</si>
  <si>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</si>
  <si>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</si>
  <si>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</si>
  <si>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</si>
  <si>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</si>
  <si>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</si>
  <si>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</si>
  <si>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</si>
  <si>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</si>
  <si>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</si>
  <si>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</si>
  <si>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</si>
  <si>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</si>
  <si>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</si>
  <si>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</si>
  <si>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</si>
  <si>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</si>
  <si>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</si>
  <si>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</si>
  <si>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</si>
  <si>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</si>
  <si>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</si>
  <si>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</si>
  <si>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</si>
  <si>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</si>
  <si>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</si>
  <si>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</si>
  <si>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</si>
  <si>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</si>
  <si>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</si>
  <si>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</si>
  <si>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</si>
  <si>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</si>
  <si>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</si>
  <si>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</si>
  <si>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</si>
  <si>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</si>
  <si>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</si>
  <si>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</si>
  <si>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</si>
  <si>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($0.01 par value; 100,000 shares authorized; 10,644 and 10,757 shares issued; 10,175 and 10,242 shares outstanding)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</si>
  <si>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</si>
  <si>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</si>
  <si>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</si>
  <si>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</si>
  <si>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</si>
  <si>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</si>
  <si>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</si>
  <si>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operating: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</si>
  <si>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</si>
  <si>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</si>
  <si>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</si>
  <si>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</si>
  <si>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</si>
  <si>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</si>
  <si>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</si>
  <si>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</si>
  <si>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</si>
  <si>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</si>
  <si>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</si>
  <si>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</si>
  <si>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</si>
  <si>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</si>
  <si>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</si>
  <si>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</si>
  <si>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</si>
  <si>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</si>
  <si>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</si>
  <si>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</si>
  <si>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</si>
  <si>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</si>
  <si>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</si>
  <si>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</si>
  <si>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</si>
  <si>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</si>
  <si>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</si>
  <si>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</si>
  <si>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Years ended ,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</si>
  <si>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</si>
  <si>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</si>
  <si>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</si>
  <si>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</si>
  <si>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</si>
  <si>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</si>
  <si>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</si>
  <si>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</si>
  <si>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</si>
  <si>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</si>
  <si>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</si>
  <si>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</si>
  <si>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</si>
  <si>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</si>
  <si>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</si>
  <si>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</si>
  <si>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</si>
  <si>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</si>
  <si>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</si>
  <si>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</si>
  <si>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</si>
  <si>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</si>
  <si>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</si>
  <si>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</si>
  <si>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</si>
  <si>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</si>
  <si>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</si>
  <si>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</si>
  <si>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</si>
  <si>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</si>
  <si>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</si>
  <si>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</si>
  <si>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</si>
  <si>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</si>
  <si>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</si>
  <si>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</si>
  <si>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</si>
  <si>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</si>
  <si>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</si>
  <si>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</si>
  <si>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Return on assets (ROA), 4.4</t>
  </si>
  <si>
    <t>Enterprise value to EBITDA (EV/EBITDA)</t>
  </si>
  <si>
    <t>Enterprise value (EV)</t>
  </si>
  <si>
    <t>Subtract D&amp;A from operating expenses</t>
  </si>
  <si>
    <t>Operating income in Financial Statements row 18 + D&amp;A</t>
  </si>
  <si>
    <t xml:space="preserve">Operating income in Financial Statements row 18 </t>
  </si>
  <si>
    <t>Capex is the purchase of PPE in cash flow statement</t>
  </si>
  <si>
    <t>Net income/Diluted no. of shares (do not subtract dividends here)</t>
  </si>
  <si>
    <t>Numerator should be operating income in row 18</t>
  </si>
  <si>
    <t>Remove division from 1000</t>
  </si>
  <si>
    <t>Operating income in Financial Statements row 19</t>
  </si>
  <si>
    <t>Numerator should be operating income in row 19</t>
  </si>
  <si>
    <t>Remove division from 1001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</si>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</sst>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_(* #,##0_);_(* \(#,##0\);_(* \-??_);_(@_)"/>
    <numFmt numFmtId="166" formatCode="0.0"/>
  </numFmts>
  <fonts count="12" x14ac:knownFonts="1">
    <font>
      <sz val="11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0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</font>
    <font>
      <sz val="20"/>
      <color rgb="FFFFFFFF"/>
      <name val="Calibri"/>
      <family val="2"/>
      <charset val="1"/>
    </font>
    <font>
      <sz val="11"/>
      <color rgb="FFC9211E"/>
      <name val="Calibri"/>
      <family val="2"/>
    </font>
    <font>
      <sz val="11"/>
      <color rgb="FFC9211E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ADB9CA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E2F0D9"/>
        <bgColor rgb="FFFFFFCC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0" fillId="0" borderId="0" applyBorder="0" applyProtection="0"/>
    <xf numFmtId="0" fontId="2" fillId="0" borderId="0" applyBorder="0" applyProtection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0" fillId="0" borderId="0" xfId="0" applyAlignment="1">
      <alignment horizontal="left" wrapText="1" indent="1"/>
    </xf>
    <xf numFmtId="0" fontId="2" fillId="0" borderId="0" xfId="2" applyBorder="1" applyAlignment="1" applyProtection="1">
      <alignment horizontal="left" wrapText="1" indent="1"/>
    </xf>
    <xf numFmtId="0" fontId="3" fillId="0" borderId="0" xfId="0" applyFont="1" applyAlignment="1">
      <alignment wrapText="1"/>
    </xf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3" fillId="0" borderId="0" xfId="0" applyFont="1"/>
    <xf numFmtId="0" fontId="0" fillId="0" borderId="0" xfId="0" applyAlignment="1">
      <alignment horizontal="left" indent="1"/>
    </xf>
    <xf numFmtId="164" fontId="10" fillId="0" borderId="0" xfId="1" applyAlignment="1">
      <alignment wrapText="1"/>
    </xf>
    <xf numFmtId="165" fontId="10" fillId="0" borderId="0" xfId="1" applyNumberFormat="1" applyBorder="1" applyProtection="1"/>
    <xf numFmtId="0" fontId="3" fillId="0" borderId="1" xfId="0" applyFont="1" applyBorder="1"/>
    <xf numFmtId="165" fontId="3" fillId="0" borderId="1" xfId="1" applyNumberFormat="1" applyFont="1" applyBorder="1" applyProtection="1"/>
    <xf numFmtId="165" fontId="6" fillId="0" borderId="0" xfId="1" applyNumberFormat="1" applyFont="1" applyBorder="1" applyProtection="1"/>
    <xf numFmtId="165" fontId="3" fillId="4" borderId="1" xfId="1" applyNumberFormat="1" applyFont="1" applyFill="1" applyBorder="1" applyProtection="1"/>
    <xf numFmtId="165" fontId="10" fillId="4" borderId="0" xfId="1" applyNumberFormat="1" applyFill="1" applyBorder="1" applyProtection="1"/>
    <xf numFmtId="0" fontId="3" fillId="0" borderId="2" xfId="0" applyFont="1" applyBorder="1"/>
    <xf numFmtId="165" fontId="3" fillId="0" borderId="2" xfId="1" applyNumberFormat="1" applyFont="1" applyBorder="1" applyProtection="1"/>
    <xf numFmtId="0" fontId="0" fillId="5" borderId="0" xfId="0" applyFill="1"/>
    <xf numFmtId="3" fontId="0" fillId="0" borderId="0" xfId="0" applyNumberFormat="1"/>
    <xf numFmtId="0" fontId="3" fillId="0" borderId="3" xfId="0" applyFont="1" applyBorder="1" applyAlignment="1">
      <alignment horizontal="left"/>
    </xf>
    <xf numFmtId="165" fontId="3" fillId="0" borderId="0" xfId="1" applyNumberFormat="1" applyFont="1" applyBorder="1" applyProtection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6" fontId="0" fillId="0" borderId="0" xfId="0" applyNumberFormat="1"/>
    <xf numFmtId="2" fontId="0" fillId="0" borderId="0" xfId="0" applyNumberFormat="1"/>
    <xf numFmtId="164" fontId="6" fillId="0" borderId="0" xfId="1" applyFont="1" applyBorder="1" applyProtection="1"/>
    <xf numFmtId="164" fontId="10" fillId="0" borderId="0" xfId="1" applyBorder="1" applyProtection="1"/>
    <xf numFmtId="0" fontId="3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9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zoomScale="120" zoomScaleNormal="120" workbookViewId="0">
      <selection activeCell="A10" sqref="A10"/>
    </sheetView>
  </sheetViews>
  <sheetFormatPr defaultColWidth="8.6640625" defaultRowHeight="14.4" x14ac:dyDescent="0.3"/>
  <cols>
    <col min="1" max="1" width="157.88671875" style="3" customWidth="1"/>
  </cols>
  <sheetData>
    <row r="1" spans="1:1" ht="23.4" x14ac:dyDescent="0.45">
      <c r="A1" s="4" t="s">
        <v>0</v>
      </c>
    </row>
    <row r="3" spans="1:1" x14ac:dyDescent="0.3">
      <c r="A3" s="3" t="s">
        <v>1</v>
      </c>
    </row>
    <row r="4" spans="1:1" x14ac:dyDescent="0.3">
      <c r="A4" s="5" t="s">
        <v>2</v>
      </c>
    </row>
    <row r="5" spans="1:1" x14ac:dyDescent="0.3">
      <c r="A5" s="6" t="s">
        <v>3</v>
      </c>
    </row>
    <row r="7" spans="1:1" x14ac:dyDescent="0.3">
      <c r="A7" s="3" t="s">
        <v>4</v>
      </c>
    </row>
    <row r="8" spans="1:1" x14ac:dyDescent="0.3">
      <c r="A8" s="3" t="s">
        <v>5</v>
      </c>
    </row>
    <row r="9" spans="1:1" ht="28.8" x14ac:dyDescent="0.3">
      <c r="A9" s="3" t="s">
        <v>6</v>
      </c>
    </row>
    <row r="10" spans="1:1" x14ac:dyDescent="0.3">
      <c r="A10" s="3" t="s">
        <v>7</v>
      </c>
    </row>
    <row r="11" spans="1:1" x14ac:dyDescent="0.3">
      <c r="A11" s="3" t="s">
        <v>8</v>
      </c>
    </row>
    <row r="13" spans="1:1" x14ac:dyDescent="0.3">
      <c r="A13" s="7" t="s">
        <v>9</v>
      </c>
    </row>
    <row r="14" spans="1:1" x14ac:dyDescent="0.3">
      <c r="A14" s="3" t="s">
        <v>10</v>
      </c>
    </row>
    <row r="15" spans="1:1" x14ac:dyDescent="0.3">
      <c r="A15" s="3" t="s">
        <v>11</v>
      </c>
    </row>
  </sheetData>
  <hyperlinks>
    <hyperlink ref="A5" r:id="rId1" xr:uid="{00000000-0004-0000-0000-000000000000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topLeftCell="A88" zoomScaleNormal="100" workbookViewId="0">
      <selection activeCell="C119" sqref="C119"/>
    </sheetView>
  </sheetViews>
  <sheetFormatPr defaultColWidth="8.6640625" defaultRowHeight="14.4" x14ac:dyDescent="0.3"/>
  <cols>
    <col min="1" max="1" width="59.77734375" customWidth="1"/>
    <col min="2" max="3" width="11.5546875" customWidth="1"/>
    <col min="4" max="4" width="11.6640625" customWidth="1"/>
  </cols>
  <sheetData>
    <row r="1" spans="1:10" ht="60" customHeight="1" x14ac:dyDescent="0.3">
      <c r="A1" s="8" t="s">
        <v>12</v>
      </c>
      <c r="B1" s="9" t="s">
        <v>13</v>
      </c>
      <c r="C1" s="9"/>
      <c r="D1" s="9"/>
      <c r="E1" s="9"/>
      <c r="F1" s="9"/>
      <c r="G1" s="9"/>
      <c r="H1" s="9"/>
      <c r="I1" s="9"/>
      <c r="J1" s="9"/>
    </row>
    <row r="2" spans="1:10" x14ac:dyDescent="0.3">
      <c r="A2" s="2" t="s">
        <v>14</v>
      </c>
      <c r="B2" s="2"/>
      <c r="C2" s="2"/>
      <c r="D2" s="2"/>
    </row>
    <row r="3" spans="1:10" x14ac:dyDescent="0.3">
      <c r="B3" s="1" t="s">
        <v>15</v>
      </c>
      <c r="C3" s="1"/>
      <c r="D3" s="1"/>
    </row>
    <row r="4" spans="1:10" x14ac:dyDescent="0.3">
      <c r="B4" s="10">
        <v>2022</v>
      </c>
      <c r="C4" s="10">
        <v>2021</v>
      </c>
      <c r="D4" s="10"/>
    </row>
    <row r="5" spans="1:10" x14ac:dyDescent="0.3">
      <c r="A5" t="s">
        <v>16</v>
      </c>
    </row>
    <row r="6" spans="1:10" x14ac:dyDescent="0.3">
      <c r="A6" s="11" t="s">
        <v>17</v>
      </c>
      <c r="B6" s="12">
        <v>242901</v>
      </c>
      <c r="C6" s="12">
        <v>241787</v>
      </c>
      <c r="D6" s="13"/>
    </row>
    <row r="7" spans="1:10" x14ac:dyDescent="0.3">
      <c r="A7" s="11" t="s">
        <v>18</v>
      </c>
      <c r="B7" s="12">
        <v>271082</v>
      </c>
      <c r="C7" s="12">
        <v>228035</v>
      </c>
      <c r="D7" s="13"/>
    </row>
    <row r="8" spans="1:10" x14ac:dyDescent="0.3">
      <c r="A8" s="14" t="s">
        <v>19</v>
      </c>
      <c r="B8" s="12">
        <v>513983</v>
      </c>
      <c r="C8" s="12">
        <v>469822</v>
      </c>
      <c r="D8" s="15"/>
    </row>
    <row r="9" spans="1:10" x14ac:dyDescent="0.3">
      <c r="A9" t="s">
        <v>20</v>
      </c>
      <c r="B9" s="13"/>
      <c r="C9" s="13"/>
      <c r="D9" s="13"/>
    </row>
    <row r="10" spans="1:10" x14ac:dyDescent="0.3">
      <c r="A10" s="11" t="s">
        <v>17</v>
      </c>
      <c r="B10" s="13">
        <f>0.55*B12</f>
        <v>158857.05000000002</v>
      </c>
      <c r="C10" s="16">
        <f>0.55*C12</f>
        <v>149789.20000000001</v>
      </c>
      <c r="D10" s="13"/>
    </row>
    <row r="11" spans="1:10" x14ac:dyDescent="0.3">
      <c r="A11" s="11" t="s">
        <v>18</v>
      </c>
      <c r="B11" s="13">
        <f>B12-B10</f>
        <v>129973.94999999998</v>
      </c>
      <c r="C11" s="13">
        <f>C12-C10</f>
        <v>122554.79999999999</v>
      </c>
      <c r="D11" s="13"/>
    </row>
    <row r="12" spans="1:10" x14ac:dyDescent="0.3">
      <c r="A12" s="14" t="s">
        <v>21</v>
      </c>
      <c r="B12" s="12">
        <v>288831</v>
      </c>
      <c r="C12" s="12">
        <v>272344</v>
      </c>
      <c r="D12" s="15"/>
    </row>
    <row r="13" spans="1:10" x14ac:dyDescent="0.3">
      <c r="A13" s="14" t="s">
        <v>22</v>
      </c>
      <c r="B13" s="15">
        <f>+B8-B12</f>
        <v>225152</v>
      </c>
      <c r="C13" s="15">
        <f>+C8-C12</f>
        <v>197478</v>
      </c>
      <c r="D13" s="15"/>
    </row>
    <row r="14" spans="1:10" x14ac:dyDescent="0.3">
      <c r="A14" t="s">
        <v>23</v>
      </c>
      <c r="B14" s="13"/>
      <c r="C14" s="13"/>
      <c r="D14" s="13"/>
    </row>
    <row r="15" spans="1:10" x14ac:dyDescent="0.3">
      <c r="A15" s="11" t="s">
        <v>24</v>
      </c>
      <c r="B15" s="12">
        <v>6824</v>
      </c>
      <c r="C15" s="13">
        <v>0</v>
      </c>
      <c r="D15" s="13"/>
    </row>
    <row r="16" spans="1:10" x14ac:dyDescent="0.3">
      <c r="A16" s="11" t="s">
        <v>25</v>
      </c>
      <c r="B16" s="12">
        <v>11891</v>
      </c>
      <c r="C16" s="16">
        <v>8823</v>
      </c>
      <c r="D16" s="13"/>
    </row>
    <row r="17" spans="1:4" x14ac:dyDescent="0.3">
      <c r="A17" s="14" t="s">
        <v>26</v>
      </c>
      <c r="B17" s="12">
        <v>501735</v>
      </c>
      <c r="C17" s="12">
        <v>444943</v>
      </c>
      <c r="D17" s="15"/>
    </row>
    <row r="18" spans="1:4" s="14" customFormat="1" x14ac:dyDescent="0.3">
      <c r="A18" s="14" t="s">
        <v>27</v>
      </c>
      <c r="B18" s="12">
        <v>12248</v>
      </c>
      <c r="C18" s="12">
        <v>24879</v>
      </c>
      <c r="D18" s="15"/>
    </row>
    <row r="19" spans="1:4" x14ac:dyDescent="0.3">
      <c r="A19" t="s">
        <v>28</v>
      </c>
      <c r="B19" s="12">
        <v>-16806</v>
      </c>
      <c r="C19" s="12">
        <v>14633</v>
      </c>
      <c r="D19" s="13"/>
    </row>
    <row r="20" spans="1:4" x14ac:dyDescent="0.3">
      <c r="A20" s="14" t="s">
        <v>29</v>
      </c>
      <c r="B20" s="17"/>
      <c r="C20" s="17"/>
      <c r="D20" s="15"/>
    </row>
    <row r="21" spans="1:4" x14ac:dyDescent="0.3">
      <c r="A21" t="s">
        <v>30</v>
      </c>
      <c r="B21" s="18"/>
      <c r="C21" s="18"/>
      <c r="D21" s="13"/>
    </row>
    <row r="22" spans="1:4" x14ac:dyDescent="0.3">
      <c r="A22" s="19" t="s">
        <v>31</v>
      </c>
      <c r="B22" s="12">
        <v>-2722</v>
      </c>
      <c r="C22" s="12">
        <v>33364</v>
      </c>
      <c r="D22" s="20"/>
    </row>
    <row r="23" spans="1:4" x14ac:dyDescent="0.3">
      <c r="A23" t="s">
        <v>32</v>
      </c>
    </row>
    <row r="24" spans="1:4" x14ac:dyDescent="0.3">
      <c r="A24" s="11" t="s">
        <v>33</v>
      </c>
      <c r="B24" s="21">
        <v>-0.27</v>
      </c>
      <c r="C24" s="21">
        <v>3.3</v>
      </c>
      <c r="D24" s="21"/>
    </row>
    <row r="25" spans="1:4" x14ac:dyDescent="0.3">
      <c r="A25" s="11" t="s">
        <v>34</v>
      </c>
      <c r="B25" s="21">
        <v>-0.27</v>
      </c>
      <c r="C25" s="21">
        <v>3.24</v>
      </c>
      <c r="D25" s="21"/>
    </row>
    <row r="26" spans="1:4" x14ac:dyDescent="0.3">
      <c r="A26" t="s">
        <v>35</v>
      </c>
    </row>
    <row r="27" spans="1:4" x14ac:dyDescent="0.3">
      <c r="A27" s="11" t="s">
        <v>33</v>
      </c>
      <c r="B27" s="22">
        <v>10189</v>
      </c>
      <c r="C27" s="22">
        <v>10117</v>
      </c>
      <c r="D27" s="22"/>
    </row>
    <row r="28" spans="1:4" x14ac:dyDescent="0.3">
      <c r="A28" s="11" t="s">
        <v>34</v>
      </c>
      <c r="B28" s="22">
        <v>10189</v>
      </c>
      <c r="C28" s="22">
        <v>10296</v>
      </c>
      <c r="D28" s="22"/>
    </row>
    <row r="31" spans="1:4" x14ac:dyDescent="0.3">
      <c r="A31" s="2" t="s">
        <v>36</v>
      </c>
      <c r="B31" s="2"/>
      <c r="C31" s="2"/>
      <c r="D31" s="2"/>
    </row>
    <row r="32" spans="1:4" x14ac:dyDescent="0.3">
      <c r="B32" s="1" t="s">
        <v>15</v>
      </c>
      <c r="C32" s="1"/>
      <c r="D32" s="1"/>
    </row>
    <row r="33" spans="1:4" x14ac:dyDescent="0.3">
      <c r="B33" s="10">
        <v>2022</v>
      </c>
      <c r="C33" s="10">
        <v>2021</v>
      </c>
      <c r="D33" s="10"/>
    </row>
    <row r="35" spans="1:4" x14ac:dyDescent="0.3">
      <c r="A35" t="s">
        <v>37</v>
      </c>
    </row>
    <row r="36" spans="1:4" x14ac:dyDescent="0.3">
      <c r="A36" s="11" t="s">
        <v>38</v>
      </c>
      <c r="B36" s="12">
        <v>53888</v>
      </c>
      <c r="C36" s="16">
        <v>36220</v>
      </c>
      <c r="D36" s="13"/>
    </row>
    <row r="37" spans="1:4" x14ac:dyDescent="0.3">
      <c r="A37" s="11" t="s">
        <v>39</v>
      </c>
      <c r="B37" s="12">
        <v>16138</v>
      </c>
      <c r="C37" s="12">
        <v>59829</v>
      </c>
      <c r="D37" s="13"/>
    </row>
    <row r="38" spans="1:4" x14ac:dyDescent="0.3">
      <c r="A38" s="11" t="s">
        <v>40</v>
      </c>
      <c r="B38" s="12">
        <v>42360</v>
      </c>
      <c r="C38" s="12">
        <v>32891</v>
      </c>
      <c r="D38" s="13"/>
    </row>
    <row r="39" spans="1:4" x14ac:dyDescent="0.3">
      <c r="A39" s="11" t="s">
        <v>41</v>
      </c>
      <c r="B39" s="12">
        <v>34405</v>
      </c>
      <c r="C39" s="12">
        <v>32640</v>
      </c>
      <c r="D39" s="13"/>
    </row>
    <row r="40" spans="1:4" x14ac:dyDescent="0.3">
      <c r="A40" s="11" t="s">
        <v>42</v>
      </c>
      <c r="B40" s="13">
        <v>0</v>
      </c>
      <c r="C40" s="13">
        <v>0</v>
      </c>
      <c r="D40" s="13"/>
    </row>
    <row r="41" spans="1:4" x14ac:dyDescent="0.3">
      <c r="A41" s="11" t="s">
        <v>43</v>
      </c>
      <c r="B41" s="13">
        <v>0</v>
      </c>
      <c r="C41" s="13">
        <v>0</v>
      </c>
      <c r="D41" s="13"/>
    </row>
    <row r="42" spans="1:4" x14ac:dyDescent="0.3">
      <c r="A42" s="14" t="s">
        <v>44</v>
      </c>
      <c r="B42" s="12">
        <v>146791</v>
      </c>
      <c r="C42" s="12">
        <v>161580</v>
      </c>
      <c r="D42" s="15"/>
    </row>
    <row r="43" spans="1:4" x14ac:dyDescent="0.3">
      <c r="A43" t="s">
        <v>45</v>
      </c>
      <c r="B43" s="13"/>
      <c r="C43" s="13"/>
      <c r="D43" s="13"/>
    </row>
    <row r="44" spans="1:4" x14ac:dyDescent="0.3">
      <c r="A44" s="11" t="s">
        <v>39</v>
      </c>
      <c r="B44" s="13">
        <v>86411</v>
      </c>
      <c r="C44" s="13">
        <v>71453</v>
      </c>
      <c r="D44" s="13"/>
    </row>
    <row r="45" spans="1:4" x14ac:dyDescent="0.3">
      <c r="A45" s="11" t="s">
        <v>46</v>
      </c>
      <c r="B45" s="12">
        <v>186715</v>
      </c>
      <c r="C45" s="12">
        <v>160281</v>
      </c>
      <c r="D45" s="13"/>
    </row>
    <row r="46" spans="1:4" x14ac:dyDescent="0.3">
      <c r="A46" s="11" t="s">
        <v>47</v>
      </c>
      <c r="B46" s="12">
        <v>42758</v>
      </c>
      <c r="C46" s="12">
        <v>27235</v>
      </c>
      <c r="D46" s="13"/>
    </row>
    <row r="47" spans="1:4" x14ac:dyDescent="0.3">
      <c r="A47" s="14" t="s">
        <v>48</v>
      </c>
      <c r="B47" s="12">
        <f>462675-146791</f>
        <v>315884</v>
      </c>
      <c r="C47" s="12">
        <f>420549-161580</f>
        <v>258969</v>
      </c>
      <c r="D47" s="15"/>
    </row>
    <row r="48" spans="1:4" x14ac:dyDescent="0.3">
      <c r="A48" s="19" t="s">
        <v>49</v>
      </c>
      <c r="B48" s="12">
        <v>462675</v>
      </c>
      <c r="C48" s="12">
        <v>420549</v>
      </c>
      <c r="D48" s="20"/>
    </row>
    <row r="50" spans="1:4" x14ac:dyDescent="0.3">
      <c r="A50" t="s">
        <v>50</v>
      </c>
    </row>
    <row r="51" spans="1:4" x14ac:dyDescent="0.3">
      <c r="A51" s="11" t="s">
        <v>51</v>
      </c>
      <c r="B51" s="12">
        <v>79600</v>
      </c>
      <c r="C51" s="12">
        <v>78664</v>
      </c>
      <c r="D51" s="13"/>
    </row>
    <row r="52" spans="1:4" x14ac:dyDescent="0.3">
      <c r="A52" s="11" t="s">
        <v>52</v>
      </c>
      <c r="B52" s="12">
        <v>62566</v>
      </c>
      <c r="C52" s="12">
        <v>51775</v>
      </c>
      <c r="D52" s="13"/>
    </row>
    <row r="53" spans="1:4" x14ac:dyDescent="0.3">
      <c r="A53" s="11" t="s">
        <v>53</v>
      </c>
      <c r="B53" s="12">
        <v>13227</v>
      </c>
      <c r="C53" s="12">
        <v>11827</v>
      </c>
      <c r="D53" s="13"/>
    </row>
    <row r="54" spans="1:4" x14ac:dyDescent="0.3">
      <c r="A54" s="11" t="s">
        <v>54</v>
      </c>
      <c r="B54" s="13">
        <v>725</v>
      </c>
      <c r="C54" s="13">
        <v>6800</v>
      </c>
      <c r="D54" s="13"/>
    </row>
    <row r="55" spans="1:4" x14ac:dyDescent="0.3">
      <c r="A55" s="11" t="s">
        <v>55</v>
      </c>
      <c r="B55" s="13">
        <v>0</v>
      </c>
      <c r="C55" s="13">
        <v>0</v>
      </c>
      <c r="D55" s="13"/>
    </row>
    <row r="56" spans="1:4" x14ac:dyDescent="0.3">
      <c r="A56" s="14" t="s">
        <v>56</v>
      </c>
      <c r="B56" s="12">
        <v>155393</v>
      </c>
      <c r="C56" s="12">
        <v>142266</v>
      </c>
      <c r="D56" s="15"/>
    </row>
    <row r="57" spans="1:4" x14ac:dyDescent="0.3">
      <c r="A57" t="s">
        <v>57</v>
      </c>
      <c r="B57" s="13"/>
      <c r="C57" s="13"/>
      <c r="D57" s="13"/>
    </row>
    <row r="58" spans="1:4" x14ac:dyDescent="0.3">
      <c r="A58" s="11" t="s">
        <v>53</v>
      </c>
      <c r="B58" s="13">
        <f>161239-21121-67150</f>
        <v>72968</v>
      </c>
      <c r="C58" s="13">
        <f>140038-23643-48744</f>
        <v>67651</v>
      </c>
      <c r="D58" s="13"/>
    </row>
    <row r="59" spans="1:4" x14ac:dyDescent="0.3">
      <c r="A59" s="11" t="s">
        <v>55</v>
      </c>
      <c r="B59" s="12">
        <v>67150</v>
      </c>
      <c r="C59" s="12">
        <v>48744</v>
      </c>
      <c r="D59" s="13"/>
    </row>
    <row r="60" spans="1:4" x14ac:dyDescent="0.3">
      <c r="A60" s="11" t="s">
        <v>58</v>
      </c>
      <c r="B60" s="12">
        <v>21121</v>
      </c>
      <c r="C60" s="12">
        <v>23643</v>
      </c>
      <c r="D60" s="13"/>
    </row>
    <row r="61" spans="1:4" x14ac:dyDescent="0.3">
      <c r="A61" s="23" t="s">
        <v>59</v>
      </c>
      <c r="B61" s="12">
        <f>316632-155393</f>
        <v>161239</v>
      </c>
      <c r="C61" s="12">
        <f>282304-142266</f>
        <v>140038</v>
      </c>
      <c r="D61" s="13"/>
    </row>
    <row r="62" spans="1:4" x14ac:dyDescent="0.3">
      <c r="A62" s="14" t="s">
        <v>60</v>
      </c>
      <c r="B62" s="15">
        <f>462675-146043</f>
        <v>316632</v>
      </c>
      <c r="C62" s="15">
        <f>420549-138245</f>
        <v>282304</v>
      </c>
      <c r="D62" s="15"/>
    </row>
    <row r="63" spans="1:4" x14ac:dyDescent="0.3">
      <c r="B63" s="13"/>
      <c r="C63" s="13"/>
      <c r="D63" s="13"/>
    </row>
    <row r="64" spans="1:4" x14ac:dyDescent="0.3">
      <c r="A64" t="s">
        <v>61</v>
      </c>
      <c r="B64" s="13"/>
      <c r="C64" s="13"/>
      <c r="D64" s="13"/>
    </row>
    <row r="65" spans="1:4" x14ac:dyDescent="0.3">
      <c r="A65" s="11" t="s">
        <v>62</v>
      </c>
      <c r="B65" s="13">
        <v>106</v>
      </c>
      <c r="C65" s="13">
        <v>108</v>
      </c>
      <c r="D65" s="13"/>
    </row>
    <row r="66" spans="1:4" x14ac:dyDescent="0.3">
      <c r="A66" s="11" t="s">
        <v>63</v>
      </c>
      <c r="B66" s="12">
        <v>83193</v>
      </c>
      <c r="C66" s="12">
        <v>85915</v>
      </c>
      <c r="D66" s="13"/>
    </row>
    <row r="67" spans="1:4" x14ac:dyDescent="0.3">
      <c r="A67" s="11" t="s">
        <v>64</v>
      </c>
      <c r="B67" s="12">
        <v>-4487</v>
      </c>
      <c r="C67" s="12">
        <v>-1376</v>
      </c>
      <c r="D67" s="13"/>
    </row>
    <row r="68" spans="1:4" x14ac:dyDescent="0.3">
      <c r="A68" s="14" t="s">
        <v>65</v>
      </c>
      <c r="B68" s="12">
        <v>146043</v>
      </c>
      <c r="C68" s="12">
        <v>138245</v>
      </c>
      <c r="D68" s="15"/>
    </row>
    <row r="69" spans="1:4" x14ac:dyDescent="0.3">
      <c r="A69" s="19" t="s">
        <v>66</v>
      </c>
      <c r="B69" s="12">
        <v>462675</v>
      </c>
      <c r="C69" s="12">
        <v>420549</v>
      </c>
      <c r="D69" s="20"/>
    </row>
    <row r="71" spans="1:4" x14ac:dyDescent="0.3">
      <c r="A71" s="2" t="s">
        <v>67</v>
      </c>
      <c r="B71" s="2"/>
      <c r="C71" s="2"/>
      <c r="D71" s="2"/>
    </row>
    <row r="72" spans="1:4" x14ac:dyDescent="0.3">
      <c r="B72" s="1" t="s">
        <v>15</v>
      </c>
      <c r="C72" s="1"/>
      <c r="D72" s="1"/>
    </row>
    <row r="73" spans="1:4" x14ac:dyDescent="0.3">
      <c r="B73" s="10">
        <v>2022</v>
      </c>
      <c r="C73" s="10">
        <v>2021</v>
      </c>
      <c r="D73" s="10"/>
    </row>
    <row r="75" spans="1:4" x14ac:dyDescent="0.3">
      <c r="A75" s="10" t="s">
        <v>68</v>
      </c>
      <c r="B75" s="12">
        <v>36477</v>
      </c>
      <c r="C75" s="12">
        <v>42377</v>
      </c>
      <c r="D75" s="24"/>
    </row>
    <row r="76" spans="1:4" x14ac:dyDescent="0.3">
      <c r="A76" t="s">
        <v>69</v>
      </c>
      <c r="B76" s="13"/>
      <c r="C76" s="13"/>
      <c r="D76" s="13"/>
    </row>
    <row r="77" spans="1:4" x14ac:dyDescent="0.3">
      <c r="A77" s="25" t="s">
        <v>31</v>
      </c>
      <c r="B77" s="13">
        <v>-2722</v>
      </c>
      <c r="C77" s="12">
        <v>33364</v>
      </c>
      <c r="D77" s="24"/>
    </row>
    <row r="78" spans="1:4" x14ac:dyDescent="0.3">
      <c r="A78" s="26" t="s">
        <v>70</v>
      </c>
      <c r="B78" s="13"/>
      <c r="C78" s="13"/>
      <c r="D78" s="13"/>
    </row>
    <row r="79" spans="1:4" x14ac:dyDescent="0.3">
      <c r="A79" s="27" t="s">
        <v>71</v>
      </c>
      <c r="B79" s="12">
        <v>41921</v>
      </c>
      <c r="C79" s="12">
        <v>34433</v>
      </c>
      <c r="D79" s="13"/>
    </row>
    <row r="80" spans="1:4" x14ac:dyDescent="0.3">
      <c r="A80" s="27" t="s">
        <v>72</v>
      </c>
      <c r="B80" s="12">
        <v>19621</v>
      </c>
      <c r="C80" s="12">
        <v>12757</v>
      </c>
      <c r="D80" s="13"/>
    </row>
    <row r="81" spans="1:9" x14ac:dyDescent="0.3">
      <c r="A81" s="27" t="s">
        <v>73</v>
      </c>
      <c r="B81" s="12">
        <v>-8148</v>
      </c>
      <c r="C81" s="12">
        <v>-310</v>
      </c>
      <c r="D81" s="13"/>
      <c r="G81" s="12"/>
      <c r="H81" s="12"/>
      <c r="I81" s="12"/>
    </row>
    <row r="82" spans="1:9" x14ac:dyDescent="0.3">
      <c r="A82" s="27" t="s">
        <v>74</v>
      </c>
      <c r="B82" s="13">
        <v>0</v>
      </c>
      <c r="C82" s="13">
        <v>0</v>
      </c>
      <c r="D82" s="13"/>
    </row>
    <row r="83" spans="1:9" x14ac:dyDescent="0.3">
      <c r="A83" t="s">
        <v>75</v>
      </c>
      <c r="B83" s="13"/>
      <c r="C83" s="13"/>
      <c r="D83" s="13"/>
    </row>
    <row r="84" spans="1:9" x14ac:dyDescent="0.3">
      <c r="A84" s="11" t="s">
        <v>40</v>
      </c>
      <c r="B84" s="12">
        <v>-21897</v>
      </c>
      <c r="C84" s="12">
        <v>-18163</v>
      </c>
      <c r="D84" s="13"/>
    </row>
    <row r="85" spans="1:9" x14ac:dyDescent="0.3">
      <c r="A85" s="11" t="s">
        <v>41</v>
      </c>
      <c r="B85" s="12">
        <v>-2592</v>
      </c>
      <c r="C85" s="12">
        <v>-9487</v>
      </c>
      <c r="D85" s="13"/>
    </row>
    <row r="86" spans="1:9" x14ac:dyDescent="0.3">
      <c r="A86" s="11" t="s">
        <v>42</v>
      </c>
      <c r="B86" s="18"/>
      <c r="C86" s="18"/>
      <c r="D86" s="13"/>
    </row>
    <row r="87" spans="1:9" x14ac:dyDescent="0.3">
      <c r="A87" s="11" t="s">
        <v>76</v>
      </c>
      <c r="B87" s="18"/>
      <c r="C87" s="18"/>
      <c r="D87" s="13"/>
    </row>
    <row r="88" spans="1:9" x14ac:dyDescent="0.3">
      <c r="A88" s="11" t="s">
        <v>51</v>
      </c>
      <c r="B88" s="12">
        <v>2945</v>
      </c>
      <c r="C88" s="12">
        <v>3602</v>
      </c>
      <c r="D88" s="13"/>
    </row>
    <row r="89" spans="1:9" x14ac:dyDescent="0.3">
      <c r="A89" s="11" t="s">
        <v>53</v>
      </c>
      <c r="B89" s="12">
        <v>2216</v>
      </c>
      <c r="C89" s="12">
        <v>2314</v>
      </c>
      <c r="D89" s="13"/>
    </row>
    <row r="90" spans="1:9" x14ac:dyDescent="0.3">
      <c r="A90" s="11" t="s">
        <v>77</v>
      </c>
      <c r="B90" s="13">
        <v>-1558</v>
      </c>
      <c r="C90" s="13">
        <v>2123</v>
      </c>
      <c r="D90" s="13"/>
    </row>
    <row r="91" spans="1:9" x14ac:dyDescent="0.3">
      <c r="A91" s="14" t="s">
        <v>78</v>
      </c>
      <c r="B91" s="12">
        <v>46752</v>
      </c>
      <c r="C91" s="12">
        <v>46327</v>
      </c>
      <c r="D91" s="15"/>
    </row>
    <row r="92" spans="1:9" x14ac:dyDescent="0.3">
      <c r="A92" s="10" t="s">
        <v>79</v>
      </c>
      <c r="B92" s="13"/>
      <c r="C92" s="13"/>
      <c r="D92" s="13"/>
    </row>
    <row r="93" spans="1:9" x14ac:dyDescent="0.3">
      <c r="A93" s="11" t="s">
        <v>80</v>
      </c>
      <c r="B93" s="12">
        <v>-2565</v>
      </c>
      <c r="C93" s="12">
        <v>-60157</v>
      </c>
      <c r="D93" s="13"/>
    </row>
    <row r="94" spans="1:9" x14ac:dyDescent="0.3">
      <c r="A94" s="11" t="s">
        <v>81</v>
      </c>
      <c r="B94" s="13">
        <f>31601/2</f>
        <v>15800.5</v>
      </c>
      <c r="C94" s="13">
        <f>59384/2</f>
        <v>29692</v>
      </c>
      <c r="D94" s="13"/>
    </row>
    <row r="95" spans="1:9" x14ac:dyDescent="0.3">
      <c r="A95" s="11" t="s">
        <v>82</v>
      </c>
      <c r="B95" s="13">
        <f>31601/2</f>
        <v>15800.5</v>
      </c>
      <c r="C95" s="13">
        <f>59384/2</f>
        <v>29692</v>
      </c>
      <c r="D95" s="13"/>
    </row>
    <row r="96" spans="1:9" x14ac:dyDescent="0.3">
      <c r="A96" s="11" t="s">
        <v>83</v>
      </c>
      <c r="B96" s="12">
        <v>-63645</v>
      </c>
      <c r="C96" s="12">
        <v>-61053</v>
      </c>
      <c r="D96" s="13"/>
    </row>
    <row r="97" spans="1:4" x14ac:dyDescent="0.3">
      <c r="A97" s="11" t="s">
        <v>84</v>
      </c>
      <c r="B97" s="12">
        <v>-8316</v>
      </c>
      <c r="C97" s="12">
        <v>-1985</v>
      </c>
      <c r="D97" s="13"/>
    </row>
    <row r="98" spans="1:4" x14ac:dyDescent="0.3">
      <c r="A98" s="11" t="s">
        <v>74</v>
      </c>
      <c r="B98" s="13"/>
      <c r="C98" s="13"/>
      <c r="D98" s="13"/>
    </row>
    <row r="99" spans="1:4" x14ac:dyDescent="0.3">
      <c r="A99" s="14" t="s">
        <v>85</v>
      </c>
      <c r="B99" s="12">
        <v>-37601</v>
      </c>
      <c r="C99" s="12">
        <v>-58154</v>
      </c>
      <c r="D99" s="13"/>
    </row>
    <row r="100" spans="1:4" x14ac:dyDescent="0.3">
      <c r="A100" s="10" t="s">
        <v>86</v>
      </c>
      <c r="B100" s="13"/>
      <c r="C100" s="13"/>
      <c r="D100" s="13"/>
    </row>
    <row r="101" spans="1:4" x14ac:dyDescent="0.3">
      <c r="A101" s="11" t="s">
        <v>87</v>
      </c>
      <c r="B101" s="15">
        <v>0</v>
      </c>
      <c r="C101" s="15">
        <v>0</v>
      </c>
      <c r="D101" s="15"/>
    </row>
    <row r="102" spans="1:4" x14ac:dyDescent="0.3">
      <c r="A102" s="11" t="s">
        <v>88</v>
      </c>
      <c r="B102" s="13">
        <v>0</v>
      </c>
      <c r="C102" s="13">
        <v>0</v>
      </c>
      <c r="D102" s="13"/>
    </row>
    <row r="103" spans="1:4" x14ac:dyDescent="0.3">
      <c r="A103" s="11" t="s">
        <v>89</v>
      </c>
      <c r="B103" s="12">
        <v>-6000</v>
      </c>
      <c r="C103" s="13">
        <v>0</v>
      </c>
      <c r="D103" s="13"/>
    </row>
    <row r="104" spans="1:4" x14ac:dyDescent="0.3">
      <c r="A104" s="11" t="s">
        <v>90</v>
      </c>
      <c r="B104" s="13">
        <v>62719</v>
      </c>
      <c r="C104" s="12">
        <v>26959</v>
      </c>
      <c r="D104" s="13"/>
    </row>
    <row r="105" spans="1:4" x14ac:dyDescent="0.3">
      <c r="A105" s="11" t="s">
        <v>91</v>
      </c>
      <c r="B105" s="13">
        <v>38812</v>
      </c>
      <c r="C105" s="13">
        <v>9343</v>
      </c>
      <c r="D105" s="13"/>
    </row>
    <row r="106" spans="1:4" x14ac:dyDescent="0.3">
      <c r="A106" s="11" t="s">
        <v>92</v>
      </c>
      <c r="B106" s="13">
        <v>0</v>
      </c>
      <c r="C106" s="13">
        <v>0</v>
      </c>
      <c r="D106" s="13"/>
    </row>
    <row r="107" spans="1:4" x14ac:dyDescent="0.3">
      <c r="A107" s="11" t="s">
        <v>74</v>
      </c>
      <c r="B107" s="13">
        <v>0</v>
      </c>
      <c r="C107" s="13">
        <v>0</v>
      </c>
      <c r="D107" s="13"/>
    </row>
    <row r="108" spans="1:4" x14ac:dyDescent="0.3">
      <c r="A108" s="14" t="s">
        <v>93</v>
      </c>
      <c r="B108" s="12">
        <v>9718</v>
      </c>
      <c r="C108" s="12">
        <v>6291</v>
      </c>
      <c r="D108" s="15"/>
    </row>
    <row r="109" spans="1:4" x14ac:dyDescent="0.3">
      <c r="A109" s="14" t="s">
        <v>94</v>
      </c>
      <c r="B109" s="12">
        <v>17776</v>
      </c>
      <c r="C109" s="12">
        <v>-5900</v>
      </c>
      <c r="D109" s="15"/>
    </row>
    <row r="110" spans="1:4" x14ac:dyDescent="0.3">
      <c r="A110" s="19" t="s">
        <v>95</v>
      </c>
      <c r="B110" s="12">
        <v>54253</v>
      </c>
      <c r="C110" s="12">
        <v>36477</v>
      </c>
      <c r="D110" s="20"/>
    </row>
    <row r="111" spans="1:4" x14ac:dyDescent="0.3">
      <c r="B111" s="13"/>
      <c r="C111" s="13"/>
      <c r="D111" s="13"/>
    </row>
    <row r="112" spans="1:4" x14ac:dyDescent="0.3">
      <c r="A112" t="s">
        <v>96</v>
      </c>
      <c r="B112" s="15"/>
      <c r="C112" s="15"/>
      <c r="D112" s="15"/>
    </row>
    <row r="113" spans="1:4" x14ac:dyDescent="0.3">
      <c r="A113" t="s">
        <v>97</v>
      </c>
      <c r="B113" s="15">
        <v>6035</v>
      </c>
      <c r="C113" s="15">
        <v>3688</v>
      </c>
      <c r="D113" s="15"/>
    </row>
    <row r="114" spans="1:4" x14ac:dyDescent="0.3">
      <c r="A114" t="s">
        <v>98</v>
      </c>
      <c r="B114" s="20">
        <v>1561</v>
      </c>
      <c r="C114" s="20">
        <v>1098</v>
      </c>
      <c r="D114" s="20"/>
    </row>
    <row r="115" spans="1:4" x14ac:dyDescent="0.3">
      <c r="B115" s="13"/>
      <c r="C115" s="13"/>
      <c r="D115" s="13"/>
    </row>
    <row r="116" spans="1:4" x14ac:dyDescent="0.3">
      <c r="B116" s="13"/>
      <c r="C116" s="13"/>
      <c r="D116" s="13"/>
    </row>
    <row r="117" spans="1:4" x14ac:dyDescent="0.3">
      <c r="B117" s="13"/>
      <c r="C117" s="13"/>
      <c r="D117" s="13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zoomScale="110" zoomScaleNormal="110" workbookViewId="0">
      <selection activeCell="I1" sqref="I1"/>
    </sheetView>
  </sheetViews>
  <sheetFormatPr defaultColWidth="8.6640625" defaultRowHeight="14.4" x14ac:dyDescent="0.3"/>
  <cols>
    <col min="1" max="1" width="4.6640625" customWidth="1"/>
    <col min="2" max="2" width="44.88671875" customWidth="1"/>
    <col min="9" max="9" width="32" customWidth="1"/>
  </cols>
  <sheetData>
    <row r="1" spans="1:10" ht="60" customHeight="1" x14ac:dyDescent="0.5">
      <c r="A1" s="8"/>
      <c r="B1" s="28" t="s">
        <v>12</v>
      </c>
      <c r="C1" s="29"/>
      <c r="D1" s="29"/>
      <c r="E1" s="29"/>
      <c r="F1" s="29"/>
      <c r="G1" s="29"/>
      <c r="H1" s="29"/>
      <c r="I1" s="29" t="s">
        <v>153</v>
      </c>
      <c r="J1" s="29"/>
    </row>
    <row r="2" spans="1:10" x14ac:dyDescent="0.3">
      <c r="C2" s="1" t="s">
        <v>99</v>
      </c>
      <c r="D2" s="1"/>
      <c r="E2" s="1"/>
    </row>
    <row r="3" spans="1:10" x14ac:dyDescent="0.3">
      <c r="C3" s="10">
        <v>2022</v>
      </c>
      <c r="D3" s="10">
        <v>2021</v>
      </c>
      <c r="E3" s="10"/>
      <c r="G3" s="10">
        <v>2022</v>
      </c>
      <c r="H3" s="10">
        <v>2021</v>
      </c>
      <c r="I3" s="10"/>
      <c r="J3" s="10"/>
    </row>
    <row r="4" spans="1:10" x14ac:dyDescent="0.3">
      <c r="A4" s="30">
        <v>1</v>
      </c>
      <c r="B4" s="10" t="s">
        <v>100</v>
      </c>
    </row>
    <row r="5" spans="1:10" x14ac:dyDescent="0.3">
      <c r="A5" s="30">
        <f t="shared" ref="A5:A13" si="0">+A4+0.1</f>
        <v>1.1000000000000001</v>
      </c>
      <c r="B5" s="11" t="s">
        <v>101</v>
      </c>
      <c r="C5">
        <f>146791/155393</f>
        <v>0.9446435811136924</v>
      </c>
      <c r="D5">
        <f>161580/142266</f>
        <v>1.1357597739445826</v>
      </c>
      <c r="G5" s="31">
        <f>+'Financial Statements'!B42/'Financial Statements'!B56</f>
        <v>0.9446435811136924</v>
      </c>
      <c r="H5" s="31">
        <f>+'Financial Statements'!C42/'Financial Statements'!C56</f>
        <v>1.1357597739445826</v>
      </c>
    </row>
    <row r="6" spans="1:10" x14ac:dyDescent="0.3">
      <c r="A6" s="30">
        <f t="shared" si="0"/>
        <v>1.2000000000000002</v>
      </c>
      <c r="B6" s="11" t="s">
        <v>102</v>
      </c>
      <c r="C6">
        <f>(53888+16138+42360)/155393</f>
        <v>0.72323721145740161</v>
      </c>
      <c r="D6">
        <f>(36220+59829+32891)/142266</f>
        <v>0.90633039517523517</v>
      </c>
      <c r="G6" s="32">
        <f>+('Financial Statements'!B36+'Financial Statements'!B37+'Financial Statements'!B38)/'Financial Statements'!B56</f>
        <v>0.72323721145740161</v>
      </c>
      <c r="H6" s="32">
        <f>+('Financial Statements'!C36+'Financial Statements'!C37+'Financial Statements'!C38)/'Financial Statements'!C56</f>
        <v>0.90633039517523517</v>
      </c>
    </row>
    <row r="7" spans="1:10" x14ac:dyDescent="0.3">
      <c r="A7" s="30">
        <f t="shared" si="0"/>
        <v>1.3000000000000003</v>
      </c>
      <c r="B7" s="11" t="s">
        <v>103</v>
      </c>
      <c r="C7">
        <f>53888/155393</f>
        <v>0.34678524772673158</v>
      </c>
      <c r="D7">
        <f>36220/142266</f>
        <v>0.25459350793583851</v>
      </c>
      <c r="G7" s="33">
        <f>+'Financial Statements'!B36/'Financial Statements'!B56</f>
        <v>0.34678524772673158</v>
      </c>
      <c r="H7" s="33">
        <f>+'Financial Statements'!C36/'Financial Statements'!C56</f>
        <v>0.25459350793583851</v>
      </c>
    </row>
    <row r="8" spans="1:10" x14ac:dyDescent="0.3">
      <c r="A8" s="30">
        <f t="shared" si="0"/>
        <v>1.4000000000000004</v>
      </c>
      <c r="B8" s="11" t="s">
        <v>104</v>
      </c>
      <c r="C8">
        <f>365*(146791/501735)</f>
        <v>106.7868795280377</v>
      </c>
      <c r="D8">
        <f>365*(161580/444943)</f>
        <v>132.54888828456677</v>
      </c>
      <c r="G8" s="33">
        <f>+('Financial Statements'!B42/'Financial Statements'!B17)*365</f>
        <v>106.7868795280377</v>
      </c>
      <c r="H8" s="33">
        <f>+('Financial Statements'!C42/'Financial Statements'!C17)*365</f>
        <v>132.54888828456677</v>
      </c>
      <c r="I8" t="s">
        <v>143</v>
      </c>
      <c r="J8" t="s">
        <v>143</v>
      </c>
    </row>
    <row r="9" spans="1:10" x14ac:dyDescent="0.3">
      <c r="A9" s="30">
        <f t="shared" si="0"/>
        <v>1.5000000000000004</v>
      </c>
      <c r="B9" s="11" t="s">
        <v>105</v>
      </c>
      <c r="C9">
        <f>365*(34405/288831)</f>
        <v>43.4781065744328</v>
      </c>
      <c r="D9">
        <f>365*(32640/272344)</f>
        <v>43.744675851129458</v>
      </c>
      <c r="G9" s="33">
        <f>+('Financial Statements'!B39/'Financial Statements'!B12)*365</f>
        <v>43.4781065744328</v>
      </c>
      <c r="H9" s="33">
        <f>+('Financial Statements'!C39/'Financial Statements'!C12)*365</f>
        <v>43.744675851129458</v>
      </c>
    </row>
    <row r="10" spans="1:10" x14ac:dyDescent="0.3">
      <c r="A10" s="30">
        <f t="shared" si="0"/>
        <v>1.6000000000000005</v>
      </c>
      <c r="B10" s="11" t="s">
        <v>106</v>
      </c>
      <c r="C10">
        <f>365*(79600/288831)</f>
        <v>100.59169548975007</v>
      </c>
      <c r="D10">
        <f>365*(78664/272344)</f>
        <v>105.42681314807743</v>
      </c>
      <c r="G10" s="33">
        <f>+('Financial Statements'!B51/'Financial Statements'!B12)*365</f>
        <v>100.59169548975007</v>
      </c>
      <c r="H10" s="33">
        <f>+('Financial Statements'!C51/'Financial Statements'!C12)*365</f>
        <v>105.42681314807743</v>
      </c>
    </row>
    <row r="11" spans="1:10" x14ac:dyDescent="0.3">
      <c r="A11" s="30">
        <f t="shared" si="0"/>
        <v>1.7000000000000006</v>
      </c>
      <c r="B11" s="11" t="s">
        <v>107</v>
      </c>
      <c r="C11">
        <f>365*(42360/513983)</f>
        <v>30.081539661817608</v>
      </c>
      <c r="D11">
        <f>365*(32891/469822)</f>
        <v>25.552688039299991</v>
      </c>
      <c r="G11" s="33">
        <f>+('Financial Statements'!B38/'Financial Statements'!B8)*365</f>
        <v>30.081539661817608</v>
      </c>
      <c r="H11" s="33">
        <f>+('Financial Statements'!C38/'Financial Statements'!C8)*365</f>
        <v>25.552688039299991</v>
      </c>
    </row>
    <row r="12" spans="1:10" x14ac:dyDescent="0.3">
      <c r="A12" s="30">
        <f t="shared" si="0"/>
        <v>1.8000000000000007</v>
      </c>
      <c r="B12" s="11" t="s">
        <v>108</v>
      </c>
      <c r="C12">
        <f>C9-C10+C11</f>
        <v>-27.032049253499657</v>
      </c>
      <c r="D12">
        <f>D9-D10+D11</f>
        <v>-36.129449257647977</v>
      </c>
      <c r="G12" s="33">
        <f>+'List of Ratios'!C9+'List of Ratios'!C11-'List of Ratios'!C10</f>
        <v>-27.03204925349965</v>
      </c>
      <c r="H12" s="33">
        <f>+'List of Ratios'!D9+'List of Ratios'!D11-'List of Ratios'!D10</f>
        <v>-36.129449257647977</v>
      </c>
    </row>
    <row r="13" spans="1:10" x14ac:dyDescent="0.3">
      <c r="A13" s="30">
        <f t="shared" si="0"/>
        <v>1.9000000000000008</v>
      </c>
      <c r="B13" s="11" t="s">
        <v>109</v>
      </c>
      <c r="C13">
        <f>(146791-155393)/513983</f>
        <v>-1.6735962084349094E-2</v>
      </c>
      <c r="D13">
        <f>(161580-142266)/469822</f>
        <v>4.1109186032156859E-2</v>
      </c>
      <c r="G13" s="33">
        <f>+('Financial Statements'!B42-'Financial Statements'!B56)/'Financial Statements'!B8</f>
        <v>-1.6735962084349094E-2</v>
      </c>
      <c r="H13" s="33">
        <f>+('Financial Statements'!C42-'Financial Statements'!C56)/'Financial Statements'!C8</f>
        <v>4.1109186032156859E-2</v>
      </c>
    </row>
    <row r="14" spans="1:10" x14ac:dyDescent="0.3">
      <c r="A14" s="30"/>
      <c r="B14" s="27" t="s">
        <v>110</v>
      </c>
      <c r="C14">
        <f>146791-155393</f>
        <v>-8602</v>
      </c>
      <c r="D14">
        <f>161580-142266</f>
        <v>19314</v>
      </c>
      <c r="G14">
        <f>+'Financial Statements'!B42-'Financial Statements'!B56</f>
        <v>-8602</v>
      </c>
      <c r="H14">
        <f>+'Financial Statements'!C42-'Financial Statements'!C56</f>
        <v>19314</v>
      </c>
    </row>
    <row r="15" spans="1:10" x14ac:dyDescent="0.3">
      <c r="A15" s="30"/>
    </row>
    <row r="16" spans="1:10" x14ac:dyDescent="0.3">
      <c r="A16" s="30">
        <f>+A4+1</f>
        <v>2</v>
      </c>
      <c r="B16" s="34" t="s">
        <v>111</v>
      </c>
    </row>
    <row r="17" spans="1:10" x14ac:dyDescent="0.3">
      <c r="A17" s="30">
        <f>+A16+0.1</f>
        <v>2.1</v>
      </c>
      <c r="B17" s="11" t="s">
        <v>22</v>
      </c>
      <c r="C17">
        <f>((513983-288831)/513983)*100</f>
        <v>43.805339865326289</v>
      </c>
      <c r="D17" s="35">
        <f>((469822-272344)/469822)*100</f>
        <v>42.032514441639599</v>
      </c>
      <c r="G17">
        <f>((+'Financial Statements'!B8-'Financial Statements'!B12)/'Financial Statements'!B8)*100</f>
        <v>43.805339865326289</v>
      </c>
      <c r="H17">
        <f>((+'Financial Statements'!C8-'Financial Statements'!C12)/'Financial Statements'!C8)*100</f>
        <v>42.032514441639599</v>
      </c>
    </row>
    <row r="18" spans="1:10" x14ac:dyDescent="0.3">
      <c r="A18" s="30">
        <f>+A17+0.1</f>
        <v>2.2000000000000002</v>
      </c>
      <c r="B18" s="11" t="s">
        <v>112</v>
      </c>
      <c r="C18">
        <f>(513983-288831-501735+41921)/513893</f>
        <v>-0.4566359144802517</v>
      </c>
      <c r="D18">
        <f>(469822-272344-444943+34433)/469822</f>
        <v>-0.45343129951343275</v>
      </c>
      <c r="G18" s="35">
        <f>(+'Financial Statements'!B8-'Financial Statements'!B12-'Financial Statements'!B17+'Financial Statements'!B79)/'Financial Statements'!B8</f>
        <v>-0.45655595613084482</v>
      </c>
      <c r="H18" s="35">
        <f>(+'Financial Statements'!C8-'Financial Statements'!C12-'Financial Statements'!C17+'Financial Statements'!C79)/'Financial Statements'!C8</f>
        <v>-0.45343129951343275</v>
      </c>
      <c r="I18" t="s">
        <v>144</v>
      </c>
      <c r="J18" t="s">
        <v>144</v>
      </c>
    </row>
    <row r="19" spans="1:10" x14ac:dyDescent="0.3">
      <c r="A19" s="30"/>
      <c r="B19" s="27" t="s">
        <v>113</v>
      </c>
      <c r="C19">
        <f>513983-288831-501735+41921</f>
        <v>-234662</v>
      </c>
      <c r="D19">
        <f>469822-272344-444943+34433</f>
        <v>-213032</v>
      </c>
      <c r="G19">
        <f>+'Financial Statements'!B8-'Financial Statements'!B12-'Financial Statements'!B17+'Financial Statements'!B79</f>
        <v>-234662</v>
      </c>
      <c r="H19">
        <f>+'Financial Statements'!C8-'Financial Statements'!C12-'Financial Statements'!C17+'Financial Statements'!C79</f>
        <v>-213032</v>
      </c>
    </row>
    <row r="20" spans="1:10" x14ac:dyDescent="0.3">
      <c r="A20" s="30">
        <f>+A18+0.1</f>
        <v>2.3000000000000003</v>
      </c>
      <c r="B20" s="11" t="s">
        <v>114</v>
      </c>
      <c r="C20">
        <f>(513983-288831-501735)/513983</f>
        <v>-0.53811701943449497</v>
      </c>
      <c r="D20">
        <f>(469822-272344-444943)/469822</f>
        <v>-0.52672075807433449</v>
      </c>
      <c r="G20">
        <f>+('Financial Statements'!B8-'Financial Statements'!B12-'Financial Statements'!B17)/'Financial Statements'!B8</f>
        <v>-0.53811701943449497</v>
      </c>
      <c r="H20">
        <f>+('Financial Statements'!C8-'Financial Statements'!C12-'Financial Statements'!C17)/'Financial Statements'!C8</f>
        <v>-0.52672075807433449</v>
      </c>
    </row>
    <row r="21" spans="1:10" x14ac:dyDescent="0.3">
      <c r="A21" s="30"/>
      <c r="B21" s="27" t="s">
        <v>115</v>
      </c>
      <c r="C21">
        <f>513983-288831-501735</f>
        <v>-276583</v>
      </c>
      <c r="D21">
        <f>469822-272344-444943</f>
        <v>-247465</v>
      </c>
      <c r="G21">
        <f>+'Financial Statements'!B8-'Financial Statements'!B12-'Financial Statements'!B17</f>
        <v>-276583</v>
      </c>
      <c r="H21">
        <f>+'Financial Statements'!C8-'Financial Statements'!C12-'Financial Statements'!C17</f>
        <v>-247465</v>
      </c>
      <c r="I21" t="s">
        <v>145</v>
      </c>
      <c r="J21" t="s">
        <v>150</v>
      </c>
    </row>
    <row r="22" spans="1:10" x14ac:dyDescent="0.3">
      <c r="A22" s="30">
        <f>+A20+0.1</f>
        <v>2.4000000000000004</v>
      </c>
      <c r="B22" s="11" t="s">
        <v>116</v>
      </c>
      <c r="C22">
        <f>-2722/513983</f>
        <v>-5.2958950004183018E-3</v>
      </c>
      <c r="D22">
        <f>33364/469822</f>
        <v>7.1014128755145567E-2</v>
      </c>
      <c r="G22">
        <f>+'Financial Statements'!B22/'Financial Statements'!B8</f>
        <v>-5.2958950004183018E-3</v>
      </c>
      <c r="H22">
        <f>+'Financial Statements'!C22/'Financial Statements'!C8</f>
        <v>7.1014128755145567E-2</v>
      </c>
    </row>
    <row r="23" spans="1:10" x14ac:dyDescent="0.3">
      <c r="A23" s="30"/>
    </row>
    <row r="24" spans="1:10" x14ac:dyDescent="0.3">
      <c r="A24" s="30">
        <f>+A16+1</f>
        <v>3</v>
      </c>
      <c r="B24" s="10" t="s">
        <v>117</v>
      </c>
    </row>
    <row r="25" spans="1:10" x14ac:dyDescent="0.3">
      <c r="A25" s="30">
        <f t="shared" ref="A25:A30" si="1">+A24+0.1</f>
        <v>3.1</v>
      </c>
      <c r="B25" s="11" t="s">
        <v>118</v>
      </c>
      <c r="C25">
        <f>67150/146043</f>
        <v>0.45979608745369516</v>
      </c>
      <c r="D25">
        <f>48744/138245</f>
        <v>0.35259141379435061</v>
      </c>
      <c r="G25">
        <f>+'Financial Statements'!B59/'Financial Statements'!B68</f>
        <v>0.45979608745369516</v>
      </c>
      <c r="H25">
        <f>+'Financial Statements'!C59/'Financial Statements'!C68</f>
        <v>0.35259141379435061</v>
      </c>
    </row>
    <row r="26" spans="1:10" x14ac:dyDescent="0.3">
      <c r="A26" s="30">
        <f t="shared" si="1"/>
        <v>3.2</v>
      </c>
      <c r="B26" s="11" t="s">
        <v>119</v>
      </c>
      <c r="C26">
        <f>67150/462675</f>
        <v>0.14513427351812827</v>
      </c>
      <c r="D26">
        <f>48744/420549</f>
        <v>0.11590563763081116</v>
      </c>
      <c r="G26">
        <f>+'Financial Statements'!B59/'Financial Statements'!B69</f>
        <v>0.14513427351812827</v>
      </c>
      <c r="H26">
        <f>+'Financial Statements'!C59/'Financial Statements'!C69</f>
        <v>0.11590563763081116</v>
      </c>
    </row>
    <row r="27" spans="1:10" x14ac:dyDescent="0.3">
      <c r="A27" s="30">
        <f t="shared" si="1"/>
        <v>3.3000000000000003</v>
      </c>
      <c r="B27" s="11" t="s">
        <v>120</v>
      </c>
      <c r="C27">
        <f>161239/(161239+146043)</f>
        <v>0.52472647275141404</v>
      </c>
      <c r="D27">
        <f>140038/(140038+138245)</f>
        <v>0.50322154066184421</v>
      </c>
      <c r="H27">
        <f>+'Financial Statements'!C61/('Financial Statements'!C61+'Financial Statements'!C68)</f>
        <v>0.50322154066184421</v>
      </c>
    </row>
    <row r="28" spans="1:10" x14ac:dyDescent="0.3">
      <c r="A28" s="30">
        <f t="shared" si="1"/>
        <v>3.4000000000000004</v>
      </c>
      <c r="B28" s="11" t="s">
        <v>121</v>
      </c>
      <c r="C28">
        <f>(513983-288831-501735)/-1809</f>
        <v>152.89275843007186</v>
      </c>
      <c r="D28">
        <f>(469822-272344-444943)/-2367</f>
        <v>104.54795099281792</v>
      </c>
      <c r="G28" s="36">
        <f>(+'Financial Statements'!B8-'Financial Statements'!B12-'Financial Statements'!B17)/'Financial Statements'!B114</f>
        <v>-177.18321588725175</v>
      </c>
      <c r="H28" s="36">
        <f>(+'Financial Statements'!C8-'Financial Statements'!C12-'Financial Statements'!C17)/'Financial Statements'!C114</f>
        <v>-225.37795992714027</v>
      </c>
      <c r="I28" t="s">
        <v>148</v>
      </c>
      <c r="J28" t="s">
        <v>151</v>
      </c>
    </row>
    <row r="29" spans="1:10" x14ac:dyDescent="0.3">
      <c r="A29" s="30">
        <f t="shared" si="1"/>
        <v>3.5000000000000004</v>
      </c>
      <c r="B29" s="11" t="s">
        <v>122</v>
      </c>
      <c r="C29">
        <f>(513983-288831-501735)/(62719+1561)</f>
        <v>-4.3027846919726196</v>
      </c>
      <c r="D29">
        <f>(469822-272344-444943)/(26959+1098)</f>
        <v>-8.8200805503083011</v>
      </c>
      <c r="G29" s="35">
        <f>(+'Financial Statements'!B8-'Financial Statements'!B12-'Financial Statements'!B17)/('Financial Statements'!B104+'Financial Statements'!B114)</f>
        <v>-4.3027846919726196</v>
      </c>
      <c r="H29" s="35">
        <f>(+'Financial Statements'!C8-'Financial Statements'!C12-'Financial Statements'!C17)/('Financial Statements'!C104+'Financial Statements'!C114)</f>
        <v>-8.8200805503083011</v>
      </c>
      <c r="I29" t="s">
        <v>148</v>
      </c>
      <c r="J29" t="s">
        <v>151</v>
      </c>
    </row>
    <row r="30" spans="1:10" x14ac:dyDescent="0.3">
      <c r="A30" s="30">
        <f t="shared" si="1"/>
        <v>3.6000000000000005</v>
      </c>
      <c r="B30" s="11" t="s">
        <v>123</v>
      </c>
      <c r="C30" s="12">
        <f>46752/10189</f>
        <v>4.5884777701442729</v>
      </c>
      <c r="D30" s="12">
        <f>46327/10296</f>
        <v>4.4995143745143746</v>
      </c>
      <c r="G30">
        <f>+'Financial Statements'!B91/'Financial Statements'!B28</f>
        <v>4.5884777701442729</v>
      </c>
      <c r="H30">
        <f>+'Financial Statements'!C91/'Financial Statements'!C28</f>
        <v>4.4995143745143746</v>
      </c>
    </row>
    <row r="31" spans="1:10" x14ac:dyDescent="0.3">
      <c r="A31" s="30"/>
      <c r="B31" s="27" t="s">
        <v>124</v>
      </c>
      <c r="C31">
        <f>46752+54253-(186715-160281+41921)</f>
        <v>32650</v>
      </c>
      <c r="D31">
        <f>46327+36477-(160281-113114+34433)</f>
        <v>1204</v>
      </c>
      <c r="G31">
        <f>+'Financial Statements'!B91-('Financial Statements'!B45-'Financial Statements'!C45+'Financial Statements'!B79)+'Financial Statements'!B110</f>
        <v>32650</v>
      </c>
      <c r="H31" s="37">
        <f>+'Financial Statements'!C91-('Financial Statements'!C45-'Financial Statements'!D45+'Financial Statements'!C79)+'Financial Statements'!C110</f>
        <v>-111910</v>
      </c>
      <c r="I31" t="s">
        <v>146</v>
      </c>
      <c r="J31" t="s">
        <v>146</v>
      </c>
    </row>
    <row r="32" spans="1:10" x14ac:dyDescent="0.3">
      <c r="A32" s="30"/>
    </row>
    <row r="33" spans="1:10" x14ac:dyDescent="0.3">
      <c r="A33" s="30">
        <f>+A24+1</f>
        <v>4</v>
      </c>
      <c r="B33" s="34" t="s">
        <v>125</v>
      </c>
    </row>
    <row r="34" spans="1:10" x14ac:dyDescent="0.3">
      <c r="A34" s="30">
        <f>+A33+0.1</f>
        <v>4.0999999999999996</v>
      </c>
      <c r="B34" s="11" t="s">
        <v>126</v>
      </c>
      <c r="C34">
        <f>513983/462675</f>
        <v>1.1108942562273734</v>
      </c>
      <c r="D34">
        <f>469822/420549</f>
        <v>1.1171635172120253</v>
      </c>
      <c r="G34">
        <f>+'Financial Statements'!B8/'Financial Statements'!B48</f>
        <v>1.1108942562273734</v>
      </c>
      <c r="H34">
        <f>+'Financial Statements'!C8/'Financial Statements'!C48</f>
        <v>1.1171635172120253</v>
      </c>
    </row>
    <row r="35" spans="1:10" x14ac:dyDescent="0.3">
      <c r="A35" s="30">
        <f>+A34+0.1</f>
        <v>4.1999999999999993</v>
      </c>
      <c r="B35" s="11" t="s">
        <v>127</v>
      </c>
      <c r="C35" s="35">
        <f>513983/186715</f>
        <v>2.7527675869640897</v>
      </c>
      <c r="D35">
        <f>469822/160281</f>
        <v>2.9312395106094922</v>
      </c>
      <c r="G35">
        <f>+'Financial Statements'!B8/'Financial Statements'!B45</f>
        <v>2.7527675869640897</v>
      </c>
      <c r="H35">
        <f>+'Financial Statements'!C8/'Financial Statements'!C45</f>
        <v>2.9312395106094922</v>
      </c>
    </row>
    <row r="36" spans="1:10" x14ac:dyDescent="0.3">
      <c r="A36" s="30">
        <f>+A35+0.1</f>
        <v>4.2999999999999989</v>
      </c>
      <c r="B36" s="11" t="s">
        <v>128</v>
      </c>
      <c r="C36">
        <f>513983/34405</f>
        <v>14.939194884464467</v>
      </c>
      <c r="D36">
        <f>469822/32640</f>
        <v>14.39405637254902</v>
      </c>
      <c r="G36">
        <f>+'Financial Statements'!B8/'Financial Statements'!B39</f>
        <v>14.939194884464467</v>
      </c>
      <c r="H36">
        <f>+'Financial Statements'!C8/'Financial Statements'!C39</f>
        <v>14.39405637254902</v>
      </c>
    </row>
    <row r="37" spans="1:10" x14ac:dyDescent="0.3">
      <c r="A37" s="30">
        <f>+A36+0.1</f>
        <v>4.3999999999999986</v>
      </c>
      <c r="B37" s="11" t="s">
        <v>129</v>
      </c>
      <c r="C37">
        <f>-2722/462675</f>
        <v>-5.8831793375479545E-3</v>
      </c>
      <c r="D37">
        <f>33364/420549</f>
        <v>7.9334393851846041E-2</v>
      </c>
      <c r="G37">
        <f>+'Financial Statements'!B77/'Financial Statements'!B48</f>
        <v>-5.8831793375479545E-3</v>
      </c>
      <c r="H37">
        <f>+'Financial Statements'!C77/'Financial Statements'!C48</f>
        <v>7.9334393851846041E-2</v>
      </c>
    </row>
    <row r="38" spans="1:10" x14ac:dyDescent="0.3">
      <c r="A38" s="30"/>
    </row>
    <row r="39" spans="1:10" x14ac:dyDescent="0.3">
      <c r="A39" s="30">
        <f>+A33+1</f>
        <v>5</v>
      </c>
      <c r="B39" s="34" t="s">
        <v>130</v>
      </c>
    </row>
    <row r="40" spans="1:10" x14ac:dyDescent="0.3">
      <c r="A40" s="30">
        <f>+A39+0.1</f>
        <v>5.0999999999999996</v>
      </c>
      <c r="B40" s="11" t="s">
        <v>131</v>
      </c>
      <c r="C40">
        <f>153.4/-0.26715</f>
        <v>-574.20924574209243</v>
      </c>
      <c r="D40">
        <f>153.4/3.240482</f>
        <v>47.338636659608049</v>
      </c>
      <c r="G40">
        <f>153.4/'List of Ratios'!C41</f>
        <v>-574.20742101396036</v>
      </c>
      <c r="H40">
        <f>153.4/'List of Ratios'!D41</f>
        <v>47.338640450785284</v>
      </c>
    </row>
    <row r="41" spans="1:10" x14ac:dyDescent="0.3">
      <c r="A41" s="30">
        <f>+A40+0.1</f>
        <v>5.1999999999999993</v>
      </c>
      <c r="B41" s="27" t="s">
        <v>132</v>
      </c>
      <c r="C41">
        <f>(-2722-0)/10189</f>
        <v>-0.2671508489547551</v>
      </c>
      <c r="D41">
        <f>(33364-0)/10296</f>
        <v>3.2404817404817403</v>
      </c>
      <c r="G41" s="35">
        <f>(+'Financial Statements'!B22-'Financial Statements'!B102)/'Financial Statements'!B28</f>
        <v>-0.2671508489547551</v>
      </c>
      <c r="H41" s="35">
        <f>(+'Financial Statements'!C22-'Financial Statements'!C102)/'Financial Statements'!C28</f>
        <v>3.2404817404817403</v>
      </c>
      <c r="I41" t="s">
        <v>147</v>
      </c>
      <c r="J41" t="s">
        <v>147</v>
      </c>
    </row>
    <row r="42" spans="1:10" x14ac:dyDescent="0.3">
      <c r="A42" s="30">
        <f>+A41+0.1</f>
        <v>5.2999999999999989</v>
      </c>
      <c r="B42" s="11" t="s">
        <v>133</v>
      </c>
      <c r="C42">
        <f>153.4/14.334</f>
        <v>10.70182782196177</v>
      </c>
      <c r="D42">
        <f>153.4/13.42706</f>
        <v>11.424690140656256</v>
      </c>
      <c r="G42">
        <f>153.4/'List of Ratios'!G43</f>
        <v>10.702276726717475</v>
      </c>
      <c r="H42">
        <f>153.4/'List of Ratios'!H43</f>
        <v>11.424690947231365</v>
      </c>
    </row>
    <row r="43" spans="1:10" x14ac:dyDescent="0.3">
      <c r="A43" s="30">
        <f>+A42+0.1</f>
        <v>5.3999999999999986</v>
      </c>
      <c r="B43" s="27" t="s">
        <v>134</v>
      </c>
      <c r="C43">
        <f>146043/10189</f>
        <v>14.333398763372264</v>
      </c>
      <c r="D43">
        <f>138245/10296</f>
        <v>13.427059052059052</v>
      </c>
      <c r="G43" s="35">
        <f>+'Financial Statements'!B68/'Financial Statements'!B28</f>
        <v>14.333398763372264</v>
      </c>
      <c r="H43" s="35">
        <f>+'Financial Statements'!C68/'Financial Statements'!C28</f>
        <v>13.427059052059052</v>
      </c>
    </row>
    <row r="44" spans="1:10" x14ac:dyDescent="0.3">
      <c r="A44" s="30">
        <f>+A43+0.1</f>
        <v>5.4999999999999982</v>
      </c>
      <c r="B44" s="11" t="s">
        <v>135</v>
      </c>
      <c r="C44">
        <v>0</v>
      </c>
      <c r="D44">
        <v>0</v>
      </c>
      <c r="G44">
        <v>0</v>
      </c>
      <c r="H44">
        <v>0</v>
      </c>
    </row>
    <row r="45" spans="1:10" x14ac:dyDescent="0.3">
      <c r="A45" s="30"/>
      <c r="B45" s="27" t="s">
        <v>136</v>
      </c>
      <c r="C45">
        <v>0</v>
      </c>
      <c r="D45">
        <v>0</v>
      </c>
      <c r="G45">
        <v>0</v>
      </c>
      <c r="H45">
        <v>0</v>
      </c>
    </row>
    <row r="46" spans="1:10" x14ac:dyDescent="0.3">
      <c r="A46" s="30">
        <f>+A44+0.1</f>
        <v>5.5999999999999979</v>
      </c>
      <c r="B46" s="11" t="s">
        <v>137</v>
      </c>
      <c r="C46">
        <v>0</v>
      </c>
      <c r="D46">
        <v>0</v>
      </c>
      <c r="G46">
        <v>0</v>
      </c>
      <c r="H46">
        <v>0</v>
      </c>
    </row>
    <row r="47" spans="1:10" x14ac:dyDescent="0.3">
      <c r="A47" s="30">
        <f>+A45+0.1</f>
        <v>0.1</v>
      </c>
      <c r="B47" s="11" t="s">
        <v>138</v>
      </c>
      <c r="C47">
        <f>-2722/146043</f>
        <v>-1.8638346240490815E-2</v>
      </c>
      <c r="D47">
        <f>33364/138245</f>
        <v>0.2413396506202756</v>
      </c>
      <c r="G47" s="35">
        <f>+'Financial Statements'!B77/'Financial Statements'!B68</f>
        <v>-1.8638346240490815E-2</v>
      </c>
      <c r="H47" s="35">
        <f>+'Financial Statements'!C77/'Financial Statements'!C68</f>
        <v>0.2413396506202756</v>
      </c>
    </row>
    <row r="48" spans="1:10" x14ac:dyDescent="0.3">
      <c r="A48" s="30">
        <f>+A46+0.1</f>
        <v>5.6999999999999975</v>
      </c>
      <c r="B48" s="11" t="s">
        <v>139</v>
      </c>
      <c r="C48">
        <f>(513983-288831-501735)/(146043+67150)</f>
        <v>-1.2973362164799032</v>
      </c>
      <c r="D48">
        <f>(469822-272344-444943)/(138245+48744)</f>
        <v>-1.323420094230142</v>
      </c>
      <c r="G48">
        <f>(+'Financial Statements'!B8-'Financial Statements'!B12-'Financial Statements'!B17)/('Financial Statements'!B68+'Financial Statements'!B59)</f>
        <v>-1.2973362164799032</v>
      </c>
      <c r="H48">
        <f>(+'Financial Statements'!C8-'Financial Statements'!C12-'Financial Statements'!C17)/('Financial Statements'!C68+'Financial Statements'!C59)</f>
        <v>-1.323420094230142</v>
      </c>
      <c r="I48" t="s">
        <v>148</v>
      </c>
      <c r="J48" t="s">
        <v>151</v>
      </c>
    </row>
    <row r="49" spans="1:10" x14ac:dyDescent="0.3">
      <c r="A49" s="30">
        <f>+A47+0.1</f>
        <v>0.2</v>
      </c>
      <c r="B49" s="11" t="s">
        <v>140</v>
      </c>
      <c r="C49">
        <f>-2722/462675</f>
        <v>-5.8831793375479545E-3</v>
      </c>
      <c r="D49">
        <f>33364/420549</f>
        <v>7.9334393851846041E-2</v>
      </c>
      <c r="G49">
        <f>+'Financial Statements'!B77/'Financial Statements'!B48</f>
        <v>-5.8831793375479545E-3</v>
      </c>
      <c r="H49">
        <f>+'Financial Statements'!C77/'Financial Statements'!C48</f>
        <v>7.9334393851846041E-2</v>
      </c>
    </row>
    <row r="50" spans="1:10" x14ac:dyDescent="0.3">
      <c r="A50" s="30">
        <f>+A48+0.1</f>
        <v>5.7999999999999972</v>
      </c>
      <c r="B50" s="11" t="s">
        <v>141</v>
      </c>
      <c r="C50">
        <f>C51/C19</f>
        <v>-1.1263306057222728</v>
      </c>
      <c r="D50">
        <f>D51/D19</f>
        <v>-1.1625643396297269</v>
      </c>
      <c r="G50">
        <f>+'List of Ratios'!G51/'List of Ratios'!G19</f>
        <v>-1.1263306057222728</v>
      </c>
      <c r="H50">
        <f>+'List of Ratios'!H51/'List of Ratios'!H19</f>
        <v>-1.1625643396297269</v>
      </c>
    </row>
    <row r="51" spans="1:10" x14ac:dyDescent="0.3">
      <c r="A51" s="30"/>
      <c r="B51" s="27" t="s">
        <v>142</v>
      </c>
      <c r="C51">
        <f>(10189*153.4/1000)+316632-53888</f>
        <v>264306.9926</v>
      </c>
      <c r="D51">
        <f>(10296*153.4/1000)+282304-36220</f>
        <v>247663.40639999998</v>
      </c>
      <c r="G51">
        <f>('Financial Statements'!B28*153.4/1000)+'Financial Statements'!B62-'Financial Statements'!B36</f>
        <v>264306.9926</v>
      </c>
      <c r="H51">
        <f>('Financial Statements'!C28*153.4/1000)+'Financial Statements'!C62-'Financial Statements'!C36</f>
        <v>247663.40639999998</v>
      </c>
      <c r="I51" t="s">
        <v>149</v>
      </c>
      <c r="J51" t="s">
        <v>152</v>
      </c>
    </row>
  </sheetData>
  <mergeCells count="1">
    <mergeCell ref="C2:E2"/>
  </mergeCells>
  <phoneticPr fontId="11" type="noConversion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Shamla Yoosoof</cp:lastModifiedBy>
  <cp:revision>66</cp:revision>
  <dcterms:created xsi:type="dcterms:W3CDTF">2020-05-19T16:15:53Z</dcterms:created>
  <dcterms:modified xsi:type="dcterms:W3CDTF">2024-01-03T19:36:30Z</dcterms:modified>
  <dc:language>en-GB</dc:language>
</cp:coreProperties>
</file>