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C679E57E-0C4E-4D22-A89C-2D9F86808D96}" xr6:coauthVersionLast="47" xr6:coauthVersionMax="47" xr10:uidLastSave="{00000000-0000-0000-0000-000000000000}"/>
  <bookViews>
    <workbookView xWindow="-108" yWindow="-108" windowWidth="23256" windowHeight="13896"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6" l="1"/>
  <c r="B32" i="6"/>
  <c r="B33" i="6"/>
  <c r="B30" i="6"/>
  <c r="B29" i="6"/>
  <c r="W16" i="6"/>
  <c r="B28" i="6"/>
  <c r="I21" i="6"/>
  <c r="V18" i="6"/>
  <c r="U18" i="6"/>
  <c r="T18" i="6"/>
  <c r="S18" i="6"/>
  <c r="R18" i="6"/>
  <c r="Q18" i="6"/>
  <c r="P18" i="6"/>
  <c r="O18" i="6"/>
  <c r="N18" i="6"/>
  <c r="M18" i="6"/>
  <c r="I18" i="6"/>
  <c r="H18" i="6"/>
  <c r="G18" i="6"/>
  <c r="F18" i="6"/>
  <c r="E18" i="6"/>
  <c r="D18" i="6"/>
  <c r="C18" i="6"/>
  <c r="B18" i="6"/>
  <c r="B10" i="6"/>
  <c r="N16" i="6"/>
  <c r="O16" i="6"/>
  <c r="P16" i="6"/>
  <c r="P17" i="6" s="1"/>
  <c r="Q16" i="6"/>
  <c r="R16" i="6" s="1"/>
  <c r="S16" i="6" s="1"/>
  <c r="T16" i="6" s="1"/>
  <c r="U16" i="6" s="1"/>
  <c r="V16" i="6" s="1"/>
  <c r="W18" i="6" s="1"/>
  <c r="M16" i="6"/>
  <c r="M17" i="6" s="1"/>
  <c r="C16" i="6"/>
  <c r="C17" i="6" s="1"/>
  <c r="D16" i="6"/>
  <c r="E16" i="6"/>
  <c r="E17" i="6" s="1"/>
  <c r="F16" i="6"/>
  <c r="F17" i="6" s="1"/>
  <c r="G16" i="6"/>
  <c r="H16" i="6"/>
  <c r="I16" i="6"/>
  <c r="I17" i="6" s="1"/>
  <c r="B16" i="6"/>
  <c r="B17" i="6" s="1"/>
  <c r="I11" i="6"/>
  <c r="C25" i="6"/>
  <c r="D25" i="6"/>
  <c r="E25" i="6"/>
  <c r="F25" i="6"/>
  <c r="G25" i="6"/>
  <c r="H25" i="6"/>
  <c r="I25" i="6"/>
  <c r="B25" i="6"/>
  <c r="N12" i="6"/>
  <c r="O12" i="6"/>
  <c r="P12" i="6"/>
  <c r="Q12" i="6"/>
  <c r="M12" i="6"/>
  <c r="N11" i="6"/>
  <c r="O11" i="6"/>
  <c r="P11" i="6"/>
  <c r="Q11" i="6"/>
  <c r="M11" i="6"/>
  <c r="N10" i="6"/>
  <c r="O10" i="6"/>
  <c r="P10" i="6"/>
  <c r="Q10" i="6"/>
  <c r="M10" i="6"/>
  <c r="C12" i="6"/>
  <c r="D12" i="6"/>
  <c r="E12" i="6"/>
  <c r="F12" i="6"/>
  <c r="G12" i="6"/>
  <c r="H12" i="6"/>
  <c r="I12" i="6"/>
  <c r="B12" i="6"/>
  <c r="C11" i="6"/>
  <c r="D11" i="6"/>
  <c r="E11" i="6"/>
  <c r="F11" i="6"/>
  <c r="G11" i="6"/>
  <c r="H11" i="6"/>
  <c r="B11" i="6"/>
  <c r="I10" i="6"/>
  <c r="C10" i="6"/>
  <c r="D10" i="6"/>
  <c r="F10" i="6"/>
  <c r="G10" i="6"/>
  <c r="H10" i="6"/>
  <c r="E10" i="6"/>
  <c r="C21" i="6"/>
  <c r="D21" i="6"/>
  <c r="D19" i="6" s="1"/>
  <c r="E21" i="6"/>
  <c r="E19" i="6" s="1"/>
  <c r="G21" i="6"/>
  <c r="G19" i="6" s="1"/>
  <c r="H21" i="6"/>
  <c r="H19" i="6" s="1"/>
  <c r="B21" i="6"/>
  <c r="F23" i="6"/>
  <c r="F21" i="6" s="1"/>
  <c r="F19" i="6" s="1"/>
  <c r="C24" i="6"/>
  <c r="D24" i="6"/>
  <c r="E24" i="6"/>
  <c r="F24" i="6"/>
  <c r="G24" i="6"/>
  <c r="H24" i="6"/>
  <c r="I24" i="6"/>
  <c r="B24" i="6"/>
  <c r="N6" i="6"/>
  <c r="N3" i="6"/>
  <c r="N5" i="6" s="1"/>
  <c r="O3" i="6"/>
  <c r="O4" i="6" s="1"/>
  <c r="O7" i="6" s="1"/>
  <c r="P3" i="6"/>
  <c r="P4" i="6" s="1"/>
  <c r="P8" i="6" s="1"/>
  <c r="Q3" i="6"/>
  <c r="Q4" i="6" s="1"/>
  <c r="Q7" i="6" s="1"/>
  <c r="I4" i="6"/>
  <c r="I8" i="6" s="1"/>
  <c r="B3" i="6"/>
  <c r="B6" i="6" s="1"/>
  <c r="C3" i="6"/>
  <c r="C4" i="6" s="1"/>
  <c r="M3" i="6"/>
  <c r="O6" i="6" s="1"/>
  <c r="I3" i="6"/>
  <c r="M6" i="6" s="1"/>
  <c r="H3" i="6"/>
  <c r="H6" i="6" s="1"/>
  <c r="G3" i="6"/>
  <c r="G5" i="6" s="1"/>
  <c r="F3" i="6"/>
  <c r="F6" i="6" s="1"/>
  <c r="E3" i="6"/>
  <c r="E4" i="6" s="1"/>
  <c r="D3" i="6"/>
  <c r="D6" i="6" s="1"/>
  <c r="C1" i="6"/>
  <c r="D1" i="6" s="1"/>
  <c r="E1" i="6" s="1"/>
  <c r="F1" i="6" s="1"/>
  <c r="G1" i="6" s="1"/>
  <c r="H1" i="6" s="1"/>
  <c r="I1" i="6" s="1"/>
  <c r="M1" i="6" s="1"/>
  <c r="N1" i="6" s="1"/>
  <c r="O1" i="6" s="1"/>
  <c r="P1" i="6" s="1"/>
  <c r="Q1" i="6" s="1"/>
  <c r="R1" i="6" s="1"/>
  <c r="S1" i="6" s="1"/>
  <c r="T1" i="6" s="1"/>
  <c r="U1" i="6" s="1"/>
  <c r="V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I19" i="6" l="1"/>
  <c r="Q5" i="6"/>
  <c r="C19" i="6"/>
  <c r="H17" i="6"/>
  <c r="B19" i="6"/>
  <c r="O17" i="6"/>
  <c r="N17" i="6"/>
  <c r="Q17" i="6"/>
  <c r="Q8" i="6"/>
  <c r="I7" i="6"/>
  <c r="D17" i="6"/>
  <c r="I6" i="6"/>
  <c r="H4" i="6"/>
  <c r="H7" i="6" s="1"/>
  <c r="I5" i="6"/>
  <c r="G17" i="6"/>
  <c r="G4" i="6"/>
  <c r="G7" i="6" s="1"/>
  <c r="C5" i="6"/>
  <c r="F4" i="6"/>
  <c r="F8" i="6" s="1"/>
  <c r="M5" i="6"/>
  <c r="C7" i="6"/>
  <c r="C8" i="6"/>
  <c r="E7" i="6"/>
  <c r="E8" i="6"/>
  <c r="G6" i="6"/>
  <c r="P7" i="6"/>
  <c r="P6" i="6"/>
  <c r="H8" i="6"/>
  <c r="D4" i="6"/>
  <c r="F7" i="6"/>
  <c r="M4" i="6"/>
  <c r="M8" i="6" s="1"/>
  <c r="F5" i="6"/>
  <c r="Q9" i="6"/>
  <c r="B4" i="6"/>
  <c r="B8" i="6" s="1"/>
  <c r="Q6" i="6"/>
  <c r="N4" i="6"/>
  <c r="E5" i="6"/>
  <c r="E6" i="6"/>
  <c r="D5" i="6"/>
  <c r="C6" i="6"/>
  <c r="O8" i="6"/>
  <c r="B5" i="6"/>
  <c r="P5" i="6"/>
  <c r="O5" i="6"/>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F9" i="6" l="1"/>
  <c r="G8" i="6"/>
  <c r="G9" i="6" s="1"/>
  <c r="I9" i="6"/>
  <c r="P9" i="6"/>
  <c r="D7" i="6"/>
  <c r="D8" i="6"/>
  <c r="D9" i="6" s="1"/>
  <c r="N7" i="6"/>
  <c r="N8" i="6"/>
  <c r="B7" i="6"/>
  <c r="M9" i="6"/>
  <c r="M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H9" i="6" l="1"/>
  <c r="B9" i="6"/>
  <c r="C9" i="6"/>
  <c r="N9" i="6"/>
  <c r="E9" i="6"/>
  <c r="O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<sst xmlns="http://schemas.openxmlformats.org/spreadsheetml/2006/main" count="639" uniqueCount="308">
  <si>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</si>
  <si>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</si>
  <si>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</si>
  <si>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</si>
  <si>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</si>
  <si>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</si>
  <si>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</si>
  <si>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</si>
  <si>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</si>
  <si>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</si>
  <si>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</si>
  <si>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</si>
  <si>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</si>
  <si>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</si>
  <si>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</si>
  <si>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</si>
  <si>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</si>
  <si>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</si>
  <si>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</si>
  <si>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</si>
  <si>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</si>
  <si>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</si>
  <si>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</si>
  <si>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</si>
  <si>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</si>
  <si>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</si>
  <si>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</si>
  <si>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</si>
  <si>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</si>
  <si>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</si>
  <si>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</si>
  <si>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</si>
  <si>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</si>
  <si>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</si>
  <si>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</si>
  <si>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</si>
  <si>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</si>
  <si>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</si>
  <si>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</si>
  <si>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</si>
  <si>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</si>
  <si>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</si>
  <si>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</si>
  <si>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</si>
  <si>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</si>
  <si>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</si>
  <si>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</si>
  <si>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</si>
  <si>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</si>
  <si>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</si>
  <si>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</si>
  <si>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</si>
  <si>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</si>
  <si>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</si>
  <si>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</si>
  <si>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</si>
  <si>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</si>
  <si>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</si>
  <si>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</si>
  <si>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</si>
  <si>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</si>
  <si>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</si>
  <si>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</si>
  <si>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</si>
  <si>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</si>
  <si>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</si>
  <si>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</si>
  <si>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</si>
  <si>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</si>
  <si>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</si>
  <si>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</si>
  <si>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</si>
  <si>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</si>
  <si>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</si>
  <si>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</si>
  <si>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</si>
  <si>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</si>
  <si>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</si>
  <si>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</si>
  <si>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</si>
  <si>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</si>
  <si>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</si>
  <si>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</si>
  <si>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</si>
  <si>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</si>
  <si>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</si>
  <si>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</si>
  <si>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</si>
  <si>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</si>
  <si>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</si>
  <si>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</si>
  <si>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</si>
  <si>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</si>
  <si>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</si>
  <si>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</si>
  <si>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</si>
  <si>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</si>
  <si>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</si>
  <si>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</si>
  <si>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</si>
  <si>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</si>
  <si>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</si>
  <si>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</si>
  <si>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</si>
  <si>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</si>
  <si>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</si>
  <si>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</si>
  <si>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</si>
  <si>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</si>
  <si>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</si>
  <si>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</si>
  <si>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</si>
  <si>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</si>
  <si>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</si>
  <si>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</si>
  <si>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</si>
  <si>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</si>
  <si>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</si>
  <si>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</si>
  <si>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</si>
  <si>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</si>
  <si>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</si>
  <si>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</si>
  <si>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</si>
  <si>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</si>
  <si>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</si>
  <si>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</si>
  <si>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</si>
  <si>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</si>
  <si>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</si>
  <si>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</si>
  <si>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</si>
  <si>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</si>
  <si>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</si>
  <si>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</si>
  <si>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</si>
  <si>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</si>
  <si>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</si>
  <si>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</si>
  <si>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</si>
  <si>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</si>
  <si>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</si>
  <si>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</si>
  <si>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</si>
  <si>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</si>
  <si>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</si>
  <si>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</si>
  <si>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</si>
  <si>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</si>
  <si>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</si>
  <si>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</si>
  <si>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</si>
  <si>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</si>
  <si>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</si>
  <si>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</si>
  <si>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</si>
  <si>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</si>
  <si>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</si>
  <si>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</si>
  <si>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</si>
  <si>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</si>
  <si>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</si>
  <si>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</si>
  <si>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</si>
  <si>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</si>
  <si>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</si>
  <si>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</si>
  <si>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</si>
  <si>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</si>
  <si>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</si>
  <si>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</si>
  <si>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</si>
  <si>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</si>
  <si>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</si>
  <si>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</si>
  <si>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</si>
  <si>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</si>
  <si>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</si>
  <si>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</si>
  <si>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</si>
  <si>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</si>
  <si>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</si>
  <si>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</si>
  <si>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</si>
  <si>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</si>
  <si>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</si>
  <si>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</si>
  <si>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</si>
  <si>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</si>
  <si>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</si>
  <si>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</si>
  <si>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</si>
  <si>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</si>
  <si>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</si>
  <si>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</si>
  <si>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</si>
  <si>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</si>
  <si>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</si>
  <si>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</si>
  <si>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</si>
  <si>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</si>
  <si>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</si>
  <si>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</si>
  <si>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</si>
  <si>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</si>
  <si>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</si>
  <si>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</si>
  <si>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</si>
  <si>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</si>
  <si>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</si>
  <si>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</si>
  <si>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</si>
  <si>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</si>
  <si>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</si>
  <si>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</si>
  <si>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</si>
  <si>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</si>
  <si>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</si>
  <si>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</si>
  <si>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</si>
  <si>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</si>
  <si>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</si>
  <si>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</si>
  <si>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</si>
  <si>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</si>
  <si>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</si>
  <si>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</si>
  <si>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</si>
  <si>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</si>
  <si>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</si>
  <si>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</si>
  <si>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</si>
  <si>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</si>
  <si>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</si>
  <si>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</si>
  <si>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</si>
  <si>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</si>
  <si>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</si>
  <si>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</si>
  <si>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</si>
  <si>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</si>
  <si>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</si>
  <si>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</si>
  <si>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</si>
  <si>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</si>
  <si>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</si>
  <si>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</si>
  <si>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</si>
  <si>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</si>
  <si>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</si>
  <si>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</si>
  <si>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</si>
  <si>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</si>
  <si>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</si>
  <si>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</si>
  <si>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</si>
  <si>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</si>
  <si>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</si>
  <si>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</si>
  <si>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</si>
  <si>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</si>
  <si>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</si>
  <si>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</si>
  <si>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</si>
  <si>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</si>
  <si>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</si>
  <si>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</si>
  <si>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</si>
  <si>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</si>
  <si>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</si>
  <si>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</si>
  <si>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</si>
  <si>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 xml:space="preserve">Value of the firm </t>
  </si>
  <si>
    <t xml:space="preserve">Present Value of Terminal Value of Firm </t>
  </si>
  <si>
    <t>Present Values</t>
  </si>
  <si>
    <t>Debt Ratio</t>
  </si>
  <si>
    <t>Cost of Debt</t>
  </si>
  <si>
    <t>Rm</t>
  </si>
  <si>
    <t>Rf</t>
  </si>
  <si>
    <t>Cost of Equity</t>
  </si>
  <si>
    <t>Beta</t>
  </si>
  <si>
    <t>WACC</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</si>
  <si>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</si>
  <si>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</si>
  <si>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</si>
  <si>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</si>
  <si>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</si>
  <si>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</si>
  <si>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</si>
  <si>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</si>
  <si>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</si>
  <si>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</si>
  <si>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</si>
  <si>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</si>
  <si>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</si>
  <si>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</si>
  <si>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Link from three statements sheet</t>
  </si>
  <si>
    <t>Feedback</t>
  </si>
  <si>
    <t>Present Value of FCFF in high growth phase (is this meaning 2023?)</t>
  </si>
  <si>
    <t>Feedback 2</t>
  </si>
  <si>
    <t>Calculate TV using Gordon's growth model in cell W16</t>
  </si>
  <si>
    <t>Change terminal growth rate in cell W17 to 3%</t>
  </si>
  <si>
    <t>Calculate the PV of cash flows for columns M to W each year in each column</t>
  </si>
  <si>
    <t>Should be the sum of M18 to V18. Link these calculations in the table in column B</t>
  </si>
  <si>
    <t>Link PV of TV in cell W18 here. Link these calculations in the table in column B</t>
  </si>
  <si>
    <t>Link these calculations in the table in column B</t>
  </si>
  <si>
    <t>PV of Cash Flow</t>
  </si>
  <si>
    <t>The PV calculation formula is incorrect. The power (n value in M18 has to be 1 and N18 has to be 2 and so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</si>
</sst>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_);_(* \(#,##0\);_(* &quot;-&quot;??_);_(@_)"/>
    <numFmt numFmtId="166" formatCode="0.0%"/>
    <numFmt numFmtId="167" formatCode="#,##0.0"/>
    <numFmt numFmtId="168" formatCode="0.0000"/>
  </numFmts>
  <fonts count="5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family val="2"/>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s>
  <fills count="19">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92D050"/>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9" fillId="0" borderId="0" applyFont="0" applyFill="0" applyBorder="0" applyAlignment="0" applyProtection="0"/>
    <xf numFmtId="0" fontId="12" fillId="0" borderId="1"/>
    <xf numFmtId="43" fontId="12" fillId="0" borderId="1" applyFont="0" applyFill="0" applyBorder="0" applyAlignment="0" applyProtection="0"/>
    <xf numFmtId="9" fontId="12" fillId="0" borderId="1" applyFont="0" applyFill="0" applyBorder="0" applyAlignment="0" applyProtection="0"/>
    <xf numFmtId="43" fontId="12" fillId="0" borderId="1" applyFont="0" applyFill="0" applyBorder="0" applyAlignment="0" applyProtection="0"/>
    <xf numFmtId="0" fontId="32" fillId="13" borderId="1" applyNumberFormat="0" applyBorder="0" applyAlignment="0" applyProtection="0"/>
    <xf numFmtId="0" fontId="32" fillId="14" borderId="1" applyNumberFormat="0" applyBorder="0" applyAlignment="0" applyProtection="0"/>
    <xf numFmtId="43" fontId="12" fillId="0" borderId="1" applyFont="0" applyFill="0" applyBorder="0" applyAlignment="0" applyProtection="0"/>
    <xf numFmtId="0" fontId="45" fillId="0" borderId="0" applyNumberFormat="0" applyFill="0" applyBorder="0" applyAlignment="0" applyProtection="0"/>
    <xf numFmtId="0" fontId="10" fillId="0" borderId="1"/>
    <xf numFmtId="164" fontId="10" fillId="0" borderId="1" applyFont="0" applyFill="0" applyBorder="0" applyAlignment="0" applyProtection="0"/>
    <xf numFmtId="9" fontId="10" fillId="0" borderId="1" applyFont="0" applyFill="0" applyBorder="0" applyAlignment="0" applyProtection="0"/>
    <xf numFmtId="0" fontId="47" fillId="0" borderId="1" applyNumberFormat="0" applyFill="0" applyBorder="0" applyAlignment="0" applyProtection="0"/>
    <xf numFmtId="9" fontId="50" fillId="0" borderId="0" applyFont="0" applyFill="0" applyBorder="0" applyAlignment="0" applyProtection="0"/>
  </cellStyleXfs>
  <cellXfs count="148">
    <xf numFmtId="0" fontId="0" fillId="0" borderId="0" xfId="0"/>
    <xf numFmtId="0" fontId="16" fillId="0" borderId="0" xfId="0" applyFont="1"/>
    <xf numFmtId="0" fontId="17" fillId="0" borderId="0" xfId="0" applyFont="1"/>
    <xf numFmtId="0" fontId="18" fillId="0" borderId="0" xfId="0" applyFont="1" applyAlignment="1">
      <alignment horizontal="left"/>
    </xf>
    <xf numFmtId="0" fontId="19" fillId="2" borderId="1" xfId="0" applyFont="1" applyFill="1" applyBorder="1" applyAlignment="1">
      <alignment vertical="center" wrapText="1"/>
    </xf>
    <xf numFmtId="0" fontId="20" fillId="2" borderId="1" xfId="0" applyFont="1" applyFill="1" applyBorder="1" applyAlignment="1">
      <alignment horizontal="right"/>
    </xf>
    <xf numFmtId="165" fontId="18" fillId="0" borderId="0" xfId="0" applyNumberFormat="1" applyFont="1"/>
    <xf numFmtId="165" fontId="17" fillId="0" borderId="0" xfId="0" applyNumberFormat="1" applyFont="1"/>
    <xf numFmtId="0" fontId="17" fillId="0" borderId="2" xfId="0" applyFont="1" applyBorder="1"/>
    <xf numFmtId="165" fontId="17" fillId="0" borderId="2" xfId="0" applyNumberFormat="1" applyFont="1" applyBorder="1"/>
    <xf numFmtId="0" fontId="17" fillId="0" borderId="3" xfId="0" applyFont="1" applyBorder="1"/>
    <xf numFmtId="165" fontId="17" fillId="0" borderId="3" xfId="0" applyNumberFormat="1" applyFont="1" applyBorder="1"/>
    <xf numFmtId="165" fontId="21" fillId="0" borderId="0" xfId="0" applyNumberFormat="1" applyFont="1"/>
    <xf numFmtId="165" fontId="17" fillId="0" borderId="4" xfId="0" applyNumberFormat="1" applyFont="1" applyBorder="1"/>
    <xf numFmtId="0" fontId="17" fillId="0" borderId="4" xfId="0" applyFont="1" applyBorder="1"/>
    <xf numFmtId="0" fontId="17" fillId="3" borderId="1" xfId="0" applyFont="1" applyFill="1" applyBorder="1"/>
    <xf numFmtId="165" fontId="20" fillId="4" borderId="1" xfId="0" applyNumberFormat="1" applyFont="1" applyFill="1" applyBorder="1" applyAlignment="1">
      <alignment horizontal="left"/>
    </xf>
    <xf numFmtId="165" fontId="24" fillId="0" borderId="0" xfId="0" applyNumberFormat="1" applyFont="1" applyAlignment="1">
      <alignment horizontal="left"/>
    </xf>
    <xf numFmtId="166" fontId="22" fillId="0" borderId="0" xfId="0" applyNumberFormat="1" applyFont="1" applyAlignment="1">
      <alignment horizontal="right"/>
    </xf>
    <xf numFmtId="165" fontId="17" fillId="5" borderId="1" xfId="0" applyNumberFormat="1" applyFont="1" applyFill="1" applyBorder="1"/>
    <xf numFmtId="165" fontId="18" fillId="0" borderId="0" xfId="0" applyNumberFormat="1" applyFont="1" applyAlignment="1">
      <alignment horizontal="left"/>
    </xf>
    <xf numFmtId="166" fontId="25" fillId="6" borderId="1" xfId="0" applyNumberFormat="1" applyFont="1" applyFill="1" applyBorder="1"/>
    <xf numFmtId="0" fontId="18" fillId="7" borderId="1" xfId="0" applyFont="1" applyFill="1" applyBorder="1"/>
    <xf numFmtId="10" fontId="22" fillId="0" borderId="0" xfId="0" applyNumberFormat="1" applyFont="1" applyAlignment="1">
      <alignment horizontal="right"/>
    </xf>
    <xf numFmtId="10" fontId="25" fillId="6" borderId="1" xfId="0" applyNumberFormat="1" applyFont="1" applyFill="1" applyBorder="1"/>
    <xf numFmtId="166" fontId="25" fillId="0" borderId="0" xfId="0" applyNumberFormat="1" applyFont="1"/>
    <xf numFmtId="166" fontId="23" fillId="0" borderId="0" xfId="0" applyNumberFormat="1" applyFont="1" applyAlignment="1">
      <alignment horizontal="right"/>
    </xf>
    <xf numFmtId="166" fontId="24" fillId="0" borderId="0" xfId="0" applyNumberFormat="1" applyFont="1" applyAlignment="1">
      <alignment horizontal="right"/>
    </xf>
    <xf numFmtId="166" fontId="26" fillId="8" borderId="1" xfId="0" applyNumberFormat="1" applyFont="1" applyFill="1" applyBorder="1"/>
    <xf numFmtId="164" fontId="18" fillId="0" borderId="0" xfId="0" applyNumberFormat="1" applyFont="1"/>
    <xf numFmtId="0" fontId="20" fillId="4" borderId="1" xfId="0" applyFont="1" applyFill="1" applyBorder="1"/>
    <xf numFmtId="164" fontId="21" fillId="0" borderId="0" xfId="0" applyNumberFormat="1" applyFont="1"/>
    <xf numFmtId="0" fontId="0" fillId="9" borderId="0" xfId="0" applyFill="1"/>
    <xf numFmtId="0" fontId="15" fillId="9" borderId="0" xfId="0" applyFont="1" applyFill="1"/>
    <xf numFmtId="0" fontId="33" fillId="10" borderId="0" xfId="0" applyFont="1" applyFill="1" applyAlignment="1">
      <alignment vertical="center" wrapText="1"/>
    </xf>
    <xf numFmtId="0" fontId="30" fillId="10" borderId="0" xfId="0" applyFont="1" applyFill="1" applyAlignment="1">
      <alignment horizontal="right"/>
    </xf>
    <xf numFmtId="165" fontId="0" fillId="0" borderId="0" xfId="1" applyNumberFormat="1" applyFont="1"/>
    <xf numFmtId="0" fontId="0" fillId="0" borderId="5" xfId="0" applyBorder="1"/>
    <xf numFmtId="165" fontId="0" fillId="0" borderId="5" xfId="1" applyNumberFormat="1" applyFont="1" applyBorder="1"/>
    <xf numFmtId="0" fontId="31" fillId="0" borderId="0" xfId="0" applyFont="1"/>
    <xf numFmtId="165" fontId="31" fillId="0" borderId="0" xfId="1" applyNumberFormat="1" applyFont="1"/>
    <xf numFmtId="0" fontId="0" fillId="0" borderId="0" xfId="0" applyAlignment="1">
      <alignment horizontal="left" indent="2"/>
    </xf>
    <xf numFmtId="0" fontId="0" fillId="0" borderId="6" xfId="0" applyBorder="1" applyAlignment="1">
      <alignment horizontal="left" indent="1"/>
    </xf>
    <xf numFmtId="165" fontId="0" fillId="0" borderId="6" xfId="1" applyNumberFormat="1" applyFont="1" applyBorder="1"/>
    <xf numFmtId="0" fontId="0" fillId="0" borderId="0" xfId="0" applyAlignment="1">
      <alignment horizontal="left" indent="1"/>
    </xf>
    <xf numFmtId="165" fontId="35" fillId="0" borderId="0" xfId="0" applyNumberFormat="1" applyFont="1"/>
    <xf numFmtId="0" fontId="31" fillId="0" borderId="6" xfId="0" applyFont="1" applyBorder="1"/>
    <xf numFmtId="165" fontId="31" fillId="0" borderId="6" xfId="1" applyNumberFormat="1" applyFont="1" applyBorder="1"/>
    <xf numFmtId="0" fontId="31" fillId="0" borderId="7" xfId="0" applyFont="1" applyBorder="1"/>
    <xf numFmtId="165" fontId="31" fillId="0" borderId="7" xfId="1" applyNumberFormat="1" applyFont="1" applyBorder="1"/>
    <xf numFmtId="167" fontId="0" fillId="0" borderId="0" xfId="0" applyNumberFormat="1"/>
    <xf numFmtId="3" fontId="0" fillId="0" borderId="0" xfId="0" applyNumberFormat="1"/>
    <xf numFmtId="0" fontId="36" fillId="0" borderId="0" xfId="0" applyFont="1"/>
    <xf numFmtId="165" fontId="36" fillId="0" borderId="0" xfId="0" applyNumberFormat="1" applyFont="1"/>
    <xf numFmtId="0" fontId="31" fillId="11" borderId="0" xfId="0" applyFont="1" applyFill="1" applyAlignment="1">
      <alignment horizontal="center"/>
    </xf>
    <xf numFmtId="0" fontId="31"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31" fillId="0" borderId="8" xfId="0" applyFont="1" applyBorder="1" applyAlignment="1">
      <alignment horizontal="left"/>
    </xf>
    <xf numFmtId="165" fontId="31" fillId="0" borderId="8" xfId="1" applyNumberFormat="1" applyFont="1" applyBorder="1"/>
    <xf numFmtId="0" fontId="31" fillId="0" borderId="8" xfId="0" applyFont="1" applyBorder="1"/>
    <xf numFmtId="0" fontId="31" fillId="0" borderId="0" xfId="0" applyFont="1" applyAlignment="1">
      <alignment horizontal="left"/>
    </xf>
    <xf numFmtId="0" fontId="35" fillId="0" borderId="0" xfId="0" applyFont="1"/>
    <xf numFmtId="3" fontId="35" fillId="0" borderId="0" xfId="0" applyNumberFormat="1" applyFont="1"/>
    <xf numFmtId="165" fontId="14" fillId="0" borderId="0" xfId="1" applyNumberFormat="1" applyFont="1"/>
    <xf numFmtId="165" fontId="37" fillId="0" borderId="0" xfId="0" applyNumberFormat="1" applyFont="1"/>
    <xf numFmtId="0" fontId="38" fillId="0" borderId="0" xfId="0" applyFont="1" applyAlignment="1">
      <alignment horizontal="left" indent="1"/>
    </xf>
    <xf numFmtId="166" fontId="39" fillId="0" borderId="0" xfId="0" applyNumberFormat="1" applyFont="1"/>
    <xf numFmtId="0" fontId="40" fillId="0" borderId="0" xfId="0" applyFont="1" applyAlignment="1">
      <alignment horizontal="left" indent="2"/>
    </xf>
    <xf numFmtId="166" fontId="41" fillId="0" borderId="0" xfId="0" applyNumberFormat="1" applyFont="1"/>
    <xf numFmtId="0" fontId="40" fillId="0" borderId="6" xfId="0" applyFont="1" applyBorder="1"/>
    <xf numFmtId="166" fontId="39" fillId="0" borderId="6" xfId="0" applyNumberFormat="1" applyFont="1" applyBorder="1"/>
    <xf numFmtId="0" fontId="40" fillId="0" borderId="0" xfId="0" applyFont="1" applyAlignment="1">
      <alignment horizontal="left" indent="1"/>
    </xf>
    <xf numFmtId="0" fontId="38" fillId="0" borderId="7" xfId="0" applyFont="1" applyBorder="1"/>
    <xf numFmtId="166" fontId="39" fillId="0" borderId="7" xfId="0" applyNumberFormat="1" applyFont="1" applyBorder="1"/>
    <xf numFmtId="0" fontId="44" fillId="10" borderId="0" xfId="0" applyFont="1" applyFill="1" applyAlignment="1">
      <alignment wrapText="1"/>
    </xf>
    <xf numFmtId="0" fontId="0" fillId="0" borderId="0" xfId="0" applyAlignment="1">
      <alignment wrapText="1"/>
    </xf>
    <xf numFmtId="0" fontId="0" fillId="12" borderId="0" xfId="0" applyFill="1"/>
    <xf numFmtId="0" fontId="13" fillId="0" borderId="0" xfId="0" applyFont="1"/>
    <xf numFmtId="0" fontId="40" fillId="0" borderId="0" xfId="0" applyFont="1"/>
    <xf numFmtId="166" fontId="22" fillId="0" borderId="0" xfId="0" applyNumberFormat="1" applyFont="1"/>
    <xf numFmtId="0" fontId="12" fillId="0" borderId="1" xfId="2"/>
    <xf numFmtId="0" fontId="12" fillId="9" borderId="1" xfId="2" applyFill="1"/>
    <xf numFmtId="165" fontId="17" fillId="0" borderId="1" xfId="0" applyNumberFormat="1" applyFont="1" applyBorder="1"/>
    <xf numFmtId="165" fontId="18" fillId="9" borderId="0" xfId="0" applyNumberFormat="1" applyFont="1" applyFill="1"/>
    <xf numFmtId="0" fontId="11" fillId="0" borderId="1" xfId="2" applyFont="1"/>
    <xf numFmtId="0" fontId="46"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45" fillId="0" borderId="0" xfId="9" applyAlignment="1">
      <alignment horizontal="left" wrapText="1"/>
    </xf>
    <xf numFmtId="0" fontId="10" fillId="0" borderId="1" xfId="10"/>
    <xf numFmtId="0" fontId="10" fillId="0" borderId="10" xfId="10" applyBorder="1"/>
    <xf numFmtId="0" fontId="10" fillId="0" borderId="11" xfId="10" applyBorder="1"/>
    <xf numFmtId="0" fontId="10" fillId="0" borderId="12" xfId="10" applyBorder="1"/>
    <xf numFmtId="165" fontId="0" fillId="0" borderId="1" xfId="11" applyNumberFormat="1" applyFont="1"/>
    <xf numFmtId="166" fontId="0" fillId="0" borderId="1" xfId="12" applyNumberFormat="1" applyFont="1" applyFill="1"/>
    <xf numFmtId="0" fontId="10" fillId="0" borderId="1" xfId="10" applyAlignment="1">
      <alignment horizontal="left" indent="1"/>
    </xf>
    <xf numFmtId="0" fontId="47" fillId="0" borderId="1" xfId="13" applyAlignment="1">
      <alignment horizontal="left" indent="1"/>
    </xf>
    <xf numFmtId="0" fontId="48" fillId="0" borderId="1" xfId="10" applyFont="1"/>
    <xf numFmtId="10" fontId="49" fillId="0" borderId="1" xfId="12" applyNumberFormat="1" applyFont="1" applyBorder="1" applyAlignment="1">
      <alignment horizontal="left"/>
    </xf>
    <xf numFmtId="10" fontId="48" fillId="0" borderId="1" xfId="11" applyNumberFormat="1" applyFont="1" applyBorder="1" applyAlignment="1">
      <alignment horizontal="right"/>
    </xf>
    <xf numFmtId="166" fontId="0" fillId="0" borderId="1" xfId="12" applyNumberFormat="1" applyFont="1"/>
    <xf numFmtId="164" fontId="0" fillId="0" borderId="1" xfId="11" applyFont="1"/>
    <xf numFmtId="164" fontId="10" fillId="0" borderId="1" xfId="10" applyNumberFormat="1"/>
    <xf numFmtId="0" fontId="10" fillId="16" borderId="1" xfId="10" applyFill="1"/>
    <xf numFmtId="0" fontId="31" fillId="11" borderId="1" xfId="10" applyFont="1" applyFill="1" applyAlignment="1">
      <alignment horizontal="center"/>
    </xf>
    <xf numFmtId="0" fontId="30" fillId="17" borderId="1" xfId="10" applyFont="1" applyFill="1" applyAlignment="1">
      <alignment horizontal="right" wrapText="1"/>
    </xf>
    <xf numFmtId="0" fontId="30" fillId="17" borderId="1" xfId="10" applyFont="1" applyFill="1" applyAlignment="1">
      <alignment horizontal="right"/>
    </xf>
    <xf numFmtId="0" fontId="30" fillId="10" borderId="1" xfId="10" applyFont="1" applyFill="1" applyAlignment="1">
      <alignment wrapText="1"/>
    </xf>
    <xf numFmtId="0" fontId="30" fillId="10" borderId="1" xfId="10" applyFont="1" applyFill="1" applyAlignment="1">
      <alignment horizontal="right"/>
    </xf>
    <xf numFmtId="0" fontId="30" fillId="10" borderId="1" xfId="10" applyFont="1" applyFill="1" applyAlignment="1">
      <alignment vertical="center" wrapText="1"/>
    </xf>
    <xf numFmtId="0" fontId="9" fillId="0" borderId="1" xfId="10" applyFont="1"/>
    <xf numFmtId="166" fontId="40" fillId="0" borderId="1" xfId="11" applyNumberFormat="1" applyFont="1"/>
    <xf numFmtId="166" fontId="10" fillId="0" borderId="1" xfId="10" applyNumberFormat="1"/>
    <xf numFmtId="2" fontId="10" fillId="0" borderId="1" xfId="10" applyNumberFormat="1"/>
    <xf numFmtId="164" fontId="9" fillId="0" borderId="1" xfId="10" applyNumberFormat="1" applyFont="1"/>
    <xf numFmtId="43" fontId="10" fillId="0" borderId="1" xfId="10" applyNumberFormat="1"/>
    <xf numFmtId="41" fontId="10" fillId="0" borderId="1" xfId="10" applyNumberFormat="1"/>
    <xf numFmtId="0" fontId="8" fillId="0" borderId="1" xfId="10" applyFont="1" applyAlignment="1">
      <alignment horizontal="left" indent="1"/>
    </xf>
    <xf numFmtId="168" fontId="0" fillId="0" borderId="1" xfId="12" applyNumberFormat="1" applyFont="1" applyFill="1"/>
    <xf numFmtId="0" fontId="7" fillId="0" borderId="1" xfId="10" applyFont="1"/>
    <xf numFmtId="0" fontId="30" fillId="10" borderId="1" xfId="10" applyFont="1" applyFill="1" applyAlignment="1">
      <alignment horizontal="center"/>
    </xf>
    <xf numFmtId="0" fontId="7" fillId="9" borderId="1" xfId="10" applyFont="1" applyFill="1"/>
    <xf numFmtId="10" fontId="10" fillId="0" borderId="1" xfId="10" applyNumberFormat="1"/>
    <xf numFmtId="10" fontId="0" fillId="0" borderId="1" xfId="12" applyNumberFormat="1" applyFont="1" applyFill="1"/>
    <xf numFmtId="0" fontId="6" fillId="0" borderId="1" xfId="10" applyFont="1" applyAlignment="1">
      <alignment horizontal="left" indent="1"/>
    </xf>
    <xf numFmtId="166" fontId="0" fillId="9" borderId="0" xfId="14" applyNumberFormat="1" applyFont="1" applyFill="1"/>
    <xf numFmtId="10" fontId="48" fillId="15" borderId="1" xfId="10" applyNumberFormat="1" applyFont="1" applyFill="1"/>
    <xf numFmtId="0" fontId="5" fillId="0" borderId="1" xfId="10" applyFont="1"/>
    <xf numFmtId="0" fontId="5" fillId="0" borderId="14" xfId="10" applyFont="1" applyBorder="1"/>
    <xf numFmtId="165" fontId="5" fillId="0" borderId="1" xfId="10" applyNumberFormat="1" applyFont="1"/>
    <xf numFmtId="0" fontId="4" fillId="0" borderId="1" xfId="10" applyFont="1"/>
    <xf numFmtId="10" fontId="2" fillId="0" borderId="1" xfId="12" applyNumberFormat="1" applyFont="1" applyBorder="1" applyAlignment="1">
      <alignment horizontal="left"/>
    </xf>
    <xf numFmtId="1" fontId="2" fillId="0" borderId="1" xfId="11" applyNumberFormat="1" applyFont="1" applyBorder="1" applyAlignment="1">
      <alignment horizontal="right"/>
    </xf>
    <xf numFmtId="1" fontId="2" fillId="0" borderId="1" xfId="10" applyNumberFormat="1" applyFont="1"/>
    <xf numFmtId="166" fontId="0" fillId="0" borderId="1" xfId="11" applyNumberFormat="1" applyFont="1"/>
    <xf numFmtId="1" fontId="10" fillId="0" borderId="13" xfId="10" applyNumberFormat="1" applyBorder="1"/>
    <xf numFmtId="1" fontId="10" fillId="0" borderId="11" xfId="10" applyNumberFormat="1" applyBorder="1"/>
    <xf numFmtId="1" fontId="3" fillId="0" borderId="11" xfId="10" applyNumberFormat="1" applyFont="1" applyBorder="1"/>
    <xf numFmtId="2" fontId="10" fillId="0" borderId="9" xfId="10" applyNumberFormat="1" applyBorder="1"/>
    <xf numFmtId="0" fontId="3" fillId="9" borderId="1" xfId="10" applyFont="1" applyFill="1"/>
    <xf numFmtId="0" fontId="10" fillId="9" borderId="1" xfId="10" applyFill="1"/>
    <xf numFmtId="0" fontId="48" fillId="9" borderId="1" xfId="10" applyFont="1" applyFill="1"/>
    <xf numFmtId="0" fontId="13" fillId="0" borderId="0" xfId="0" applyFont="1"/>
    <xf numFmtId="0" fontId="0" fillId="0" borderId="0" xfId="0"/>
    <xf numFmtId="0" fontId="13" fillId="0" borderId="0" xfId="0" applyFont="1" applyAlignment="1">
      <alignment horizontal="center"/>
    </xf>
    <xf numFmtId="0" fontId="0" fillId="0" borderId="0" xfId="0" applyAlignment="1">
      <alignment horizontal="center"/>
    </xf>
    <xf numFmtId="0" fontId="1" fillId="18" borderId="1" xfId="10" applyFont="1" applyFill="1" applyAlignment="1">
      <alignment horizontal="left" indent="1"/>
    </xf>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FCFF Historical Growth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Schedules!$B$17</c:f>
              <c:strCache>
                <c:ptCount val="1"/>
                <c:pt idx="0">
                  <c:v>nm</c:v>
                </c:pt>
              </c:strCache>
            </c:strRef>
          </c:tx>
          <c:spPr>
            <a:ln w="19050" cap="rnd">
              <a:solidFill>
                <a:schemeClr val="accent1"/>
              </a:solidFill>
              <a:round/>
            </a:ln>
            <a:effectLst/>
          </c:spPr>
          <c:marker>
            <c:symbol val="none"/>
          </c:marker>
          <c:xVal>
            <c:numRef>
              <c:f>(Schedules!$C$1:$I$1,Schedules!$M$1:$Q$1)</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xVal>
          <c:yVal>
            <c:numRef>
              <c:f>(Schedules!$C$17:$I$17,Schedules!$M$17:$Q$17)</c:f>
              <c:numCache>
                <c:formatCode>0.00%</c:formatCode>
                <c:ptCount val="12"/>
                <c:pt idx="0">
                  <c:v>-0.39928057553956836</c:v>
                </c:pt>
                <c:pt idx="1">
                  <c:v>-1.8962075848303395E-2</c:v>
                </c:pt>
                <c:pt idx="2">
                  <c:v>0.23702950152594099</c:v>
                </c:pt>
                <c:pt idx="3">
                  <c:v>-0.25328947368421051</c:v>
                </c:pt>
                <c:pt idx="4">
                  <c:v>-0.68538913362701914</c:v>
                </c:pt>
                <c:pt idx="5">
                  <c:v>4.7047841306884477</c:v>
                </c:pt>
                <c:pt idx="6">
                  <c:v>-0.17242789936592351</c:v>
                </c:pt>
                <c:pt idx="7">
                  <c:v>1.1650556798350438</c:v>
                </c:pt>
                <c:pt idx="8">
                  <c:v>-2.2861720352151692E-2</c:v>
                </c:pt>
                <c:pt idx="9">
                  <c:v>0.21907783731923572</c:v>
                </c:pt>
                <c:pt idx="10">
                  <c:v>0.12851986094252441</c:v>
                </c:pt>
                <c:pt idx="11">
                  <c:v>3.7278221899217381E-2</c:v>
                </c:pt>
              </c:numCache>
            </c:numRef>
          </c:yVal>
          <c:smooth val="0"/>
          <c:extLst>
            <c:ext xmlns:c16="http://schemas.microsoft.com/office/drawing/2014/chart" uri="{C3380CC4-5D6E-409C-BE32-E72D297353CC}">
              <c16:uniqueId val="{00000000-7C1D-4977-BFEC-7A53922C822D}"/>
            </c:ext>
          </c:extLst>
        </c:ser>
        <c:dLbls>
          <c:showLegendKey val="0"/>
          <c:showVal val="0"/>
          <c:showCatName val="0"/>
          <c:showSerName val="0"/>
          <c:showPercent val="0"/>
          <c:showBubbleSize val="0"/>
        </c:dLbls>
        <c:axId val="797493928"/>
        <c:axId val="797494288"/>
      </c:scatterChart>
      <c:valAx>
        <c:axId val="7974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4288"/>
        <c:crosses val="autoZero"/>
        <c:crossBetween val="midCat"/>
      </c:valAx>
      <c:valAx>
        <c:axId val="797494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3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21</xdr:row>
      <xdr:rowOff>0</xdr:rowOff>
    </xdr:from>
    <xdr:to>
      <xdr:col>23</xdr:col>
      <xdr:colOff>504825</xdr:colOff>
      <xdr:row>34</xdr:row>
      <xdr:rowOff>142875</xdr:rowOff>
    </xdr:to>
    <xdr:graphicFrame macro="">
      <xdr:nvGraphicFramePr>
        <xdr:cNvPr id="8" name="Chart 7">
          <a:extLst>
            <a:ext uri="{FF2B5EF4-FFF2-40B4-BE49-F238E27FC236}">
              <a16:creationId xmlns:a16="http://schemas.microsoft.com/office/drawing/2014/main" id="{F3D7156F-3099-4BED-ABDD-D5AD6A65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ColWidth="8.88671875" defaultRowHeight="14.4" x14ac:dyDescent="0.3"/>
  <cols>
    <col min="1" max="1" width="184.44140625" bestFit="1" customWidth="1"/>
  </cols>
  <sheetData>
    <row r="1" spans="1:3" ht="23.4" x14ac:dyDescent="0.45">
      <c r="A1" s="75" t="s">
        <v>262</v>
      </c>
    </row>
    <row r="2" spans="1:3" x14ac:dyDescent="0.3">
      <c r="A2" s="86" t="s">
        <v>263</v>
      </c>
    </row>
    <row r="3" spans="1:3" x14ac:dyDescent="0.3">
      <c r="A3" s="87"/>
    </row>
    <row r="4" spans="1:3" ht="23.4" x14ac:dyDescent="0.45">
      <c r="A4" s="75" t="s">
        <v>241</v>
      </c>
    </row>
    <row r="5" spans="1:3" x14ac:dyDescent="0.3">
      <c r="A5" s="88" t="s">
        <v>264</v>
      </c>
    </row>
    <row r="6" spans="1:3" x14ac:dyDescent="0.3">
      <c r="A6" s="88" t="s">
        <v>265</v>
      </c>
    </row>
    <row r="7" spans="1:3" x14ac:dyDescent="0.3">
      <c r="A7" s="89" t="s">
        <v>266</v>
      </c>
    </row>
    <row r="8" spans="1:3" x14ac:dyDescent="0.3">
      <c r="A8" s="88" t="s">
        <v>267</v>
      </c>
    </row>
    <row r="9" spans="1:3" x14ac:dyDescent="0.3">
      <c r="A9" s="76" t="s">
        <v>268</v>
      </c>
    </row>
    <row r="15" spans="1:3" x14ac:dyDescent="0.3">
      <c r="C15" s="78"/>
    </row>
    <row r="18" spans="1:3" x14ac:dyDescent="0.3">
      <c r="C18" s="78"/>
    </row>
    <row r="20" spans="1:3" x14ac:dyDescent="0.3">
      <c r="C20" s="78"/>
    </row>
    <row r="25" spans="1:3" x14ac:dyDescent="0.3">
      <c r="A25" s="76"/>
    </row>
    <row r="26" spans="1:3" x14ac:dyDescent="0.3">
      <c r="A26" s="76"/>
    </row>
    <row r="30" spans="1:3" x14ac:dyDescent="0.3">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28" workbookViewId="0">
      <selection activeCell="B85" sqref="B85"/>
    </sheetView>
  </sheetViews>
  <sheetFormatPr defaultColWidth="8.88671875"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7" zoomScaleNormal="100" workbookViewId="0">
      <selection activeCell="I10" sqref="I10"/>
    </sheetView>
  </sheetViews>
  <sheetFormatPr defaultColWidth="14.44140625" defaultRowHeight="15" customHeight="1" x14ac:dyDescent="0.3"/>
  <cols>
    <col min="1" max="1" width="48.6640625" customWidth="1"/>
    <col min="2" max="14" width="11.6640625" customWidth="1"/>
    <col min="15" max="15" width="26.44140625" customWidth="1"/>
    <col min="16" max="17" width="39.88671875" customWidth="1"/>
    <col min="18" max="18" width="17.44140625" customWidth="1"/>
    <col min="19" max="28" width="8.88671875" customWidth="1"/>
  </cols>
  <sheetData>
    <row r="1" spans="1:17"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ht="14.4" x14ac:dyDescent="0.3">
      <c r="A2" s="16" t="s">
        <v>73</v>
      </c>
      <c r="B2" s="16"/>
      <c r="C2" s="16"/>
      <c r="D2" s="16"/>
      <c r="E2" s="16"/>
      <c r="F2" s="16"/>
      <c r="G2" s="16"/>
      <c r="H2" s="16"/>
      <c r="I2" s="16"/>
      <c r="J2" s="15"/>
      <c r="K2" s="15"/>
      <c r="L2" s="15"/>
      <c r="M2" s="15"/>
      <c r="N2" s="15"/>
      <c r="O2" s="15"/>
    </row>
    <row r="3" spans="1:17"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ht="14.4" x14ac:dyDescent="0.3">
      <c r="A20" s="30" t="s">
        <v>82</v>
      </c>
      <c r="B20" s="16"/>
      <c r="C20" s="16"/>
      <c r="D20" s="16"/>
      <c r="E20" s="16"/>
      <c r="F20" s="16"/>
      <c r="G20" s="16"/>
      <c r="H20" s="16"/>
      <c r="I20" s="16"/>
      <c r="J20" s="15"/>
      <c r="K20" s="15"/>
      <c r="L20" s="15"/>
      <c r="M20" s="15"/>
      <c r="N20" s="15"/>
      <c r="O20" s="15"/>
    </row>
    <row r="21" spans="1:17"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3">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3">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3">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3">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3">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3">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3">
      <c r="A45" s="30" t="s">
        <v>101</v>
      </c>
      <c r="B45" s="16"/>
      <c r="C45" s="16"/>
      <c r="D45" s="16"/>
      <c r="E45" s="16"/>
      <c r="F45" s="16"/>
      <c r="G45" s="16"/>
      <c r="H45" s="16"/>
      <c r="I45" s="16"/>
      <c r="J45" s="15"/>
      <c r="K45" s="15"/>
      <c r="L45" s="15"/>
      <c r="M45" s="15"/>
      <c r="N45" s="15"/>
      <c r="O45" s="15"/>
    </row>
    <row r="46" spans="1:28"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3">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3">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3">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3">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3">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3">
      <c r="A57" s="1" t="s">
        <v>109</v>
      </c>
      <c r="B57" s="6"/>
      <c r="C57" s="6"/>
      <c r="D57" s="6"/>
      <c r="E57" s="6"/>
      <c r="F57" s="6"/>
      <c r="G57" s="6"/>
      <c r="H57" s="6"/>
      <c r="I57" s="6"/>
      <c r="J57" s="6"/>
      <c r="K57" s="6"/>
      <c r="L57" s="6"/>
      <c r="M57" s="6"/>
      <c r="N57" s="6"/>
      <c r="O57" s="6"/>
      <c r="P57" s="82" t="s">
        <v>258</v>
      </c>
    </row>
    <row r="58" spans="1:18"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3">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3">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3">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3">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3">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5">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3">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3">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3"/>
    <row r="73" spans="1:18" ht="15.75" customHeight="1" x14ac:dyDescent="0.3"/>
    <row r="74" spans="1:18" ht="15.75" customHeight="1" x14ac:dyDescent="0.3"/>
    <row r="75" spans="1:18" ht="15.75" customHeight="1" x14ac:dyDescent="0.3"/>
    <row r="76" spans="1:18" ht="15.75" customHeight="1" x14ac:dyDescent="0.3"/>
    <row r="77" spans="1:18" ht="15.75" customHeight="1" x14ac:dyDescent="0.3"/>
    <row r="78" spans="1:18" ht="15.75" customHeight="1" x14ac:dyDescent="0.3"/>
    <row r="79" spans="1:18" ht="15.75" customHeight="1" x14ac:dyDescent="0.3"/>
    <row r="80" spans="1: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40" sqref="R40"/>
    </sheetView>
  </sheetViews>
  <sheetFormatPr defaultColWidth="14.44140625" defaultRowHeight="15" customHeight="1" x14ac:dyDescent="0.3"/>
  <cols>
    <col min="1" max="94" width="8.6640625" customWidth="1"/>
  </cols>
  <sheetData>
    <row r="16" spans="17:23" ht="15" customHeight="1" x14ac:dyDescent="0.3">
      <c r="Q16" s="143" t="s">
        <v>246</v>
      </c>
      <c r="R16" s="144"/>
      <c r="S16" s="144"/>
      <c r="T16" s="144"/>
      <c r="U16" s="144"/>
      <c r="V16" s="144"/>
      <c r="W16" s="144"/>
    </row>
    <row r="17" spans="17:26" ht="15" customHeight="1" x14ac:dyDescent="0.3">
      <c r="Q17" s="78" t="s">
        <v>247</v>
      </c>
    </row>
    <row r="18" spans="17:26" ht="15" customHeight="1" x14ac:dyDescent="0.3">
      <c r="Q18" s="145" t="s">
        <v>248</v>
      </c>
      <c r="R18" s="146"/>
      <c r="S18" s="146"/>
      <c r="T18" s="146"/>
      <c r="U18" s="146"/>
      <c r="V18" s="146"/>
      <c r="W18" s="146"/>
      <c r="X18" s="146"/>
      <c r="Y18" s="146"/>
    </row>
    <row r="19" spans="17:26" ht="15" customHeight="1" x14ac:dyDescent="0.3">
      <c r="Q19" s="145" t="s">
        <v>250</v>
      </c>
      <c r="R19" s="145"/>
      <c r="S19" s="145"/>
      <c r="T19" s="145"/>
      <c r="U19" s="145"/>
      <c r="V19" s="145"/>
      <c r="W19" s="145"/>
      <c r="X19" s="145"/>
      <c r="Y19" s="145"/>
      <c r="Z19" s="145"/>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AA33"/>
  <sheetViews>
    <sheetView tabSelected="1" topLeftCell="I1" workbookViewId="0">
      <pane ySplit="1" topLeftCell="A8" activePane="bottomLeft" state="frozen"/>
      <selection pane="bottomLeft" activeCell="L15" sqref="L15"/>
    </sheetView>
  </sheetViews>
  <sheetFormatPr defaultColWidth="8.88671875" defaultRowHeight="14.4" x14ac:dyDescent="0.3"/>
  <cols>
    <col min="1" max="1" width="42.6640625" style="90" customWidth="1"/>
    <col min="2" max="2" width="10.44140625" style="90" customWidth="1"/>
    <col min="3" max="3" width="11.5546875" style="90" bestFit="1" customWidth="1"/>
    <col min="4" max="8" width="10.44140625" style="90" customWidth="1"/>
    <col min="9" max="9" width="12.109375" style="90" customWidth="1"/>
    <col min="10" max="10" width="9.6640625" style="90" customWidth="1"/>
    <col min="11" max="11" width="8.88671875" style="90" customWidth="1"/>
    <col min="12" max="12" width="34.6640625" style="90" customWidth="1"/>
    <col min="13" max="13" width="11.44140625" style="90" bestFit="1" customWidth="1"/>
    <col min="14" max="17" width="10.44140625" style="90" bestFit="1" customWidth="1"/>
    <col min="18" max="19" width="10.5546875" style="90" bestFit="1" customWidth="1"/>
    <col min="20" max="16384" width="8.88671875" style="90"/>
  </cols>
  <sheetData>
    <row r="1" spans="1:24" ht="60" customHeight="1" x14ac:dyDescent="0.3">
      <c r="A1" s="110" t="s">
        <v>294</v>
      </c>
      <c r="B1" s="109">
        <v>2015</v>
      </c>
      <c r="C1" s="109">
        <f t="shared" ref="C1:I1" si="0">+B1+1</f>
        <v>2016</v>
      </c>
      <c r="D1" s="109">
        <f t="shared" si="0"/>
        <v>2017</v>
      </c>
      <c r="E1" s="109">
        <f t="shared" si="0"/>
        <v>2018</v>
      </c>
      <c r="F1" s="109">
        <f t="shared" si="0"/>
        <v>2019</v>
      </c>
      <c r="G1" s="109">
        <f t="shared" si="0"/>
        <v>2020</v>
      </c>
      <c r="H1" s="109">
        <f t="shared" si="0"/>
        <v>2021</v>
      </c>
      <c r="I1" s="109">
        <f t="shared" si="0"/>
        <v>2022</v>
      </c>
      <c r="J1" s="121" t="s">
        <v>297</v>
      </c>
      <c r="K1" s="108" t="s">
        <v>241</v>
      </c>
      <c r="L1" s="121" t="s">
        <v>299</v>
      </c>
      <c r="M1" s="107">
        <f>+I1+1</f>
        <v>2023</v>
      </c>
      <c r="N1" s="107">
        <f t="shared" ref="N1:V1" si="1">+M1+1</f>
        <v>2024</v>
      </c>
      <c r="O1" s="107">
        <f t="shared" si="1"/>
        <v>2025</v>
      </c>
      <c r="P1" s="107">
        <f t="shared" si="1"/>
        <v>2026</v>
      </c>
      <c r="Q1" s="107">
        <f t="shared" si="1"/>
        <v>2027</v>
      </c>
      <c r="R1" s="107">
        <f t="shared" si="1"/>
        <v>2028</v>
      </c>
      <c r="S1" s="107">
        <f t="shared" si="1"/>
        <v>2029</v>
      </c>
      <c r="T1" s="107">
        <f t="shared" si="1"/>
        <v>2030</v>
      </c>
      <c r="U1" s="107">
        <f t="shared" si="1"/>
        <v>2031</v>
      </c>
      <c r="V1" s="107">
        <f t="shared" si="1"/>
        <v>2032</v>
      </c>
      <c r="W1" s="106" t="s">
        <v>293</v>
      </c>
    </row>
    <row r="2" spans="1:24" x14ac:dyDescent="0.3">
      <c r="A2" s="105" t="s">
        <v>292</v>
      </c>
      <c r="B2" s="105"/>
      <c r="C2" s="105"/>
      <c r="D2" s="105"/>
      <c r="E2" s="105"/>
      <c r="F2" s="105"/>
      <c r="G2" s="105"/>
      <c r="H2" s="105"/>
      <c r="I2" s="105"/>
      <c r="J2" s="105"/>
      <c r="K2" s="105"/>
      <c r="L2" s="105"/>
      <c r="M2" s="105"/>
      <c r="N2" s="105"/>
      <c r="O2" s="105"/>
      <c r="P2" s="105"/>
      <c r="Q2" s="105"/>
      <c r="R2" s="104"/>
      <c r="S2" s="104"/>
      <c r="T2" s="104"/>
      <c r="U2" s="104"/>
      <c r="V2" s="104"/>
      <c r="W2" s="104"/>
    </row>
    <row r="3" spans="1:24" x14ac:dyDescent="0.3">
      <c r="A3" s="90" t="s">
        <v>291</v>
      </c>
      <c r="B3" s="103">
        <f>AVERAGE(57.13, 60.46, 59.89, 56.06, 50.95, 52.53, 49.25, 46.22, 44.94, 45.61, 44.03, 41.82)</f>
        <v>50.740833333333335</v>
      </c>
      <c r="C3" s="103">
        <f>AVERAGE(46.96, 46.26, 46.36, 48.51, 53.11, 51.13, 50.71, 50.73, 54.15, 56.33, 56.44, 56.82)</f>
        <v>51.459166666666668</v>
      </c>
      <c r="D3" s="103">
        <f>AVERAGE(58.58, 56.58, 51.5, 48.56, 49.29, 55.11, 54.88, 49.29, 51.54, 51.68, 53, 49.05)</f>
        <v>52.42166666666666</v>
      </c>
      <c r="E3" s="103">
        <f>AVERAGE(70.45, 71.17, 71.09, 80.27, 77.69, 72.69, 75.1, 67.67, 64.46, 62.43, 62.98, 64.1)</f>
        <v>70.00833333333334</v>
      </c>
      <c r="F3" s="103">
        <f>AVERAGE(97.29, 89.55, 85.77, 89.96, 80.73, 82.19, 80.2, 73.49, 83.67, 80.02, 81.46, 77.81)</f>
        <v>83.51166666666667</v>
      </c>
      <c r="G3" s="103">
        <f>AVERAGE(136.87, 130.32, 116.18, 121.46, 108.02, 94.23, 94.65, 94.93, 83.95, 79.68, 85.83, 92.48)</f>
        <v>103.21666666666668</v>
      </c>
      <c r="H3" s="103">
        <f>AVERAGE(162.5, 165.01, 163.11, 141.6, 160.63, 163.06, 150.38, 132.56, 128.83, 129.09, 130.66, 129.51)</f>
        <v>146.41166666666666</v>
      </c>
      <c r="I3" s="115">
        <f>AVERAGE(115.16, 107.96, 91.22, 81.57, 104.47, 112.78, 100.05, 116.35, 122.08, 131.43, 133.37, 144.63)</f>
        <v>113.42250000000001</v>
      </c>
      <c r="J3" s="115"/>
      <c r="M3" s="103">
        <f>AVERAGE(119.24, 109.9, 102.43, 94.98, 101.03, 109.65, 109.27, 104.21, 125.46, 121.07, 117.27, 125.71)</f>
        <v>111.685</v>
      </c>
      <c r="N3" s="103">
        <f t="shared" ref="N3:Q3" si="2">AVERAGE(119.24, 109.9, 102.43, 94.98, 101.03, 109.65, 109.27, 104.21, 125.46, 121.07, 117.27, 125.71)</f>
        <v>111.685</v>
      </c>
      <c r="O3" s="103">
        <f t="shared" si="2"/>
        <v>111.685</v>
      </c>
      <c r="P3" s="103">
        <f t="shared" si="2"/>
        <v>111.685</v>
      </c>
      <c r="Q3" s="103">
        <f t="shared" si="2"/>
        <v>111.685</v>
      </c>
    </row>
    <row r="4" spans="1:24" x14ac:dyDescent="0.3">
      <c r="A4" s="90" t="s">
        <v>290</v>
      </c>
      <c r="B4" s="94">
        <f>('Three Statements'!B15*Schedules!B3)+('Three Statements'!B33+'Three Statements'!B36+'Three Statements'!B34+'Three Statements'!B37)-('Three Statements'!B21)</f>
        <v>87158.385999999999</v>
      </c>
      <c r="C4" s="94">
        <f>('Three Statements'!C15*Schedules!C3)+('Three Statements'!C33+'Three Statements'!C36+'Three Statements'!C34+'Three Statements'!C37)-('Three Statements'!C21)</f>
        <v>88584.597916666666</v>
      </c>
      <c r="D4" s="94">
        <f>('Three Statements'!D15*Schedules!D3)+('Three Statements'!D33+'Three Statements'!D36+'Three Statements'!D34+'Three Statements'!D37)-('Three Statements'!D21)</f>
        <v>88691.459999999992</v>
      </c>
      <c r="E4" s="94">
        <f>('Three Statements'!E15*Schedules!E3)+('Three Statements'!E33+'Three Statements'!E36+'Three Statements'!E34+'Three Statements'!E37)-('Three Statements'!E21)</f>
        <v>115711.82583333334</v>
      </c>
      <c r="F4" s="94">
        <f>('Three Statements'!F15*Schedules!F3)+('Three Statements'!F33+'Three Statements'!F36+'Three Statements'!F34+'Three Statements'!F37)-('Three Statements'!F21)</f>
        <v>134168.28133333335</v>
      </c>
      <c r="G4" s="94">
        <f>('Three Statements'!G15*Schedules!G3)+('Three Statements'!G33+'Three Statements'!G36+'Three Statements'!G34+'Three Statements'!G37)-('Three Statements'!G21)</f>
        <v>168946.6466666667</v>
      </c>
      <c r="H4" s="94">
        <f>('Three Statements'!H15*Schedules!H3)+('Three Statements'!H33+'Three Statements'!H36+'Three Statements'!H34+'Three Statements'!H37)-('Three Statements'!H21)</f>
        <v>238558.93633333335</v>
      </c>
      <c r="I4" s="94">
        <f>('Three Statements'!I15*Schedules!I3)+('Three Statements'!I33+'Three Statements'!I36+'Three Statements'!I34+'Three Statements'!I37)-('Three Statements'!I21)</f>
        <v>186753.96300000002</v>
      </c>
      <c r="J4" s="94"/>
      <c r="M4" s="117">
        <f>('Three Statements'!J15*M3)+('Three Statements'!J33+'Three Statements'!J36+'Three Statements'!J34+'Three Statements'!J37)-('Three Statements'!J21)</f>
        <v>182383.80325571896</v>
      </c>
      <c r="N4" s="117">
        <f>('Three Statements'!K15*N3)+('Three Statements'!K33+'Three Statements'!K36+'Three Statements'!K34+'Three Statements'!K37)-('Three Statements'!K21)</f>
        <v>180104.65485154517</v>
      </c>
      <c r="O4" s="117">
        <f>('Three Statements'!L15*O3)+('Three Statements'!L33+'Three Statements'!L36+'Three Statements'!L34+'Three Statements'!L37)-('Three Statements'!L21)</f>
        <v>176312.8579838443</v>
      </c>
      <c r="P4" s="117">
        <f>('Three Statements'!M15*P3)+('Three Statements'!M33+'Three Statements'!M36+'Three Statements'!M34+'Three Statements'!M37)-('Three Statements'!M21)</f>
        <v>171493.70790048537</v>
      </c>
      <c r="Q4" s="117">
        <f>('Three Statements'!N15*Q3)+('Three Statements'!N33+'Three Statements'!N36+'Three Statements'!N34+'Three Statements'!N37)-('Three Statements'!N21)</f>
        <v>166951.02516109575</v>
      </c>
    </row>
    <row r="5" spans="1:24" x14ac:dyDescent="0.3">
      <c r="A5" s="90" t="s">
        <v>289</v>
      </c>
      <c r="B5" s="102">
        <f>B3/'Three Statements'!B16</f>
        <v>27.421443935227622</v>
      </c>
      <c r="C5" s="102">
        <f>C3/'Three Statements'!C16</f>
        <v>23.847765403368797</v>
      </c>
      <c r="D5" s="102">
        <f>D3/'Three Statements'!D16</f>
        <v>20.919212264150939</v>
      </c>
      <c r="E5" s="102">
        <f>E3/'Three Statements'!E16</f>
        <v>60.08837342645284</v>
      </c>
      <c r="F5" s="102">
        <f>F3/'Three Statements'!F16</f>
        <v>33.545614627285516</v>
      </c>
      <c r="G5" s="102">
        <f>G3/'Three Statements'!G16</f>
        <v>64.702499671786796</v>
      </c>
      <c r="H5" s="102">
        <f>H3/'Three Statements'!H16</f>
        <v>41.144567196321518</v>
      </c>
      <c r="I5" s="102">
        <f>I3/'Three Statements'!I16</f>
        <v>30.218485444922266</v>
      </c>
      <c r="J5" s="102"/>
      <c r="M5" s="116">
        <f>M3/'Three Statements'!J16</f>
        <v>31.589519390934136</v>
      </c>
      <c r="N5" s="116">
        <f>N3/'Three Statements'!K16</f>
        <v>26.528177829258656</v>
      </c>
      <c r="O5" s="116">
        <f>O3/'Three Statements'!L16</f>
        <v>20.870621486968822</v>
      </c>
      <c r="P5" s="116">
        <f>P3/'Three Statements'!M16</f>
        <v>17.972555326929839</v>
      </c>
      <c r="Q5" s="116">
        <f>Q3/'Three Statements'!N16</f>
        <v>17.40257864663301</v>
      </c>
    </row>
    <row r="6" spans="1:24" x14ac:dyDescent="0.3">
      <c r="A6" s="90" t="s">
        <v>288</v>
      </c>
      <c r="B6" s="102">
        <f>(B3)/((SUM('Three Statements'!B39:B42))/'Three Statements'!B15)</f>
        <v>3.5315332493900997</v>
      </c>
      <c r="C6" s="102">
        <f>(C3)/((SUM('Three Statements'!C39:C42))/'Three Statements'!C15)</f>
        <v>3.6575133756186435</v>
      </c>
      <c r="D6" s="102">
        <f>(D3)/((SUM('Three Statements'!D39:D42))/'Three Statements'!D15)</f>
        <v>3.5744926251309739</v>
      </c>
      <c r="E6" s="102">
        <f>(E3)/((SUM('Three Statements'!E39:E42))/'Three Statements'!E15)</f>
        <v>5.9188150139285236</v>
      </c>
      <c r="F6" s="102">
        <f>(F3)/((SUM('Three Statements'!F39:F42))/'Three Statements'!F15)</f>
        <v>7.4754027286135694</v>
      </c>
      <c r="G6" s="102">
        <f>(G3)/((SUM('Three Statements'!G39:G42))/'Three Statements'!G15)</f>
        <v>10.197370991102835</v>
      </c>
      <c r="H6" s="102">
        <f>(H3)/((SUM('Three Statements'!H39:H42))/'Three Statements'!H15)</f>
        <v>9.2282813634108773</v>
      </c>
      <c r="I6" s="102">
        <f>(I3)/((SUM('Three Statements'!I39:I42))/'Three Statements'!I15)</f>
        <v>5.9780434199332513</v>
      </c>
      <c r="J6" s="102"/>
      <c r="M6" s="116">
        <f>(I3)/((SUM('Three Statements'!J39:J42))/'Three Statements'!J15)</f>
        <v>5.4692141115917643</v>
      </c>
      <c r="N6" s="116">
        <f>(K3)/((SUM('Three Statements'!K39:K42))/'Three Statements'!K15)</f>
        <v>0</v>
      </c>
      <c r="O6" s="116">
        <f>(M3)/((SUM('Three Statements'!L39:L42))/'Three Statements'!L15)</f>
        <v>4.4791308897757123</v>
      </c>
      <c r="P6" s="116">
        <f>(N3)/((SUM('Three Statements'!M39:M42))/'Three Statements'!M15)</f>
        <v>4.1469100433843291</v>
      </c>
      <c r="Q6" s="116">
        <f>(O3)/((SUM('Three Statements'!N39:N42))/'Three Statements'!N15)</f>
        <v>4.0458401611803962</v>
      </c>
    </row>
    <row r="7" spans="1:24" x14ac:dyDescent="0.3">
      <c r="A7" s="90" t="s">
        <v>287</v>
      </c>
      <c r="B7" s="102">
        <f>B4/'Three Statements'!B5</f>
        <v>18.011652407522217</v>
      </c>
      <c r="C7" s="102">
        <f>C4/'Three Statements'!C5</f>
        <v>16.74250574875575</v>
      </c>
      <c r="D7" s="102">
        <f>D4/'Three Statements'!D5</f>
        <v>15.694825694567331</v>
      </c>
      <c r="E7" s="102">
        <f>E4/'Three Statements'!E5</f>
        <v>22.573512647938614</v>
      </c>
      <c r="F7" s="102">
        <f>F4/'Three Statements'!F5</f>
        <v>24.152705910591063</v>
      </c>
      <c r="G7" s="102">
        <f>G4/'Three Statements'!G5</f>
        <v>45.698308538454611</v>
      </c>
      <c r="H7" s="102">
        <f>H4/'Three Statements'!H5</f>
        <v>31.115030172601195</v>
      </c>
      <c r="I7" s="102">
        <f>I4/'Three Statements'!I5</f>
        <v>24.660499537831772</v>
      </c>
      <c r="J7" s="102"/>
      <c r="M7" s="116">
        <f>M4/'Three Statements'!J5</f>
        <v>23.276708105435628</v>
      </c>
      <c r="N7" s="116">
        <f>N4/'Three Statements'!K5</f>
        <v>22.082078214714908</v>
      </c>
      <c r="O7" s="116">
        <f>O4/'Three Statements'!L5</f>
        <v>17.719773956473425</v>
      </c>
      <c r="P7" s="116">
        <f>P4/'Three Statements'!M5</f>
        <v>15.304177306240115</v>
      </c>
      <c r="Q7" s="116">
        <f>Q4/'Three Statements'!N5</f>
        <v>14.697989932419208</v>
      </c>
    </row>
    <row r="8" spans="1:24" x14ac:dyDescent="0.3">
      <c r="A8" s="90" t="s">
        <v>286</v>
      </c>
      <c r="B8" s="102">
        <f>B4/'Three Statements'!B54</f>
        <v>17.417743005595522</v>
      </c>
      <c r="C8" s="102">
        <f>C4/'Three Statements'!C54</f>
        <v>29.469260783987579</v>
      </c>
      <c r="D8" s="102">
        <f>D4/'Three Statements'!D54</f>
        <v>30.075096642929804</v>
      </c>
      <c r="E8" s="102">
        <f>E4/'Three Statements'!E54</f>
        <v>31.719250502558481</v>
      </c>
      <c r="F8" s="102">
        <f>F4/'Three Statements'!F54</f>
        <v>49.254141458639261</v>
      </c>
      <c r="G8" s="102">
        <f>G4/'Three Statements'!G54</f>
        <v>197.13727732399849</v>
      </c>
      <c r="H8" s="102">
        <f>H4/'Three Statements'!H54</f>
        <v>48.795037090066138</v>
      </c>
      <c r="I8" s="102">
        <f>I4/'Three Statements'!I54</f>
        <v>46.157677459218988</v>
      </c>
      <c r="J8" s="102"/>
      <c r="M8" s="114">
        <f>M4/'Three Statements'!J54</f>
        <v>20.820507900363463</v>
      </c>
      <c r="N8" s="114">
        <f>N4/'Three Statements'!K54</f>
        <v>21.041367515480054</v>
      </c>
      <c r="O8" s="114">
        <f>O4/'Three Statements'!L54</f>
        <v>16.896687574987453</v>
      </c>
      <c r="P8" s="114">
        <f>P4/'Three Statements'!M54</f>
        <v>14.563191903036515</v>
      </c>
      <c r="Q8" s="114">
        <f>Q4/'Three Statements'!N54</f>
        <v>13.667913207710008</v>
      </c>
    </row>
    <row r="9" spans="1:24" x14ac:dyDescent="0.3">
      <c r="A9" s="111" t="s">
        <v>295</v>
      </c>
      <c r="B9" s="112" t="str">
        <f>IFERROR((B8-A8)/(A8), "nm")</f>
        <v>nm</v>
      </c>
      <c r="C9" s="112">
        <f>IFERROR((C8-B8)/(B8), "nm")</f>
        <v>0.69191041425519118</v>
      </c>
      <c r="D9" s="112">
        <f t="shared" ref="D9:I9" si="3">IFERROR((D8-C8)/(C8), "nm")</f>
        <v>2.0558230604529174E-2</v>
      </c>
      <c r="E9" s="112">
        <f t="shared" si="3"/>
        <v>5.4668281839592769E-2</v>
      </c>
      <c r="F9" s="112">
        <f t="shared" si="3"/>
        <v>0.55281542527829941</v>
      </c>
      <c r="G9" s="112">
        <f t="shared" si="3"/>
        <v>3.0024507886213554</v>
      </c>
      <c r="H9" s="112">
        <f t="shared" si="3"/>
        <v>-0.75248193668683649</v>
      </c>
      <c r="I9" s="112">
        <f t="shared" si="3"/>
        <v>-5.4049751534753381E-2</v>
      </c>
      <c r="J9" s="112"/>
      <c r="K9" s="112"/>
      <c r="L9" s="112"/>
      <c r="M9" s="112">
        <f>IFERROR((M8-I8)/(I8), "nm")</f>
        <v>-0.54892643983747447</v>
      </c>
      <c r="N9" s="112">
        <f t="shared" ref="N9" si="4">IFERROR((N8-M8)/(M8), "nm")</f>
        <v>1.0607791902748723E-2</v>
      </c>
      <c r="O9" s="112">
        <f t="shared" ref="O9" si="5">IFERROR((O8-N8)/(N8), "nm")</f>
        <v>-0.19697768870979399</v>
      </c>
      <c r="P9" s="112">
        <f t="shared" ref="P9" si="6">IFERROR((P8-O8)/(O8), "nm")</f>
        <v>-0.1381037355159046</v>
      </c>
      <c r="Q9" s="112">
        <f t="shared" ref="Q9" si="7">IFERROR((Q8-P8)/(P8), "nm")</f>
        <v>-6.147544448273292E-2</v>
      </c>
    </row>
    <row r="10" spans="1:24" x14ac:dyDescent="0.3">
      <c r="A10" s="90" t="s">
        <v>285</v>
      </c>
      <c r="B10" s="101">
        <f>('Three Statements'!B33+'Three Statements'!B34+'Three Statements'!B36+'Three Statements'!B37)/(SUM('Three Statements'!B39))</f>
        <v>9.9157944440072407E-2</v>
      </c>
      <c r="C10" s="101">
        <f>('Three Statements'!C33+'Three Statements'!C34+'Three Statements'!C36+'Three Statements'!C37)/(SUM('Three Statements'!C39))</f>
        <v>0.1676456191874694</v>
      </c>
      <c r="D10" s="101">
        <f>('Three Statements'!D33+'Three Statements'!D34+'Three Statements'!D36+'Three Statements'!D37)/(SUM('Three Statements'!D39))</f>
        <v>0.30643991295236561</v>
      </c>
      <c r="E10" s="101">
        <f>('Three Statements'!E33+'Three Statements'!E34+'Three Statements'!E36+'Three Statements'!E37)/(SUM('Three Statements'!E39))</f>
        <v>0.38830004076640851</v>
      </c>
      <c r="F10" s="101">
        <f>('Three Statements'!F33+'Three Statements'!F34+'Three Statements'!F36+'Three Statements'!F37)/(SUM('Three Statements'!F39))</f>
        <v>0.38484513274336285</v>
      </c>
      <c r="G10" s="101">
        <f>('Three Statements'!G33+'Three Statements'!G34+'Three Statements'!G36+'Three Statements'!G37)/(SUM('Three Statements'!G39))</f>
        <v>1.6157666045934203</v>
      </c>
      <c r="H10" s="101">
        <f>('Three Statements'!H33+'Three Statements'!H34+'Three Statements'!H36+'Three Statements'!H37)/(SUM('Three Statements'!H39))</f>
        <v>1.0036030390851414</v>
      </c>
      <c r="I10" s="101">
        <f>('Three Statements'!I33+'Three Statements'!I34+'Three Statements'!I36+'Three Statements'!I37)/(SUM('Three Statements'!I39))</f>
        <v>0.82632026699823313</v>
      </c>
      <c r="J10" s="122"/>
      <c r="M10" s="113">
        <f>('Three Statements'!J33+'Three Statements'!J34+'Three Statements'!J36+'Three Statements'!J37)/(SUM('Three Statements'!J39))</f>
        <v>0.76847857841208134</v>
      </c>
      <c r="N10" s="113">
        <f>('Three Statements'!K33+'Three Statements'!K34+'Three Statements'!K36+'Three Statements'!K37)/(SUM('Three Statements'!K39))</f>
        <v>0.72613301841539257</v>
      </c>
      <c r="O10" s="113">
        <f>('Three Statements'!L33+'Three Statements'!L34+'Three Statements'!L36+'Three Statements'!L37)/(SUM('Three Statements'!L39))</f>
        <v>0.66251464930435411</v>
      </c>
      <c r="P10" s="113">
        <f>('Three Statements'!M33+'Three Statements'!M34+'Three Statements'!M36+'Three Statements'!M37)/(SUM('Three Statements'!M39))</f>
        <v>0.62560299554371024</v>
      </c>
      <c r="Q10" s="113">
        <f>('Three Statements'!N33+'Three Statements'!N34+'Three Statements'!N36+'Three Statements'!N37)/(SUM('Three Statements'!N39))</f>
        <v>0.62340450247719126</v>
      </c>
      <c r="R10" s="113"/>
      <c r="S10" s="113"/>
      <c r="T10" s="113"/>
      <c r="U10" s="113"/>
      <c r="V10" s="113"/>
      <c r="W10" s="113"/>
    </row>
    <row r="11" spans="1:24" x14ac:dyDescent="0.3">
      <c r="A11" s="90" t="s">
        <v>284</v>
      </c>
      <c r="B11" s="101">
        <f>('Three Statements'!B33+'Three Statements'!B34+'Three Statements'!B36+'Three Statements'!B37)/(SUM('Three Statements'!B39)+'Three Statements'!B33+'Three Statements'!B34+'Three Statements'!B36+'Three Statements'!B37)</f>
        <v>9.021264408963986E-2</v>
      </c>
      <c r="C11" s="101">
        <f>('Three Statements'!C33+'Three Statements'!C34+'Three Statements'!C36+'Three Statements'!C37)/(SUM('Three Statements'!C39)+'Three Statements'!C33+'Three Statements'!C34+'Three Statements'!C36+'Three Statements'!C37)</f>
        <v>0.14357577027876756</v>
      </c>
      <c r="D11" s="101">
        <f>('Three Statements'!D33+'Three Statements'!D34+'Three Statements'!D36+'Three Statements'!D37)/(SUM('Three Statements'!D39)+'Three Statements'!D33+'Three Statements'!D34+'Three Statements'!D36+'Three Statements'!D37)</f>
        <v>0.23456104633228453</v>
      </c>
      <c r="E11" s="101">
        <f>('Three Statements'!E33+'Three Statements'!E34+'Three Statements'!E36+'Three Statements'!E37)/(SUM('Three Statements'!E39)+'Three Statements'!E33+'Three Statements'!E34+'Three Statements'!E36+'Three Statements'!E37)</f>
        <v>0.27969461165761267</v>
      </c>
      <c r="F11" s="101">
        <f>('Three Statements'!F33+'Three Statements'!F34+'Three Statements'!F36+'Three Statements'!F37)/(SUM('Three Statements'!F39)+'Three Statements'!F33+'Three Statements'!F34+'Three Statements'!F36+'Three Statements'!F37)</f>
        <v>0.27789759565460498</v>
      </c>
      <c r="G11" s="101">
        <f>('Three Statements'!G33+'Three Statements'!G34+'Three Statements'!G36+'Three Statements'!G37)/(SUM('Three Statements'!G39)+'Three Statements'!G33+'Three Statements'!G34+'Three Statements'!G36+'Three Statements'!G37)</f>
        <v>0.61770289511153298</v>
      </c>
      <c r="H11" s="101">
        <f>('Three Statements'!H33+'Three Statements'!H34+'Three Statements'!H36+'Three Statements'!H37)/(SUM('Three Statements'!H39)+'Three Statements'!H33+'Three Statements'!H34+'Three Statements'!H36+'Three Statements'!H37)</f>
        <v>0.50089913995308832</v>
      </c>
      <c r="I11" s="101">
        <f>('Three Statements'!I33+'Three Statements'!I34+'Three Statements'!I36+'Three Statements'!I37)/(SUM('Three Statements'!I39)+'Three Statements'!I33+'Three Statements'!I34+'Three Statements'!I36+'Three Statements'!I37)</f>
        <v>0.45245091013329514</v>
      </c>
      <c r="J11" s="122"/>
      <c r="M11" s="113">
        <f>('Three Statements'!J33+'Three Statements'!J34+'Three Statements'!J36+'Three Statements'!J37)/(SUM('Three Statements'!J39)+'Three Statements'!J33+'Three Statements'!J34+'Three Statements'!J36+'Three Statements'!J37)</f>
        <v>0.43454220356013529</v>
      </c>
      <c r="N11" s="113">
        <f>('Three Statements'!K33+'Three Statements'!K34+'Three Statements'!K36+'Three Statements'!K37)/(SUM('Three Statements'!K39)+'Three Statements'!K33+'Three Statements'!K34+'Three Statements'!K36+'Three Statements'!K37)</f>
        <v>0.42067037167389915</v>
      </c>
      <c r="O11" s="113">
        <f>('Three Statements'!L33+'Three Statements'!L34+'Three Statements'!L36+'Three Statements'!L37)/(SUM('Three Statements'!L39)+'Three Statements'!L33+'Three Statements'!L34+'Three Statements'!L36+'Three Statements'!L37)</f>
        <v>0.39850154077232947</v>
      </c>
      <c r="P11" s="113">
        <f>('Three Statements'!M33+'Three Statements'!M34+'Three Statements'!M36+'Three Statements'!M37)/(SUM('Three Statements'!M39)+'Three Statements'!M33+'Three Statements'!M34+'Three Statements'!M36+'Three Statements'!M37)</f>
        <v>0.3848436532527838</v>
      </c>
      <c r="Q11" s="113">
        <f>('Three Statements'!N33+'Three Statements'!N34+'Three Statements'!N36+'Three Statements'!N37)/(SUM('Three Statements'!N39)+'Three Statements'!N33+'Three Statements'!N34+'Three Statements'!N36+'Three Statements'!N37)</f>
        <v>0.38401057871031136</v>
      </c>
      <c r="R11" s="113"/>
      <c r="S11" s="113"/>
      <c r="T11" s="113"/>
      <c r="U11" s="113"/>
      <c r="V11" s="113"/>
      <c r="W11" s="113"/>
    </row>
    <row r="12" spans="1:24" x14ac:dyDescent="0.3">
      <c r="A12" s="90" t="s">
        <v>283</v>
      </c>
      <c r="B12" s="101">
        <f>'Three Statements'!B14/(SUM('Three Statements'!B39))</f>
        <v>0.25757456520028332</v>
      </c>
      <c r="C12" s="101">
        <f>'Three Statements'!C14/(SUM('Three Statements'!C39))</f>
        <v>0.3067384565181922</v>
      </c>
      <c r="D12" s="101">
        <f>'Three Statements'!D14/(SUM('Three Statements'!D39))</f>
        <v>0.34174256468122832</v>
      </c>
      <c r="E12" s="101">
        <f>'Three Statements'!E14/(SUM('Three Statements'!E39))</f>
        <v>0.19700366897676314</v>
      </c>
      <c r="F12" s="101">
        <f>'Three Statements'!F14/(SUM('Three Statements'!F39))</f>
        <v>0.44568584070796458</v>
      </c>
      <c r="G12" s="101">
        <f>'Three Statements'!G14/(SUM('Three Statements'!G39))</f>
        <v>0.31520794537554314</v>
      </c>
      <c r="H12" s="101">
        <f>'Three Statements'!H14/(SUM('Three Statements'!H39))</f>
        <v>0.44857836610010182</v>
      </c>
      <c r="I12" s="101">
        <f>'Three Statements'!I14/(SUM('Three Statements'!I39))</f>
        <v>0.3956547346377855</v>
      </c>
      <c r="J12" s="122"/>
      <c r="M12" s="113">
        <f>'Three Statements'!J14/(SUM('Three Statements'!J39))</f>
        <v>0.34096322160062364</v>
      </c>
      <c r="N12" s="113">
        <f>'Three Statements'!K14/(SUM('Three Statements'!K39))</f>
        <v>0.37703779804060383</v>
      </c>
      <c r="O12" s="113">
        <f>'Three Statements'!L14/(SUM('Three Statements'!L39))</f>
        <v>0.42922831910610693</v>
      </c>
      <c r="P12" s="113">
        <f>'Three Statements'!M14/(SUM('Three Statements'!M39))</f>
        <v>0.4614713898997605</v>
      </c>
      <c r="Q12" s="113">
        <f>'Three Statements'!N14/(SUM('Three Statements'!N39))</f>
        <v>0.46497019129554934</v>
      </c>
      <c r="R12" s="113"/>
      <c r="S12" s="113"/>
      <c r="T12" s="113"/>
      <c r="U12" s="113"/>
      <c r="V12" s="113"/>
      <c r="W12" s="113"/>
    </row>
    <row r="15" spans="1:24" x14ac:dyDescent="0.3">
      <c r="B15" s="120" t="s">
        <v>296</v>
      </c>
      <c r="J15" s="122"/>
    </row>
    <row r="16" spans="1:24" x14ac:dyDescent="0.3">
      <c r="A16" s="90" t="s">
        <v>282</v>
      </c>
      <c r="B16" s="94">
        <f>'Three Statements'!B54</f>
        <v>5004</v>
      </c>
      <c r="C16" s="94">
        <f>'Three Statements'!C54</f>
        <v>3006</v>
      </c>
      <c r="D16" s="94">
        <f>'Three Statements'!D54</f>
        <v>2949</v>
      </c>
      <c r="E16" s="94">
        <f>'Three Statements'!E54</f>
        <v>3648</v>
      </c>
      <c r="F16" s="94">
        <f>'Three Statements'!F54</f>
        <v>2724</v>
      </c>
      <c r="G16" s="94">
        <f>'Three Statements'!G54</f>
        <v>857</v>
      </c>
      <c r="H16" s="94">
        <f>'Three Statements'!H54</f>
        <v>4889</v>
      </c>
      <c r="I16" s="94">
        <f>'Three Statements'!I54</f>
        <v>4046</v>
      </c>
      <c r="J16" s="94"/>
      <c r="M16" s="94">
        <f>'Three Statements'!J54</f>
        <v>8759.8152806125872</v>
      </c>
      <c r="N16" s="94">
        <f>'Three Statements'!K54</f>
        <v>8559.5508333307171</v>
      </c>
      <c r="O16" s="94">
        <f>'Three Statements'!L54</f>
        <v>10434.758718320873</v>
      </c>
      <c r="P16" s="94">
        <f>'Three Statements'!M54</f>
        <v>11775.832457768265</v>
      </c>
      <c r="Q16" s="94">
        <f>'Three Statements'!N54</f>
        <v>12214.814553176957</v>
      </c>
      <c r="R16" s="117">
        <f>Q16*(1+R17)</f>
        <v>12825.555280835806</v>
      </c>
      <c r="S16" s="117">
        <f t="shared" ref="S16:V16" si="8">R16*(1+S17)</f>
        <v>13466.833044877598</v>
      </c>
      <c r="T16" s="117">
        <f t="shared" si="8"/>
        <v>14140.174697121478</v>
      </c>
      <c r="U16" s="117">
        <f t="shared" si="8"/>
        <v>14847.183431977552</v>
      </c>
      <c r="V16" s="117">
        <f t="shared" si="8"/>
        <v>15589.54260357643</v>
      </c>
      <c r="W16" s="117">
        <f>(V16*(1+W17))/(W19-W17)</f>
        <v>216989.57948221252</v>
      </c>
      <c r="X16" s="140" t="s">
        <v>300</v>
      </c>
    </row>
    <row r="17" spans="1:27" s="98" customFormat="1" ht="12" x14ac:dyDescent="0.25">
      <c r="A17" s="99" t="s">
        <v>21</v>
      </c>
      <c r="B17" s="100" t="str">
        <f>IFERROR((B16-A16)/(A16), "nm")</f>
        <v>nm</v>
      </c>
      <c r="C17" s="100">
        <f t="shared" ref="C17:H17" si="9">IFERROR((C16-B16)/(B16), "nm")</f>
        <v>-0.39928057553956836</v>
      </c>
      <c r="D17" s="100">
        <f t="shared" si="9"/>
        <v>-1.8962075848303395E-2</v>
      </c>
      <c r="E17" s="100">
        <f t="shared" si="9"/>
        <v>0.23702950152594099</v>
      </c>
      <c r="F17" s="100">
        <f t="shared" si="9"/>
        <v>-0.25328947368421051</v>
      </c>
      <c r="G17" s="100">
        <f t="shared" si="9"/>
        <v>-0.68538913362701914</v>
      </c>
      <c r="H17" s="100">
        <f t="shared" si="9"/>
        <v>4.7047841306884477</v>
      </c>
      <c r="I17" s="100">
        <f>IFERROR((I16-H16)/(H16), "nm")</f>
        <v>-0.17242789936592351</v>
      </c>
      <c r="J17" s="100"/>
      <c r="K17" s="100"/>
      <c r="L17" s="100"/>
      <c r="M17" s="100">
        <f>IFERROR((M16-I16)/(I16), "nm")</f>
        <v>1.1650556798350438</v>
      </c>
      <c r="N17" s="100">
        <f t="shared" ref="N17" si="10">IFERROR((N16-M16)/(M16), "nm")</f>
        <v>-2.2861720352151692E-2</v>
      </c>
      <c r="O17" s="100">
        <f t="shared" ref="O17" si="11">IFERROR((O16-N16)/(N16), "nm")</f>
        <v>0.21907783731923572</v>
      </c>
      <c r="P17" s="100">
        <f t="shared" ref="P17" si="12">IFERROR((P16-O16)/(O16), "nm")</f>
        <v>0.12851986094252441</v>
      </c>
      <c r="Q17" s="100">
        <f t="shared" ref="Q17" si="13">IFERROR((Q16-P16)/(P16), "nm")</f>
        <v>3.7278221899217381E-2</v>
      </c>
      <c r="R17" s="127">
        <v>0.05</v>
      </c>
      <c r="S17" s="127">
        <v>0.05</v>
      </c>
      <c r="T17" s="127">
        <v>0.05</v>
      </c>
      <c r="U17" s="127">
        <v>0.05</v>
      </c>
      <c r="V17" s="127">
        <v>0.05</v>
      </c>
      <c r="W17" s="127">
        <v>0.03</v>
      </c>
      <c r="X17" s="142" t="s">
        <v>301</v>
      </c>
    </row>
    <row r="18" spans="1:27" s="98" customFormat="1" x14ac:dyDescent="0.3">
      <c r="A18" s="132" t="s">
        <v>306</v>
      </c>
      <c r="B18" s="133">
        <f>(B16/(1+B19))</f>
        <v>5002.9044259854973</v>
      </c>
      <c r="C18" s="133">
        <f>(C16/(1+C19)^2)</f>
        <v>2680.1672799921171</v>
      </c>
      <c r="D18" s="133">
        <f>(D16/(1+D19)^3)</f>
        <v>2339.8556995135446</v>
      </c>
      <c r="E18" s="133">
        <f>(E16/(1+E19)^4)</f>
        <v>3987.203926491185</v>
      </c>
      <c r="F18" s="133">
        <f>(F16/(1+F19)^5)</f>
        <v>1334.0847379280551</v>
      </c>
      <c r="G18" s="133">
        <f>(G16/(1+G19)^6)</f>
        <v>616.86839669842277</v>
      </c>
      <c r="H18" s="133">
        <f>(H16/(1+H19)^7)</f>
        <v>2129.2498342286508</v>
      </c>
      <c r="I18" s="133">
        <f>(I16/(1+I19)^8)</f>
        <v>1868.2156889508215</v>
      </c>
      <c r="J18" s="133"/>
      <c r="K18" s="133"/>
      <c r="L18" s="133"/>
      <c r="M18" s="133">
        <f>(M16/(1+M19)^9)</f>
        <v>3595.6158624798518</v>
      </c>
      <c r="N18" s="133">
        <f>(N16/(1+N19)^10)</f>
        <v>3182.4401251250692</v>
      </c>
      <c r="O18" s="133">
        <f>(O16/(1+O19)^11)</f>
        <v>3514.168682187887</v>
      </c>
      <c r="P18" s="133">
        <f>(P16/(1+P19)^12)</f>
        <v>3592.2184352819277</v>
      </c>
      <c r="Q18" s="133">
        <f>(Q16/(1+Q19)^13)</f>
        <v>3375.1177094409659</v>
      </c>
      <c r="R18" s="133">
        <f>(R16/(1+R19)^14)</f>
        <v>3210.030430174832</v>
      </c>
      <c r="S18" s="133">
        <f>(S16/(1+S19)^15)</f>
        <v>3053.0180721771508</v>
      </c>
      <c r="T18" s="133">
        <f>(T16/(1+T19)^16)</f>
        <v>2903.685666472833</v>
      </c>
      <c r="U18" s="133">
        <f>(U16/(1+U19)^17)</f>
        <v>2761.6575632214444</v>
      </c>
      <c r="V18" s="133">
        <f>(V16/(1+V19)^18)</f>
        <v>2626.5764867595262</v>
      </c>
      <c r="W18" s="133">
        <f>(W16/(1+W19)^19)</f>
        <v>33115.131479660107</v>
      </c>
      <c r="X18" s="134"/>
      <c r="Y18" s="134"/>
      <c r="Z18" s="134"/>
      <c r="AA18" s="134"/>
    </row>
    <row r="19" spans="1:27" x14ac:dyDescent="0.3">
      <c r="A19" s="90" t="s">
        <v>281</v>
      </c>
      <c r="B19" s="123">
        <f>((SUM('Three Statements'!B39))/(SUM('Three Statements'!B39)+('Three Statements'!B33+'Three Statements'!B34+'Three Statements'!B36+'Three Statements'!B37)))*B21+((('Three Statements'!B33+'Three Statements'!B34+'Three Statements'!B36+'Three Statements'!B37))/(SUM('Three Statements'!B39)+('Three Statements'!B33+'Three Statements'!B34+'Three Statements'!B36+'Three Statements'!B37)))*B24*(1-'Three Statements'!B13)</f>
        <v>2.1898759624754973E-4</v>
      </c>
      <c r="C19" s="123">
        <f>((SUM('Three Statements'!C39))/(SUM('Three Statements'!C39)+('Three Statements'!C33+'Three Statements'!C34+'Three Statements'!C36+'Three Statements'!C37)))*C21+((('Three Statements'!C33+'Three Statements'!C34+'Three Statements'!C36+'Three Statements'!C37))/(SUM('Three Statements'!C39)+('Three Statements'!C33+'Three Statements'!C34+'Three Statements'!C36+'Three Statements'!C37)))*C24*(1-'Three Statements'!C13)</f>
        <v>5.9042862626837077E-2</v>
      </c>
      <c r="D19" s="123">
        <f>((SUM('Three Statements'!D39))/(SUM('Three Statements'!D39)+('Three Statements'!D33+'Three Statements'!D34+'Three Statements'!D36+'Three Statements'!D37)))*D21+((('Three Statements'!D33+'Three Statements'!D34+'Three Statements'!D36+'Three Statements'!D37))/(SUM('Three Statements'!D39)+('Three Statements'!D33+'Three Statements'!D34+'Three Statements'!D36+'Three Statements'!D37)))*D24*(1-'Three Statements'!D13)</f>
        <v>8.01777631271232E-2</v>
      </c>
      <c r="E19" s="123">
        <f>((SUM('Three Statements'!E39))/(SUM('Three Statements'!E39)+('Three Statements'!E33+'Three Statements'!E34+'Three Statements'!E36+'Three Statements'!E37)))*E21+((('Three Statements'!E33+'Three Statements'!E34+'Three Statements'!E36+'Three Statements'!E37))/(SUM('Three Statements'!E39)+('Three Statements'!E33+'Three Statements'!E34+'Three Statements'!E36+'Three Statements'!E37)))*E24*(1-'Three Statements'!E13)</f>
        <v>-2.1982568692263366E-2</v>
      </c>
      <c r="F19" s="123">
        <f>((SUM('Three Statements'!F39))/(SUM('Three Statements'!F39)+('Three Statements'!F33+'Three Statements'!F34+'Three Statements'!F36+'Three Statements'!F37)))*F21+((('Three Statements'!F33+'Three Statements'!F34+'Three Statements'!F36+'Three Statements'!F37))/(SUM('Three Statements'!F39)+('Three Statements'!F33+'Three Statements'!F34+'Three Statements'!F36+'Three Statements'!F37)))*F24*(1-'Three Statements'!F13)</f>
        <v>0.15346584028795957</v>
      </c>
      <c r="G19" s="123">
        <f>((SUM('Three Statements'!G39))/(SUM('Three Statements'!G39)+('Three Statements'!G33+'Three Statements'!G34+'Three Statements'!G36+'Three Statements'!G37)))*G21+((('Three Statements'!G33+'Three Statements'!G34+'Three Statements'!G36+'Three Statements'!G37))/(SUM('Three Statements'!G39)+('Three Statements'!G33+'Three Statements'!G34+'Three Statements'!G36+'Three Statements'!G37)))*G24*(1-'Three Statements'!G13)</f>
        <v>5.632619618204053E-2</v>
      </c>
      <c r="H19" s="123">
        <f>((SUM('Three Statements'!H39))/(SUM('Three Statements'!H39)+('Three Statements'!H33+'Three Statements'!H34+'Three Statements'!H36+'Three Statements'!H37)))*H21+((('Three Statements'!H33+'Three Statements'!H34+'Three Statements'!H36+'Three Statements'!H37))/(SUM('Three Statements'!H39)+('Three Statements'!H33+'Three Statements'!H34+'Three Statements'!H36+'Three Statements'!H37)))*H24*(1-'Three Statements'!H13)</f>
        <v>0.12608322225907775</v>
      </c>
      <c r="I19" s="123">
        <f>((SUM('Three Statements'!I39))/(SUM('Three Statements'!I39)+('Three Statements'!I33+'Three Statements'!I34+'Three Statements'!I36+'Three Statements'!I37)))*I21+((('Three Statements'!I33+'Three Statements'!I34+'Three Statements'!I36+'Three Statements'!I37))/(SUM('Three Statements'!I39)+('Three Statements'!I33+'Three Statements'!I34+'Three Statements'!I36+'Three Statements'!I37)))*I24*(1-'Three Statements'!I13)</f>
        <v>0.10141213717236222</v>
      </c>
      <c r="J19" s="122"/>
      <c r="K19" s="128"/>
      <c r="L19" s="140" t="s">
        <v>302</v>
      </c>
      <c r="M19" s="135">
        <v>0.104</v>
      </c>
      <c r="N19" s="135">
        <v>0.104</v>
      </c>
      <c r="O19" s="135">
        <v>0.104</v>
      </c>
      <c r="P19" s="135">
        <v>0.104</v>
      </c>
      <c r="Q19" s="135">
        <v>0.104</v>
      </c>
      <c r="R19" s="135">
        <v>0.104</v>
      </c>
      <c r="S19" s="135">
        <v>0.104</v>
      </c>
      <c r="T19" s="135">
        <v>0.104</v>
      </c>
      <c r="U19" s="135">
        <v>0.104</v>
      </c>
      <c r="V19" s="135">
        <v>0.104</v>
      </c>
      <c r="W19" s="135">
        <v>0.104</v>
      </c>
    </row>
    <row r="20" spans="1:27" x14ac:dyDescent="0.3">
      <c r="A20" s="96" t="s">
        <v>280</v>
      </c>
      <c r="B20" s="90">
        <v>0.80710000000000004</v>
      </c>
      <c r="C20" s="90">
        <v>0.62080000000000002</v>
      </c>
      <c r="D20" s="90">
        <v>0.43830000000000002</v>
      </c>
      <c r="E20" s="90">
        <v>0.67949999999999999</v>
      </c>
      <c r="F20" s="90">
        <v>0.69140000000000001</v>
      </c>
      <c r="G20" s="90">
        <v>0.83499999999999996</v>
      </c>
      <c r="H20" s="90">
        <v>0.86209999999999998</v>
      </c>
      <c r="I20" s="90">
        <v>1.44</v>
      </c>
      <c r="J20" s="122"/>
      <c r="K20" s="118"/>
      <c r="L20" s="147" t="s">
        <v>307</v>
      </c>
    </row>
    <row r="21" spans="1:27" x14ac:dyDescent="0.3">
      <c r="A21" s="96" t="s">
        <v>279</v>
      </c>
      <c r="B21" s="95">
        <f>B22+B20*(B23-B22)</f>
        <v>-1.4744200000000006E-3</v>
      </c>
      <c r="C21" s="95">
        <f t="shared" ref="C21:H21" si="14">C22+C20*(C23-C22)</f>
        <v>6.7680480000000001E-2</v>
      </c>
      <c r="D21" s="95">
        <f t="shared" si="14"/>
        <v>0.10062078000000002</v>
      </c>
      <c r="E21" s="95">
        <f t="shared" si="14"/>
        <v>-3.2978099999999996E-2</v>
      </c>
      <c r="F21" s="95">
        <f t="shared" si="14"/>
        <v>0.20797766000000004</v>
      </c>
      <c r="G21" s="95">
        <f t="shared" si="14"/>
        <v>0.13761899999999999</v>
      </c>
      <c r="H21" s="95">
        <f t="shared" si="14"/>
        <v>0.23497659999999998</v>
      </c>
      <c r="I21" s="95">
        <f>I22+I20*(I23-I22)</f>
        <v>0.17301599999999998</v>
      </c>
      <c r="J21" s="95"/>
      <c r="K21" s="96"/>
      <c r="L21" s="96"/>
      <c r="M21" s="95"/>
      <c r="N21" s="95"/>
      <c r="O21" s="95"/>
      <c r="P21" s="95"/>
      <c r="Q21" s="95"/>
      <c r="R21" s="95"/>
      <c r="S21" s="95"/>
      <c r="T21" s="95"/>
      <c r="U21" s="95"/>
      <c r="V21" s="95"/>
      <c r="W21" s="95"/>
    </row>
    <row r="22" spans="1:27" x14ac:dyDescent="0.3">
      <c r="A22" s="96" t="s">
        <v>278</v>
      </c>
      <c r="B22" s="124">
        <v>2.29E-2</v>
      </c>
      <c r="C22" s="123">
        <v>2.23E-2</v>
      </c>
      <c r="D22" s="123">
        <v>2.76E-2</v>
      </c>
      <c r="E22" s="123">
        <v>2.9399999999999999E-2</v>
      </c>
      <c r="F22" s="123">
        <v>2.69E-2</v>
      </c>
      <c r="G22" s="123">
        <v>1.12E-2</v>
      </c>
      <c r="H22" s="123">
        <v>2.29E-2</v>
      </c>
      <c r="I22" s="124">
        <v>2.7E-2</v>
      </c>
      <c r="J22" s="126"/>
      <c r="K22" s="97"/>
      <c r="L22" s="97"/>
      <c r="M22" s="119"/>
      <c r="N22" s="95"/>
      <c r="O22" s="95"/>
      <c r="P22" s="95"/>
      <c r="Q22" s="95"/>
      <c r="R22" s="95"/>
      <c r="S22" s="95"/>
      <c r="T22" s="95"/>
      <c r="U22" s="95"/>
      <c r="V22" s="95"/>
      <c r="W22" s="95"/>
    </row>
    <row r="23" spans="1:27" x14ac:dyDescent="0.3">
      <c r="A23" s="96" t="s">
        <v>277</v>
      </c>
      <c r="B23" s="124">
        <v>-7.3000000000000001E-3</v>
      </c>
      <c r="C23" s="123">
        <v>9.5399999999999999E-2</v>
      </c>
      <c r="D23" s="123">
        <v>0.19420000000000001</v>
      </c>
      <c r="E23" s="123">
        <v>-6.2399999999999997E-2</v>
      </c>
      <c r="F23" s="123">
        <f>0.2888</f>
        <v>0.2888</v>
      </c>
      <c r="G23" s="123">
        <v>0.16259999999999999</v>
      </c>
      <c r="H23" s="123">
        <v>0.26889999999999997</v>
      </c>
      <c r="I23" s="124">
        <v>0.12839999999999999</v>
      </c>
      <c r="J23" s="126"/>
      <c r="K23" s="125"/>
      <c r="L23" s="125"/>
      <c r="M23" s="124">
        <v>0.20949999999999999</v>
      </c>
      <c r="N23" s="95"/>
      <c r="O23" s="95"/>
      <c r="P23" s="95"/>
      <c r="Q23" s="95"/>
      <c r="R23" s="95"/>
      <c r="S23" s="95"/>
      <c r="T23" s="95"/>
      <c r="U23" s="95"/>
      <c r="V23" s="95"/>
      <c r="W23" s="95"/>
    </row>
    <row r="24" spans="1:27" x14ac:dyDescent="0.3">
      <c r="A24" s="96" t="s">
        <v>276</v>
      </c>
      <c r="B24" s="95">
        <f>'Three Statements'!B10/('Three Statements'!B33+'Three Statements'!B34+'Three Statements'!B36+'Three Statements'!B37)</f>
        <v>2.2222222222222223E-2</v>
      </c>
      <c r="C24" s="95">
        <f>'Three Statements'!C10/('Three Statements'!C33+'Three Statements'!C34+'Three Statements'!C36+'Three Statements'!C37)</f>
        <v>9.2457420924574214E-3</v>
      </c>
      <c r="D24" s="95">
        <f>'Three Statements'!D10/('Three Statements'!D33+'Three Statements'!D34+'Three Statements'!D36+'Three Statements'!D37)</f>
        <v>1.551814834297738E-2</v>
      </c>
      <c r="E24" s="95">
        <f>'Three Statements'!E10/('Three Statements'!E33+'Three Statements'!E34+'Three Statements'!E36+'Three Statements'!E37)</f>
        <v>1.4173228346456693E-2</v>
      </c>
      <c r="F24" s="95">
        <f>'Three Statements'!F10/('Three Statements'!F33+'Three Statements'!F34+'Three Statements'!F36+'Three Statements'!F37)</f>
        <v>1.4084507042253521E-2</v>
      </c>
      <c r="G24" s="95">
        <f>'Three Statements'!G10/('Three Statements'!G33+'Three Statements'!G34+'Three Statements'!G36+'Three Statements'!G37)</f>
        <v>6.8382635420668461E-3</v>
      </c>
      <c r="H24" s="95">
        <f>'Three Statements'!H10/('Three Statements'!H33+'Three Statements'!H34+'Three Statements'!H36+'Three Statements'!H37)</f>
        <v>2.0447982517755404E-2</v>
      </c>
      <c r="I24" s="95">
        <f>'Three Statements'!I10/('Three Statements'!I33+'Three Statements'!I34+'Three Statements'!I36+'Three Statements'!I37)</f>
        <v>1.623505187297062E-2</v>
      </c>
      <c r="J24" s="95"/>
      <c r="M24" s="95"/>
      <c r="N24" s="95"/>
      <c r="O24" s="95"/>
      <c r="P24" s="95"/>
      <c r="Q24" s="95"/>
      <c r="R24" s="95"/>
      <c r="S24" s="95"/>
      <c r="T24" s="95"/>
      <c r="U24" s="95"/>
      <c r="V24" s="95"/>
      <c r="W24" s="95"/>
    </row>
    <row r="25" spans="1:27" x14ac:dyDescent="0.3">
      <c r="A25" s="96" t="s">
        <v>275</v>
      </c>
      <c r="B25" s="95">
        <f>('Three Statements'!B33+'Three Statements'!B34+'Three Statements'!B36+'Three Statements'!B37)/(SUM('Three Statements'!B39))</f>
        <v>9.9157944440072407E-2</v>
      </c>
      <c r="C25" s="95">
        <f>('Three Statements'!C33+'Three Statements'!C34+'Three Statements'!C36+'Three Statements'!C37)/(SUM('Three Statements'!C39))</f>
        <v>0.1676456191874694</v>
      </c>
      <c r="D25" s="95">
        <f>('Three Statements'!D33+'Three Statements'!D34+'Three Statements'!D36+'Three Statements'!D37)/(SUM('Three Statements'!D39))</f>
        <v>0.30643991295236561</v>
      </c>
      <c r="E25" s="95">
        <f>('Three Statements'!E33+'Three Statements'!E34+'Three Statements'!E36+'Three Statements'!E37)/(SUM('Three Statements'!E39))</f>
        <v>0.38830004076640851</v>
      </c>
      <c r="F25" s="95">
        <f>('Three Statements'!F33+'Three Statements'!F34+'Three Statements'!F36+'Three Statements'!F37)/(SUM('Three Statements'!F39))</f>
        <v>0.38484513274336285</v>
      </c>
      <c r="G25" s="95">
        <f>('Three Statements'!G33+'Three Statements'!G34+'Three Statements'!G36+'Three Statements'!G37)/(SUM('Three Statements'!G39))</f>
        <v>1.6157666045934203</v>
      </c>
      <c r="H25" s="95">
        <f>('Three Statements'!H33+'Three Statements'!H34+'Three Statements'!H36+'Three Statements'!H37)/(SUM('Three Statements'!H39))</f>
        <v>1.0036030390851414</v>
      </c>
      <c r="I25" s="95">
        <f>('Three Statements'!I33+'Three Statements'!I34+'Three Statements'!I36+'Three Statements'!I37)/(SUM('Three Statements'!I39))</f>
        <v>0.82632026699823313</v>
      </c>
      <c r="J25" s="122"/>
      <c r="M25" s="95"/>
      <c r="N25" s="95"/>
      <c r="O25" s="95"/>
      <c r="P25" s="95"/>
      <c r="Q25" s="95"/>
      <c r="R25" s="95"/>
      <c r="S25" s="95"/>
      <c r="T25" s="95"/>
      <c r="U25" s="95"/>
      <c r="V25" s="95"/>
      <c r="W25" s="95"/>
    </row>
    <row r="26" spans="1:27" x14ac:dyDescent="0.3">
      <c r="A26" s="90" t="s">
        <v>274</v>
      </c>
      <c r="M26" s="94"/>
      <c r="N26" s="94"/>
      <c r="O26" s="94"/>
      <c r="P26" s="94"/>
      <c r="Q26" s="94"/>
    </row>
    <row r="27" spans="1:27" ht="15" thickBot="1" x14ac:dyDescent="0.35">
      <c r="M27" s="94"/>
      <c r="N27" s="94"/>
      <c r="O27" s="94"/>
      <c r="P27" s="94"/>
      <c r="Q27" s="94"/>
    </row>
    <row r="28" spans="1:27" x14ac:dyDescent="0.3">
      <c r="A28" s="129" t="s">
        <v>298</v>
      </c>
      <c r="B28" s="136">
        <f>SUM(M18:V18)</f>
        <v>31814.529033321487</v>
      </c>
      <c r="C28" s="116"/>
      <c r="D28" s="140" t="s">
        <v>303</v>
      </c>
      <c r="M28" s="94"/>
      <c r="N28" s="94"/>
      <c r="O28" s="94"/>
      <c r="P28" s="94"/>
      <c r="Q28" s="94"/>
    </row>
    <row r="29" spans="1:27" x14ac:dyDescent="0.3">
      <c r="A29" s="93" t="s">
        <v>273</v>
      </c>
      <c r="B29" s="137">
        <f>W18</f>
        <v>33115.131479660107</v>
      </c>
      <c r="C29" s="116"/>
      <c r="D29" s="140" t="s">
        <v>304</v>
      </c>
      <c r="M29" s="94"/>
      <c r="N29" s="94"/>
      <c r="O29" s="94"/>
      <c r="P29" s="94"/>
      <c r="Q29" s="94"/>
    </row>
    <row r="30" spans="1:27" x14ac:dyDescent="0.3">
      <c r="A30" s="93" t="s">
        <v>272</v>
      </c>
      <c r="B30" s="138">
        <f>B28+B29</f>
        <v>64929.660512981594</v>
      </c>
      <c r="C30" s="116"/>
      <c r="D30" s="141" t="s">
        <v>305</v>
      </c>
      <c r="E30" s="116"/>
    </row>
    <row r="31" spans="1:27" x14ac:dyDescent="0.3">
      <c r="A31" s="93" t="s">
        <v>271</v>
      </c>
      <c r="B31" s="92">
        <f>('Three Statements'!B33+'Three Statements'!B34+'Three Statements'!B36+'Three Statements'!B37)</f>
        <v>1260</v>
      </c>
      <c r="D31" s="141" t="s">
        <v>305</v>
      </c>
      <c r="H31" s="130"/>
    </row>
    <row r="32" spans="1:27" x14ac:dyDescent="0.3">
      <c r="A32" s="93" t="s">
        <v>270</v>
      </c>
      <c r="B32" s="137">
        <f>B30-B31</f>
        <v>63669.660512981594</v>
      </c>
      <c r="C32" s="131"/>
      <c r="D32" s="141" t="s">
        <v>305</v>
      </c>
    </row>
    <row r="33" spans="1:4" ht="15" thickBot="1" x14ac:dyDescent="0.35">
      <c r="A33" s="91" t="s">
        <v>269</v>
      </c>
      <c r="B33" s="139">
        <f>B32/'Three Statements'!J15</f>
        <v>40.179859505452853</v>
      </c>
      <c r="C33" s="114"/>
      <c r="D33" s="141" t="s">
        <v>305</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2024-01-03T20:19:51Z</dcterms:modified>
</cp:coreProperties>
</file>