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E19ABDE-3BC3-476F-8FCC-C418C8AA48C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J31" i="3"/>
  <c r="I31" i="3"/>
  <c r="H31" i="3"/>
  <c r="D28" i="3"/>
  <c r="E28" i="3"/>
  <c r="C28" i="3"/>
  <c r="D12" i="3"/>
  <c r="E12" i="3"/>
  <c r="C12" i="3"/>
  <c r="D8" i="3"/>
  <c r="E8" i="3"/>
  <c r="C8" i="3"/>
  <c r="I8" i="3"/>
  <c r="J8" i="3"/>
  <c r="H8" i="3"/>
  <c r="D29" i="3"/>
  <c r="E29" i="3"/>
  <c r="C29" i="3"/>
  <c r="E46" i="3"/>
  <c r="D46" i="3"/>
  <c r="C46" i="3"/>
  <c r="D44" i="3"/>
  <c r="E44" i="3"/>
  <c r="C44" i="3"/>
  <c r="D50" i="3"/>
  <c r="E50" i="3"/>
  <c r="C50" i="3"/>
  <c r="D51" i="3"/>
  <c r="E51" i="3"/>
  <c r="C51" i="3"/>
  <c r="D49" i="3"/>
  <c r="E49" i="3"/>
  <c r="C49" i="3"/>
  <c r="C48" i="3"/>
  <c r="D48" i="3"/>
  <c r="E48" i="3"/>
  <c r="D47" i="3"/>
  <c r="E47" i="3"/>
  <c r="C47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D27" i="3"/>
  <c r="E27" i="3"/>
  <c r="C27" i="3"/>
  <c r="D26" i="3"/>
  <c r="E26" i="3"/>
  <c r="C26" i="3"/>
  <c r="D25" i="3"/>
  <c r="E25" i="3"/>
  <c r="C25" i="3"/>
  <c r="D22" i="3"/>
  <c r="E22" i="3"/>
  <c r="C22" i="3"/>
  <c r="C17" i="3"/>
  <c r="D20" i="3"/>
  <c r="E20" i="3"/>
  <c r="C20" i="3"/>
  <c r="D19" i="3"/>
  <c r="D18" i="3" s="1"/>
  <c r="E19" i="3"/>
  <c r="C19" i="3"/>
  <c r="D21" i="3"/>
  <c r="E21" i="3"/>
  <c r="C21" i="3"/>
  <c r="E18" i="3"/>
  <c r="C18" i="3"/>
  <c r="D17" i="3"/>
  <c r="E17" i="3"/>
  <c r="D13" i="3"/>
  <c r="E13" i="3"/>
  <c r="C13" i="3"/>
  <c r="D14" i="3"/>
  <c r="E14" i="3"/>
  <c r="C14" i="3"/>
  <c r="D11" i="3"/>
  <c r="E11" i="3"/>
  <c r="C11" i="3"/>
  <c r="D10" i="3"/>
  <c r="E10" i="3"/>
  <c r="C10" i="3"/>
  <c r="D9" i="3"/>
  <c r="E9" i="3"/>
  <c r="C9" i="3"/>
  <c r="D7" i="3"/>
  <c r="E7" i="3"/>
  <c r="C7" i="3"/>
  <c r="D5" i="3"/>
  <c r="E5" i="3"/>
  <c r="C5" i="3"/>
  <c r="D6" i="3"/>
  <c r="E6" i="3"/>
  <c r="C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<sst xmlns="http://schemas.openxmlformats.org/spreadsheetml/2006/main" count="195" uniqueCount="171">
  <si>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</si>
  <si>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</si>
  <si>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</si>
  <si>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</si>
  <si>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</si>
  <si>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</si>
  <si>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</si>
  <si>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</si>
  <si>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</si>
  <si>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</si>
  <si>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</si>
  <si>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</si>
  <si>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</si>
  <si>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</si>
  <si>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</si>
  <si>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</si>
  <si>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</si>
  <si>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</si>
  <si>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</si>
  <si>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</si>
  <si>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</si>
  <si>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</si>
  <si>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</si>
  <si>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</si>
  <si>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</si>
  <si>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</si>
  <si>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</si>
  <si>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</si>
  <si>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</si>
  <si>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</si>
  <si>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</si>
  <si>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</si>
  <si>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</si>
  <si>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</si>
  <si>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</si>
  <si>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</si>
  <si>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</si>
  <si>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</si>
  <si>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</si>
  <si>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</si>
  <si>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</si>
  <si>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</si>
  <si>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</si>
  <si>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</si>
  <si>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</si>
  <si>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</si>
  <si>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</si>
  <si>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</si>
  <si>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</si>
  <si>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</si>
  <si>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</si>
  <si>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</si>
  <si>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</si>
  <si>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</si>
  <si>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</si>
  <si>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</si>
  <si>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</si>
  <si>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</si>
  <si>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</si>
  <si>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</si>
  <si>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</si>
  <si>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</si>
  <si>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</si>
  <si>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</si>
  <si>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</si>
  <si>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</si>
  <si>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</si>
  <si>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</si>
  <si>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</si>
  <si>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</si>
  <si>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</si>
  <si>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</si>
  <si>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</si>
  <si>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</si>
  <si>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</si>
  <si>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</si>
  <si>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</si>
  <si>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</si>
  <si>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</si>
  <si>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</si>
  <si>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</si>
  <si>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</si>
  <si>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</si>
  <si>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</si>
  <si>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</si>
  <si>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</si>
  <si>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</si>
  <si>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</si>
  <si>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</si>
  <si>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</si>
  <si>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</si>
  <si>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</si>
  <si>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</si>
  <si>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</si>
  <si>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</si>
  <si>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</si>
  <si>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</si>
  <si>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</si>
  <si>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</si>
  <si>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</si>
  <si>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</si>
  <si>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</si>
  <si>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</si>
  <si>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</si>
  <si>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</si>
  <si>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</si>
  <si>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</si>
  <si>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</si>
  <si>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</si>
  <si>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</si>
  <si>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</si>
  <si>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</si>
  <si>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</si>
  <si>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</si>
  <si>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</si>
  <si>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</si>
  <si>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</si>
  <si>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</si>
  <si>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</si>
  <si>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</si>
  <si>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</si>
  <si>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</si>
  <si>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</si>
  <si>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</si>
  <si>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</si>
  <si>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</si>
  <si>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</si>
  <si>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</si>
  <si>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</si>
  <si>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</si>
  <si>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</si>
  <si>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</si>
  <si>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</si>
  <si>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</si>
  <si>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</si>
  <si>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</si>
  <si>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</si>
  <si>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</si>
  <si>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</si>
  <si>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</si>
  <si>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</si>
  <si>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</si>
  <si>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</si>
  <si>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</si>
  <si>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</si>
  <si>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</si>
  <si>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</si>
  <si>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</si>
  <si>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</si>
  <si>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</si>
  <si>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shares outstanding = </t>
  </si>
  <si>
    <t>market Cap =</t>
  </si>
  <si>
    <t xml:space="preserve">daily opreational expenses = </t>
  </si>
  <si>
    <t>Capex=</t>
  </si>
  <si>
    <t>Inventory Days + Receivable days - payable days</t>
  </si>
  <si>
    <t>Inventory + Receivables  - payables or Current assets - current liabilities</t>
  </si>
  <si>
    <t>Operating Income + Depreciation &amp; Amortization (can be found in cash flow statement)</t>
  </si>
  <si>
    <t>Operating income in row 18</t>
  </si>
  <si>
    <t>Net income/Revenue</t>
  </si>
  <si>
    <t>FCFE/Diluted number of shares</t>
  </si>
  <si>
    <t>Net Operating Income/ (Interest + Debt repayment) , debt repayment can be found in cash flow statement</t>
  </si>
  <si>
    <t>Net income/ Diluted number of Shares (note that the share count is in absolute number and income statement is in millions, therefore divide the shares by 1000)</t>
  </si>
  <si>
    <t>Total shareholder equity/ Diluted number of Shares (note that the share count is in absolute number and income statement is in millions, therefore divide the shares by 1000)</t>
  </si>
  <si>
    <t>Dividend Paid (can be found in cash flow)/ Diluted number of Shares (note that the share count is in absolute number and income statement is in millions, therefore divide the shares by 1000)</t>
  </si>
  <si>
    <t>EBIT / Capital Employed where Capital employed = Total shareholder equity + Term debt (under non-current liability)</t>
  </si>
  <si>
    <t>EBIT /Total Shareholder Equity</t>
  </si>
  <si>
    <t>Neti income/Total assets</t>
  </si>
  <si>
    <t>Market Cap + Total Debt - (Cash + Cash Equivalents), where Market Cap= Share price*Diluted number of shares/1000</t>
  </si>
  <si>
    <t>Capex can be found in ash flow (purchase of property plant and equipment) Debt issued should be net of repayments</t>
  </si>
  <si>
    <t>Feedback</t>
  </si>
  <si>
    <t>Please calculate the additional ratios mentioned in rows 15 to 24 in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</si>
</sst>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2" fontId="0" fillId="0" borderId="0" xfId="0" applyNumberFormat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left"/>
    </xf>
    <xf numFmtId="10" fontId="0" fillId="0" borderId="0" xfId="3" applyNumberFormat="1" applyFont="1"/>
    <xf numFmtId="10" fontId="0" fillId="0" borderId="0" xfId="0" applyNumberFormat="1"/>
    <xf numFmtId="168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" workbookViewId="0">
      <selection activeCell="D8" sqref="D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2" t="s">
        <v>1</v>
      </c>
      <c r="B2" s="32"/>
      <c r="C2" s="32"/>
      <c r="D2" s="32"/>
    </row>
    <row r="3" spans="1:10" x14ac:dyDescent="0.3">
      <c r="B3" s="31" t="s">
        <v>23</v>
      </c>
      <c r="C3" s="31"/>
      <c r="D3" s="31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2" t="s">
        <v>24</v>
      </c>
      <c r="B31" s="32"/>
      <c r="C31" s="32"/>
      <c r="D31" s="32"/>
    </row>
    <row r="32" spans="1:4" x14ac:dyDescent="0.3">
      <c r="B32" s="31" t="s">
        <v>142</v>
      </c>
      <c r="C32" s="31"/>
      <c r="D32" s="31"/>
    </row>
    <row r="33" spans="1:5" x14ac:dyDescent="0.3">
      <c r="B33" s="7">
        <f>+B4</f>
        <v>2022</v>
      </c>
      <c r="C33" s="7">
        <f>+C4</f>
        <v>2021</v>
      </c>
      <c r="D33" s="7">
        <f>+D4</f>
        <v>2020</v>
      </c>
      <c r="E33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5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" thickTop="1" x14ac:dyDescent="0.3"/>
    <row r="71" spans="1:4" x14ac:dyDescent="0.3">
      <c r="A71" s="32" t="s">
        <v>55</v>
      </c>
      <c r="B71" s="32"/>
      <c r="C71" s="32"/>
      <c r="D71" s="32"/>
    </row>
    <row r="72" spans="1:4" x14ac:dyDescent="0.3">
      <c r="B72" s="31" t="s">
        <v>23</v>
      </c>
      <c r="C72" s="31"/>
      <c r="D72" s="31"/>
    </row>
    <row r="73" spans="1:4" x14ac:dyDescent="0.3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abSelected="1" workbookViewId="0">
      <selection activeCell="F39" sqref="F39"/>
    </sheetView>
  </sheetViews>
  <sheetFormatPr defaultRowHeight="14.4" x14ac:dyDescent="0.3"/>
  <cols>
    <col min="1" max="1" width="4.6640625" customWidth="1"/>
    <col min="2" max="2" width="44.88671875" customWidth="1"/>
    <col min="3" max="3" width="12.6640625" bestFit="1" customWidth="1"/>
    <col min="4" max="5" width="12" bestFit="1" customWidth="1"/>
    <col min="6" max="6" width="49.109375" customWidth="1"/>
    <col min="7" max="7" width="23.44140625" bestFit="1" customWidth="1"/>
    <col min="8" max="8" width="11.109375" bestFit="1" customWidth="1"/>
    <col min="9" max="10" width="10.55468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169</v>
      </c>
      <c r="G1" s="19"/>
      <c r="H1" s="19"/>
      <c r="I1" s="19"/>
      <c r="J1" s="19"/>
    </row>
    <row r="2" spans="1:10" x14ac:dyDescent="0.3">
      <c r="C2" s="31" t="s">
        <v>23</v>
      </c>
      <c r="D2" s="31"/>
      <c r="E2" s="31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25" t="s">
        <v>99</v>
      </c>
      <c r="C4" s="26"/>
      <c r="D4" s="26"/>
      <c r="E4" s="26"/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Statements'!B62</f>
        <v>0.4318647524024854</v>
      </c>
      <c r="D6" s="24">
        <f>('Financial Statements'!C42-'Financial Statements'!C39)/'Financial Statements'!C62</f>
        <v>0.44546944899830504</v>
      </c>
      <c r="E6" s="24">
        <f>('Financial Statements'!D42-'Financial Statements'!D39)/'Financial Statements'!D62</f>
        <v>0.54013745943708924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H7">
        <v>2022</v>
      </c>
      <c r="I7">
        <v>2021</v>
      </c>
      <c r="J7">
        <v>2020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Statements'!B42/'List of Ratios'!H8</f>
        <v>1228.1708953554833</v>
      </c>
      <c r="D8" s="24">
        <f>'Financial Statements'!C42/'List of Ratios'!I8</f>
        <v>1509.5279575499187</v>
      </c>
      <c r="E8" s="24">
        <f>'Financial Statements'!D42/'List of Ratios'!J8</f>
        <v>1899.7263870780819</v>
      </c>
      <c r="G8" t="s">
        <v>152</v>
      </c>
      <c r="H8" s="24">
        <f>('Financial Statements'!B17-'Financial Statements'!B79)/365</f>
        <v>110.24931506849315</v>
      </c>
      <c r="I8" s="24">
        <f>('Financial Statements'!C17-'Financial Statements'!C79)/365</f>
        <v>89.323287671232876</v>
      </c>
      <c r="J8" s="24">
        <f>('Financial Statements'!D17-'Financial Statements'!D79)/365</f>
        <v>75.649315068493152</v>
      </c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Statements'!B12/'Financial Statements'!B39</f>
        <v>45.197331176708452</v>
      </c>
      <c r="D9" s="24">
        <f>'Financial Statements'!C12/'Financial Statements'!C39</f>
        <v>32.367933130699086</v>
      </c>
      <c r="E9" s="24">
        <f>'Financial Statements'!D12/'Financial Statements'!D39</f>
        <v>41.753016498399411</v>
      </c>
    </row>
    <row r="10" spans="1:10" x14ac:dyDescent="0.3">
      <c r="A10" s="18">
        <f t="shared" si="0"/>
        <v>1.6000000000000005</v>
      </c>
      <c r="B10" s="1" t="s">
        <v>105</v>
      </c>
      <c r="C10" s="24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4">
        <f>C10-C11</f>
        <v>78.597451939448746</v>
      </c>
      <c r="D12" s="24">
        <f t="shared" ref="D12:E12" si="1">D10-D11</f>
        <v>67.631759380602389</v>
      </c>
      <c r="E12" s="24">
        <f t="shared" si="1"/>
        <v>69.614752562877442</v>
      </c>
      <c r="F12" t="s">
        <v>154</v>
      </c>
    </row>
    <row r="13" spans="1:10" x14ac:dyDescent="0.3">
      <c r="A13" s="18">
        <f t="shared" si="0"/>
        <v>1.9000000000000008</v>
      </c>
      <c r="B13" s="1" t="s">
        <v>108</v>
      </c>
      <c r="C13" s="24">
        <f>'Financial Statements'!B8/-'List of Ratios'!C14</f>
        <v>10.13774841247397</v>
      </c>
      <c r="D13" s="24">
        <f>'Financial Statements'!C8/-'List of Ratios'!D14</f>
        <v>12.393434292102857</v>
      </c>
      <c r="E13" s="24">
        <f>'Financial Statements'!D8/-'List of Ratios'!E14</f>
        <v>9.54569163363238</v>
      </c>
    </row>
    <row r="14" spans="1:10" x14ac:dyDescent="0.3">
      <c r="A14" s="18"/>
      <c r="B14" s="3" t="s">
        <v>109</v>
      </c>
      <c r="C14" s="24">
        <f>('Financial Statements'!B38+'Financial Statements'!B39-'Financial Statements'!B51-'Financial Statements'!B53)</f>
        <v>-38897</v>
      </c>
      <c r="D14" s="24">
        <f>('Financial Statements'!C38+'Financial Statements'!C39-'Financial Statements'!C51-'Financial Statements'!C53)</f>
        <v>-29517</v>
      </c>
      <c r="E14" s="24">
        <f>('Financial Statements'!D38+'Financial Statements'!D39-'Financial Statements'!D51-'Financial Statements'!D53)</f>
        <v>-28758</v>
      </c>
      <c r="F14" t="s">
        <v>155</v>
      </c>
    </row>
    <row r="15" spans="1:10" x14ac:dyDescent="0.3">
      <c r="A15" s="18"/>
    </row>
    <row r="16" spans="1:10" x14ac:dyDescent="0.3">
      <c r="A16" s="18">
        <f>+A4+1</f>
        <v>2</v>
      </c>
      <c r="B16" s="27" t="s">
        <v>110</v>
      </c>
      <c r="C16" s="26"/>
      <c r="D16" s="26"/>
      <c r="E16" s="26"/>
    </row>
    <row r="17" spans="1:10" x14ac:dyDescent="0.3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</row>
    <row r="18" spans="1:10" x14ac:dyDescent="0.3">
      <c r="A18" s="18">
        <f>+A17+0.1</f>
        <v>2.2000000000000002</v>
      </c>
      <c r="B18" s="1" t="s">
        <v>111</v>
      </c>
      <c r="C18" s="28">
        <f>C19/'Financial Statements'!B8</f>
        <v>0.30288744395528594</v>
      </c>
      <c r="D18" s="28">
        <f>D19/'Financial Statements'!C8</f>
        <v>0.29782377527561593</v>
      </c>
      <c r="E18" s="28">
        <f>E19/'Financial Statements'!D8</f>
        <v>0.24147314354406862</v>
      </c>
    </row>
    <row r="19" spans="1:10" x14ac:dyDescent="0.3">
      <c r="A19" s="18"/>
      <c r="B19" s="3" t="s">
        <v>112</v>
      </c>
      <c r="C19">
        <f>'Financial Statements'!B18</f>
        <v>119437</v>
      </c>
      <c r="D19">
        <f>'Financial Statements'!C18</f>
        <v>108949</v>
      </c>
      <c r="E19">
        <f>'Financial Statements'!D18</f>
        <v>66288</v>
      </c>
      <c r="F19" t="s">
        <v>156</v>
      </c>
    </row>
    <row r="20" spans="1:10" x14ac:dyDescent="0.3">
      <c r="A20" s="18">
        <f>+A18+0.1</f>
        <v>2.3000000000000003</v>
      </c>
      <c r="B20" s="1" t="s">
        <v>113</v>
      </c>
      <c r="C20" s="28">
        <f>C21/'Financial Statements'!B8</f>
        <v>0.30204043334482966</v>
      </c>
      <c r="D20" s="28">
        <f>D21/'Financial Statements'!C8</f>
        <v>0.29852904594373691</v>
      </c>
      <c r="E20" s="28">
        <f>E21/'Financial Statements'!D8</f>
        <v>0.24439830246070343</v>
      </c>
    </row>
    <row r="21" spans="1:10" x14ac:dyDescent="0.3">
      <c r="A21" s="18"/>
      <c r="B21" s="3" t="s">
        <v>114</v>
      </c>
      <c r="C21">
        <f>'Financial Statements'!B20</f>
        <v>119103</v>
      </c>
      <c r="D21">
        <f>'Financial Statements'!C20</f>
        <v>109207</v>
      </c>
      <c r="E21">
        <f>'Financial Statements'!D20</f>
        <v>67091</v>
      </c>
      <c r="F21" t="s">
        <v>157</v>
      </c>
    </row>
    <row r="22" spans="1:10" x14ac:dyDescent="0.3">
      <c r="A22" s="18">
        <f>+A20+0.1</f>
        <v>2.4000000000000004</v>
      </c>
      <c r="B22" s="1" t="s">
        <v>115</v>
      </c>
      <c r="C22" s="29">
        <f>C18-C20</f>
        <v>8.4701061045627801E-4</v>
      </c>
      <c r="D22" s="29">
        <f>D18-D20</f>
        <v>-7.0527066812098305E-4</v>
      </c>
      <c r="E22" s="29">
        <f>E18-E20</f>
        <v>-2.9251589166348069E-3</v>
      </c>
      <c r="F22" t="s">
        <v>158</v>
      </c>
    </row>
    <row r="23" spans="1:10" x14ac:dyDescent="0.3">
      <c r="A23" s="18"/>
    </row>
    <row r="24" spans="1:10" x14ac:dyDescent="0.3">
      <c r="A24" s="18">
        <f>+A16+1</f>
        <v>3</v>
      </c>
      <c r="B24" s="25" t="s">
        <v>116</v>
      </c>
      <c r="C24" s="26"/>
      <c r="D24" s="26"/>
      <c r="E24" s="26"/>
    </row>
    <row r="25" spans="1:10" x14ac:dyDescent="0.3">
      <c r="A25" s="18">
        <f t="shared" ref="A25:A30" si="2">+A24+0.1</f>
        <v>3.1</v>
      </c>
      <c r="B25" s="1" t="s">
        <v>117</v>
      </c>
      <c r="C25" s="24">
        <f>'Financial Statements'!B59/'Financial Statements'!B68</f>
        <v>1.9529325860435744</v>
      </c>
      <c r="D25" s="24">
        <f>'Financial Statements'!C59/'Financial Statements'!C68</f>
        <v>1.729370740212395</v>
      </c>
      <c r="E25" s="24">
        <f>'Financial Statements'!D59/'Financial Statements'!D68</f>
        <v>1.5100782075024104</v>
      </c>
    </row>
    <row r="26" spans="1:10" x14ac:dyDescent="0.3">
      <c r="A26" s="18">
        <f t="shared" si="2"/>
        <v>3.2</v>
      </c>
      <c r="B26" s="1" t="s">
        <v>118</v>
      </c>
      <c r="C26" s="24">
        <f>'Financial Statements'!B59/'Financial Statements'!B48</f>
        <v>0.28053181386514719</v>
      </c>
      <c r="D26" s="24">
        <f>'Financial Statements'!C59/'Financial Statements'!C48</f>
        <v>0.31084153366647482</v>
      </c>
      <c r="E26" s="24">
        <f>'Financial Statements'!D59/'Financial Statements'!D48</f>
        <v>0.30463308304105124</v>
      </c>
    </row>
    <row r="27" spans="1:10" x14ac:dyDescent="0.3">
      <c r="A27" s="18">
        <f t="shared" si="2"/>
        <v>3.3000000000000003</v>
      </c>
      <c r="B27" s="1" t="s">
        <v>119</v>
      </c>
      <c r="C27" s="24">
        <f>'Financial Statements'!B59/('Financial Statements'!B59+'Financial Statements'!B68)</f>
        <v>0.66135359651409131</v>
      </c>
      <c r="D27" s="24">
        <f>'Financial Statements'!C59/('Financial Statements'!C59+'Financial Statements'!C68)</f>
        <v>0.63361518269878514</v>
      </c>
      <c r="E27" s="24">
        <f>'Financial Statements'!D59/('Financial Statements'!D59+'Financial Statements'!D68)</f>
        <v>0.60160603880345842</v>
      </c>
    </row>
    <row r="28" spans="1:10" x14ac:dyDescent="0.3">
      <c r="A28" s="18">
        <f t="shared" si="2"/>
        <v>3.4000000000000004</v>
      </c>
      <c r="B28" s="1" t="s">
        <v>120</v>
      </c>
      <c r="C28" s="24">
        <f>C21/'Financial Statements'!B114</f>
        <v>41.571727748691103</v>
      </c>
      <c r="D28" s="24">
        <f>D21/'Financial Statements'!C114</f>
        <v>40.642724227763303</v>
      </c>
      <c r="E28" s="24">
        <f>E21/'Financial Statements'!D114</f>
        <v>22.348767488341107</v>
      </c>
    </row>
    <row r="29" spans="1:10" x14ac:dyDescent="0.3">
      <c r="A29" s="18">
        <f t="shared" si="2"/>
        <v>3.5000000000000004</v>
      </c>
      <c r="B29" s="1" t="s">
        <v>121</v>
      </c>
      <c r="C29" s="24">
        <f>'Financial Statements'!B8/'Financial Statements'!B55</f>
        <v>35.43565780014378</v>
      </c>
      <c r="D29" s="24">
        <f>'Financial Statements'!C8/'Financial Statements'!C55</f>
        <v>38.054405492562154</v>
      </c>
      <c r="E29" s="24">
        <f>'Financial Statements'!D8/'Financial Statements'!D55</f>
        <v>31.290892511113643</v>
      </c>
      <c r="F29" t="s">
        <v>160</v>
      </c>
    </row>
    <row r="30" spans="1:10" x14ac:dyDescent="0.3">
      <c r="A30" s="18">
        <f t="shared" si="2"/>
        <v>3.6000000000000005</v>
      </c>
      <c r="B30" s="1" t="s">
        <v>122</v>
      </c>
      <c r="C30" s="24">
        <f>C31/129.93</f>
        <v>876.49503578850147</v>
      </c>
      <c r="D30" s="24">
        <f t="shared" ref="D30:E30" si="3">D31/129.93</f>
        <v>937.09689832986987</v>
      </c>
      <c r="E30" s="24">
        <f t="shared" si="3"/>
        <v>749.45740013853606</v>
      </c>
      <c r="F30" t="s">
        <v>159</v>
      </c>
      <c r="H30">
        <v>2022</v>
      </c>
      <c r="I30">
        <v>2021</v>
      </c>
      <c r="J30">
        <v>2020</v>
      </c>
    </row>
    <row r="31" spans="1:10" x14ac:dyDescent="0.3">
      <c r="A31" s="18"/>
      <c r="B31" s="3" t="s">
        <v>123</v>
      </c>
      <c r="C31" s="2">
        <f>'Financial Statements'!B91-'List of Ratios'!H31+'Financial Statements'!B104</f>
        <v>113883</v>
      </c>
      <c r="D31" s="2">
        <f>'Financial Statements'!C91-'List of Ratios'!I31+'Financial Statements'!C104</f>
        <v>121757</v>
      </c>
      <c r="E31" s="2">
        <f>'Financial Statements'!D91-'List of Ratios'!J31+'Financial Statements'!D104</f>
        <v>97377</v>
      </c>
      <c r="F31" t="s">
        <v>168</v>
      </c>
      <c r="G31" t="s">
        <v>153</v>
      </c>
      <c r="H31" s="2">
        <f>('Financial Statements'!B45-'Financial Statements'!C45)+'Financial Statements'!D79</f>
        <v>13733</v>
      </c>
      <c r="I31" s="2">
        <f>('Financial Statements'!C45-'Financial Statements'!D45)+'Financial Statements'!E79</f>
        <v>2674</v>
      </c>
      <c r="J31" s="2">
        <f>('Financial Statements'!D45-'Financial Statements'!E45)+'Financial Statements'!F79</f>
        <v>-612</v>
      </c>
    </row>
    <row r="32" spans="1:10" x14ac:dyDescent="0.3">
      <c r="A32" s="18"/>
    </row>
    <row r="33" spans="1:10" x14ac:dyDescent="0.3">
      <c r="A33" s="18">
        <f>+A24+1</f>
        <v>4</v>
      </c>
      <c r="B33" s="27" t="s">
        <v>124</v>
      </c>
      <c r="C33" s="26"/>
      <c r="D33" s="26"/>
      <c r="E33" s="26"/>
    </row>
    <row r="34" spans="1:10" x14ac:dyDescent="0.3">
      <c r="A34" s="18">
        <f>+A33+0.1</f>
        <v>4.0999999999999996</v>
      </c>
      <c r="B34" s="1" t="s">
        <v>125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10" x14ac:dyDescent="0.3">
      <c r="A35" s="18">
        <f>+A34+0.1</f>
        <v>4.1999999999999993</v>
      </c>
      <c r="B35" s="1" t="s">
        <v>126</v>
      </c>
      <c r="C35" s="24">
        <f>'Financial Statements'!B8/'Financial Statements'!B45</f>
        <v>9.3626801529073767</v>
      </c>
      <c r="D35" s="24">
        <f>'Financial Statements'!C8/'Financial Statements'!C45</f>
        <v>9.2752789046653152</v>
      </c>
      <c r="E35" s="24">
        <f>'Financial Statements'!D8/'Financial Statements'!D45</f>
        <v>7.4665451776097482</v>
      </c>
    </row>
    <row r="36" spans="1:10" x14ac:dyDescent="0.3">
      <c r="A36" s="18">
        <f>+A35+0.1</f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10" x14ac:dyDescent="0.3">
      <c r="A37" s="18">
        <f>+A36+0.1</f>
        <v>4.3999999999999986</v>
      </c>
      <c r="B37" s="1" t="s">
        <v>128</v>
      </c>
      <c r="C37" s="24">
        <f>'Financial Statements'!B8/'Financial Statements'!B48</f>
        <v>1.1178523337727317</v>
      </c>
      <c r="D37" s="24">
        <f>'Financial Statements'!C8/'Financial Statements'!C48</f>
        <v>1.0422077367080529</v>
      </c>
      <c r="E37" s="24">
        <f>'Financial Statements'!D8/'Financial Statements'!D48</f>
        <v>0.84756150274168851</v>
      </c>
      <c r="F37" t="s">
        <v>166</v>
      </c>
    </row>
    <row r="38" spans="1:10" x14ac:dyDescent="0.3">
      <c r="A38" s="18"/>
    </row>
    <row r="39" spans="1:10" x14ac:dyDescent="0.3">
      <c r="A39" s="18">
        <f>+A33+1</f>
        <v>5</v>
      </c>
      <c r="B39" s="27" t="s">
        <v>129</v>
      </c>
      <c r="C39" s="26"/>
      <c r="D39" s="26"/>
      <c r="E39" s="26"/>
    </row>
    <row r="40" spans="1:10" x14ac:dyDescent="0.3">
      <c r="A40" s="18">
        <f>+A39+0.1</f>
        <v>5.0999999999999996</v>
      </c>
      <c r="B40" s="1" t="s">
        <v>130</v>
      </c>
      <c r="C40" s="24">
        <f>197.57/C41</f>
        <v>32.101117300181357</v>
      </c>
      <c r="D40" s="24">
        <f>197.57/D41</f>
        <v>34.850763720321076</v>
      </c>
      <c r="E40" s="24">
        <f>197.57/E41</f>
        <v>59.714308248070921</v>
      </c>
      <c r="H40">
        <v>2022</v>
      </c>
      <c r="I40">
        <v>2021</v>
      </c>
      <c r="J40">
        <v>2020</v>
      </c>
    </row>
    <row r="41" spans="1:10" x14ac:dyDescent="0.3">
      <c r="A41" s="18">
        <f>+A40+0.1</f>
        <v>5.1999999999999993</v>
      </c>
      <c r="B41" s="3" t="s">
        <v>131</v>
      </c>
      <c r="C41" s="23">
        <f>'Financial Statements'!B22/'List of Ratios'!H41*1000</f>
        <v>6.1546144376377772</v>
      </c>
      <c r="D41" s="23">
        <f>'Financial Statements'!C22/'List of Ratios'!I41*1000</f>
        <v>5.6690292811230192</v>
      </c>
      <c r="E41" s="23">
        <f>'Financial Statements'!D22/'List of Ratios'!J41*1000</f>
        <v>3.3085872682177895</v>
      </c>
      <c r="F41" t="s">
        <v>161</v>
      </c>
      <c r="G41" t="s">
        <v>150</v>
      </c>
      <c r="H41" s="2">
        <v>16215963</v>
      </c>
      <c r="I41" s="2">
        <v>16701272</v>
      </c>
      <c r="J41" s="2">
        <v>17352119</v>
      </c>
    </row>
    <row r="42" spans="1:10" x14ac:dyDescent="0.3">
      <c r="A42" s="18">
        <f>+A41+0.1</f>
        <v>5.2999999999999989</v>
      </c>
      <c r="B42" s="1" t="s">
        <v>132</v>
      </c>
      <c r="C42" s="24">
        <f>197.57/C43</f>
        <v>63225.998774668456</v>
      </c>
      <c r="D42" s="24">
        <f t="shared" ref="D42:E42" si="4">197.57/D43</f>
        <v>52301.003471865588</v>
      </c>
      <c r="E42" s="24">
        <f t="shared" si="4"/>
        <v>52468.788179035495</v>
      </c>
    </row>
    <row r="43" spans="1:10" x14ac:dyDescent="0.3">
      <c r="A43" s="18">
        <f>+A42+0.1</f>
        <v>5.3999999999999986</v>
      </c>
      <c r="B43" s="3" t="s">
        <v>133</v>
      </c>
      <c r="C43" s="30">
        <f>'Financial Statements'!B68/'List of Ratios'!H41</f>
        <v>3.124822127430853E-3</v>
      </c>
      <c r="D43" s="30">
        <f>'Financial Statements'!C68/'List of Ratios'!I41</f>
        <v>3.7775565837141027E-3</v>
      </c>
      <c r="E43" s="30">
        <f>'Financial Statements'!D68/'List of Ratios'!J41</f>
        <v>3.7654767120949319E-3</v>
      </c>
      <c r="F43" t="s">
        <v>162</v>
      </c>
    </row>
    <row r="44" spans="1:10" x14ac:dyDescent="0.3">
      <c r="A44" s="18">
        <f>+A43+0.1</f>
        <v>5.4999999999999982</v>
      </c>
      <c r="B44" s="1" t="s">
        <v>134</v>
      </c>
      <c r="C44" s="24">
        <f>C45/C41</f>
        <v>0.14785654068514975</v>
      </c>
      <c r="D44" s="24">
        <f t="shared" ref="D44:E44" si="5">D45/D41</f>
        <v>0.1525834419095902</v>
      </c>
      <c r="E44" s="24">
        <f t="shared" si="5"/>
        <v>0.79036754602776471</v>
      </c>
    </row>
    <row r="45" spans="1:10" x14ac:dyDescent="0.3">
      <c r="A45" s="18"/>
      <c r="B45" s="3" t="s">
        <v>135</v>
      </c>
      <c r="C45">
        <v>0.91</v>
      </c>
      <c r="D45">
        <v>0.86499999999999999</v>
      </c>
      <c r="E45">
        <v>2.6150000000000002</v>
      </c>
      <c r="F45" t="s">
        <v>163</v>
      </c>
    </row>
    <row r="46" spans="1:10" x14ac:dyDescent="0.3">
      <c r="A46" s="18">
        <f>+A44+0.1</f>
        <v>5.5999999999999979</v>
      </c>
      <c r="B46" s="1" t="s">
        <v>136</v>
      </c>
      <c r="C46" s="28">
        <f>C45/129.93</f>
        <v>7.003771261448472E-3</v>
      </c>
      <c r="D46" s="28">
        <f>D45/177.57</f>
        <v>4.8713183533254491E-3</v>
      </c>
      <c r="E46" s="28">
        <f>E45/132.69</f>
        <v>1.9707589117491899E-2</v>
      </c>
    </row>
    <row r="47" spans="1:10" x14ac:dyDescent="0.3">
      <c r="A47" s="18">
        <f>+A45+0.1</f>
        <v>0.1</v>
      </c>
      <c r="B47" s="1" t="s">
        <v>137</v>
      </c>
      <c r="C47" s="24">
        <f>'Financial Statements'!B8/'Financial Statements'!B68</f>
        <v>7.7819703189137988</v>
      </c>
      <c r="D47" s="24">
        <f>'Financial Statements'!C8/'Financial Statements'!C68</f>
        <v>5.798335710889206</v>
      </c>
      <c r="E47" s="24">
        <f>'Financial Statements'!D8/'Financial Statements'!D68</f>
        <v>4.2013957973032952</v>
      </c>
      <c r="F47" t="s">
        <v>165</v>
      </c>
    </row>
    <row r="48" spans="1:10" x14ac:dyDescent="0.3">
      <c r="A48" s="18">
        <f>+A46+0.1</f>
        <v>5.6999999999999975</v>
      </c>
      <c r="B48" s="1" t="s">
        <v>138</v>
      </c>
      <c r="C48">
        <f>C21/'Financial Statements'!B48-'Financial Statements'!B56</f>
        <v>-153981.6623633967</v>
      </c>
      <c r="D48" s="24">
        <f>D21/'Financial Statements'!C48-'Financial Statements'!C56</f>
        <v>-125480.68887071869</v>
      </c>
      <c r="E48" s="24">
        <f>E21/'Financial Statements'!D48-'Financial Statements'!D56</f>
        <v>-105391.7928574075</v>
      </c>
      <c r="F48" t="s">
        <v>164</v>
      </c>
    </row>
    <row r="49" spans="1:10" x14ac:dyDescent="0.3">
      <c r="A49" s="18">
        <f>+A47+0.1</f>
        <v>0.2</v>
      </c>
      <c r="B49" s="1" t="s">
        <v>128</v>
      </c>
      <c r="C49" s="24">
        <f>'Financial Statements'!B8/'Financial Statements'!B48</f>
        <v>1.1178523337727317</v>
      </c>
      <c r="D49" s="24">
        <f>'Financial Statements'!C8/'Financial Statements'!C48</f>
        <v>1.0422077367080529</v>
      </c>
      <c r="E49" s="24">
        <f>'Financial Statements'!D8/'Financial Statements'!D48</f>
        <v>0.84756150274168851</v>
      </c>
      <c r="F49" t="s">
        <v>166</v>
      </c>
    </row>
    <row r="50" spans="1:10" x14ac:dyDescent="0.3">
      <c r="A50" s="18">
        <f>+A48+0.1</f>
        <v>5.7999999999999972</v>
      </c>
      <c r="B50" s="1" t="s">
        <v>139</v>
      </c>
      <c r="C50" s="24">
        <f>C51/C19</f>
        <v>0.64786456458216468</v>
      </c>
      <c r="D50" s="24">
        <f t="shared" ref="D50:E50" si="6">D51/D19</f>
        <v>0.7073676674407291</v>
      </c>
      <c r="E50" s="24">
        <f t="shared" si="6"/>
        <v>0.948980207579049</v>
      </c>
      <c r="H50">
        <v>2022</v>
      </c>
      <c r="I50">
        <v>2021</v>
      </c>
      <c r="J50">
        <v>2020</v>
      </c>
    </row>
    <row r="51" spans="1:10" x14ac:dyDescent="0.3">
      <c r="A51" s="18"/>
      <c r="B51" s="3" t="s">
        <v>140</v>
      </c>
      <c r="C51">
        <f>H51+'Financial Statements'!B59-'Financial Statements'!B36</f>
        <v>77379</v>
      </c>
      <c r="D51">
        <f>I51+'Financial Statements'!C59-'Financial Statements'!C36</f>
        <v>77067</v>
      </c>
      <c r="E51">
        <f>J51+'Financial Statements'!D59-'Financial Statements'!D36</f>
        <v>62906</v>
      </c>
      <c r="F51" t="s">
        <v>167</v>
      </c>
      <c r="G51" t="s">
        <v>151</v>
      </c>
      <c r="H51">
        <v>2066</v>
      </c>
      <c r="I51">
        <v>2901</v>
      </c>
      <c r="J51">
        <v>2255</v>
      </c>
    </row>
    <row r="54" spans="1:10" x14ac:dyDescent="0.3">
      <c r="F54" t="s">
        <v>170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2024-01-09T18:13:54Z</dcterms:modified>
</cp:coreProperties>
</file>